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.xml" ContentType="application/vnd.openxmlformats-officedocument.spreadsheetml.comments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22e339a743f822b/EXAQUA/Trabalhos/CAEPA/Pleito 2aRO CAEPA - versão final/"/>
    </mc:Choice>
  </mc:AlternateContent>
  <xr:revisionPtr revIDLastSave="319" documentId="8_{1A51BC06-2A75-4C58-927D-1C44AF34920C}" xr6:coauthVersionLast="47" xr6:coauthVersionMax="47" xr10:uidLastSave="{29FA189F-4027-453D-80EF-F97B28ABF8ED}"/>
  <bookViews>
    <workbookView xWindow="-120" yWindow="-120" windowWidth="29040" windowHeight="15720" tabRatio="807" xr2:uid="{00000000-000D-0000-FFFF-FFFF00000000}"/>
  </bookViews>
  <sheets>
    <sheet name="PAINEL" sheetId="84" r:id="rId1"/>
    <sheet name="EVENTOS" sheetId="85" r:id="rId2"/>
    <sheet name="E1 BANDEIRA" sheetId="91" r:id="rId3"/>
    <sheet name="E1 9 R2 EE" sheetId="93" r:id="rId4"/>
    <sheet name="E1 R2 deseq" sheetId="94" r:id="rId5"/>
    <sheet name="E1 R2 reeq" sheetId="97" r:id="rId6"/>
    <sheet name="E2 VALE PASSAROS" sheetId="90" r:id="rId7"/>
    <sheet name="E2 R2 DEPR" sheetId="118" r:id="rId8"/>
    <sheet name="E2 R2 deseq" sheetId="98" r:id="rId9"/>
    <sheet name="E2 R2 reeq" sheetId="100" r:id="rId10"/>
    <sheet name="E3 DIST INDL" sheetId="89" r:id="rId11"/>
    <sheet name="E3 R2 DEPR" sheetId="119" r:id="rId12"/>
    <sheet name="E3 R2 deseq" sheetId="101" r:id="rId13"/>
    <sheet name="E3 R2 reeq" sheetId="102" r:id="rId14"/>
    <sheet name="E4 CLORO" sheetId="88" r:id="rId15"/>
    <sheet name="E4 R2 DEPR" sheetId="120" r:id="rId16"/>
    <sheet name="E4 R2 deseq" sheetId="103" r:id="rId17"/>
    <sheet name="E4 R2 reeq" sheetId="104" r:id="rId18"/>
    <sheet name="E5 CAPEX" sheetId="87" r:id="rId19"/>
    <sheet name="E5 R2 DEPR" sheetId="129" r:id="rId20"/>
    <sheet name="E5 R2 deseq" sheetId="105" r:id="rId21"/>
    <sheet name="E5 R2 reeq" sheetId="106" r:id="rId22"/>
    <sheet name="E6 RECEITA" sheetId="86" r:id="rId23"/>
    <sheet name="E6 R2 deseq" sheetId="107" r:id="rId24"/>
    <sheet name="E6 R2 reeq" sheetId="108" r:id="rId25"/>
    <sheet name="E7 Reprog Inv Esg" sheetId="131" r:id="rId26"/>
    <sheet name="E7 R2 DEPR" sheetId="132" r:id="rId27"/>
    <sheet name="E7 R2 deseq" sheetId="133" r:id="rId28"/>
    <sheet name="E7 R2 reeq" sheetId="134" r:id="rId29"/>
    <sheet name="COMB A" sheetId="109" r:id="rId30"/>
    <sheet name="COMB A DEPR" sheetId="121" r:id="rId31"/>
    <sheet name="COMB A R2 deseq" sheetId="110" r:id="rId32"/>
    <sheet name="COMB A R2 reeq" sheetId="135" r:id="rId33"/>
    <sheet name="Tarifas" sheetId="72" r:id="rId34"/>
    <sheet name="Serviços" sheetId="79" r:id="rId35"/>
    <sheet name="R1 DEPR" sheetId="65" r:id="rId36"/>
    <sheet name="R1 DRE" sheetId="82" r:id="rId37"/>
    <sheet name="R1 FC" sheetId="83" r:id="rId38"/>
    <sheet name="1 R1 Pop" sheetId="20" r:id="rId39"/>
    <sheet name="2 R1 Lig" sheetId="21" r:id="rId40"/>
    <sheet name="3 Vol" sheetId="19" r:id="rId41"/>
    <sheet name="4 R1 Vazões" sheetId="42" r:id="rId42"/>
    <sheet name="5 Perdas" sheetId="53" r:id="rId43"/>
    <sheet name="6 Inv Agua" sheetId="27" r:id="rId44"/>
    <sheet name="7 Inv Esgoto" sheetId="51" r:id="rId45"/>
    <sheet name="8 RH" sheetId="69" r:id="rId46"/>
    <sheet name="8 R1 RH" sheetId="29" r:id="rId47"/>
    <sheet name="9 EE" sheetId="70" r:id="rId48"/>
    <sheet name="9 R1 EE" sheetId="47" r:id="rId49"/>
    <sheet name="10 PQ A SA" sheetId="32" r:id="rId50"/>
    <sheet name="10 PQ A AF" sheetId="54" r:id="rId51"/>
    <sheet name="10 PQ A CL" sheetId="55" r:id="rId52"/>
    <sheet name="11 R1 PQ E" sheetId="52" r:id="rId53"/>
    <sheet name="12 R1 Tarifa" sheetId="56" r:id="rId54"/>
    <sheet name="12 R1 Serviços" sheetId="66" r:id="rId55"/>
    <sheet name="13 R1 FAT 1" sheetId="57" r:id="rId56"/>
    <sheet name="14 R1 FAT 2" sheetId="58" r:id="rId57"/>
    <sheet name="15 R1 ARREC" sheetId="59" r:id="rId58"/>
    <sheet name="16 R1 OPEX" sheetId="60" r:id="rId59"/>
    <sheet name="17 R1 INV COMP" sheetId="71" r:id="rId60"/>
    <sheet name="17 R1 INV" sheetId="61" r:id="rId61"/>
    <sheet name="R1 Aux Inv 1" sheetId="67" r:id="rId62"/>
    <sheet name="R1 Aux Inv 2" sheetId="68" r:id="rId63"/>
    <sheet name="18 R1 Invest Total" sheetId="62" r:id="rId64"/>
  </sheets>
  <definedNames>
    <definedName name="\e" localSheetId="50">#REF!</definedName>
    <definedName name="\e" localSheetId="51">#REF!</definedName>
    <definedName name="\e" localSheetId="52">#REF!</definedName>
    <definedName name="\e" localSheetId="44">#REF!</definedName>
    <definedName name="\e">#REF!</definedName>
    <definedName name="\p" localSheetId="50">#REF!</definedName>
    <definedName name="\p" localSheetId="51">#REF!</definedName>
    <definedName name="\p" localSheetId="52">#REF!</definedName>
    <definedName name="\p" localSheetId="44">#REF!</definedName>
    <definedName name="\p">#REF!</definedName>
    <definedName name="_CTD1" localSheetId="50">#REF!</definedName>
    <definedName name="_CTD1" localSheetId="51">#REF!</definedName>
    <definedName name="_CTD1" localSheetId="52">#REF!</definedName>
    <definedName name="_CTD1" localSheetId="44">#REF!</definedName>
    <definedName name="_CTD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44" hidden="1">#REF!</definedName>
    <definedName name="_Fill" hidden="1">#REF!</definedName>
    <definedName name="_MLH1" localSheetId="50">#REF!</definedName>
    <definedName name="_MLH1" localSheetId="51">#REF!</definedName>
    <definedName name="_MLH1" localSheetId="52">#REF!</definedName>
    <definedName name="_MLH1" localSheetId="44">#REF!</definedName>
    <definedName name="_MLH1">#REF!</definedName>
    <definedName name="_MLH2" localSheetId="50">#REF!</definedName>
    <definedName name="_MLH2" localSheetId="51">#REF!</definedName>
    <definedName name="_MLH2" localSheetId="52">#REF!</definedName>
    <definedName name="_MLH2" localSheetId="44">#REF!</definedName>
    <definedName name="_MLH2">#REF!</definedName>
    <definedName name="_MLH3" localSheetId="50">#REF!</definedName>
    <definedName name="_MLH3" localSheetId="51">#REF!</definedName>
    <definedName name="_MLH3" localSheetId="52">#REF!</definedName>
    <definedName name="_MLH3" localSheetId="44">#REF!</definedName>
    <definedName name="_MLH3">#REF!</definedName>
    <definedName name="_VAX1" localSheetId="50">#REF!</definedName>
    <definedName name="_VAX1" localSheetId="51">#REF!</definedName>
    <definedName name="_VAX1" localSheetId="52">#REF!</definedName>
    <definedName name="_VAX1" localSheetId="44">#REF!</definedName>
    <definedName name="_VAX1">#REF!</definedName>
    <definedName name="_VAX2" localSheetId="50">#REF!</definedName>
    <definedName name="_VAX2" localSheetId="51">#REF!</definedName>
    <definedName name="_VAX2" localSheetId="52">#REF!</definedName>
    <definedName name="_VAX2" localSheetId="44">#REF!</definedName>
    <definedName name="_VAX2">#REF!</definedName>
    <definedName name="_VRL1" localSheetId="50">#REF!</definedName>
    <definedName name="_VRL1" localSheetId="51">#REF!</definedName>
    <definedName name="_VRL1" localSheetId="52">#REF!</definedName>
    <definedName name="_VRL1" localSheetId="44">#REF!</definedName>
    <definedName name="_VRL1">#REF!</definedName>
    <definedName name="_VRL2" localSheetId="50">#REF!</definedName>
    <definedName name="_VRL2" localSheetId="51">#REF!</definedName>
    <definedName name="_VRL2" localSheetId="52">#REF!</definedName>
    <definedName name="_VRL2" localSheetId="44">#REF!</definedName>
    <definedName name="_VRL2">#REF!</definedName>
    <definedName name="_VRL3" localSheetId="50">#REF!</definedName>
    <definedName name="_VRL3" localSheetId="51">#REF!</definedName>
    <definedName name="_VRL3" localSheetId="52">#REF!</definedName>
    <definedName name="_VRL3" localSheetId="44">#REF!</definedName>
    <definedName name="_VRL3">#REF!</definedName>
    <definedName name="A_I_C_V">#N/A</definedName>
    <definedName name="A_M_FRA">#N/A</definedName>
    <definedName name="A_METROS">#N/A</definedName>
    <definedName name="_xlnm.Print_Area" localSheetId="38">'1 R1 Pop'!$B$1:$K$34</definedName>
    <definedName name="_xlnm.Print_Area" localSheetId="50">'10 PQ A AF'!$B$1:$F$33</definedName>
    <definedName name="_xlnm.Print_Area" localSheetId="51">'10 PQ A CL'!$B$1:$F$33</definedName>
    <definedName name="_xlnm.Print_Area" localSheetId="49">'10 PQ A SA'!$B$1:$F$33</definedName>
    <definedName name="_xlnm.Print_Area" localSheetId="52">'11 R1 PQ E'!$B$1:$F$33</definedName>
    <definedName name="_xlnm.Print_Area" localSheetId="54">'12 R1 Serviços'!$B$1:$D$91</definedName>
    <definedName name="_xlnm.Print_Area" localSheetId="53">'12 R1 Tarifa'!$B$1:$E$26</definedName>
    <definedName name="_xlnm.Print_Area" localSheetId="55">'13 R1 FAT 1'!$B$1:$H$35</definedName>
    <definedName name="_xlnm.Print_Area" localSheetId="56">'14 R1 FAT 2'!$B$1:$F$35</definedName>
    <definedName name="_xlnm.Print_Area" localSheetId="57">'15 R1 ARREC'!$B$1:$F$35</definedName>
    <definedName name="_xlnm.Print_Area" localSheetId="58">'16 R1 OPEX'!$B$1:$K$35</definedName>
    <definedName name="_xlnm.Print_Area" localSheetId="60">'17 R1 INV'!$B$1:$AL$67</definedName>
    <definedName name="_xlnm.Print_Area" localSheetId="63">'18 R1 Invest Total'!$B$1:$F$34</definedName>
    <definedName name="_xlnm.Print_Area" localSheetId="39">'2 R1 Lig'!$B$1:$F$33</definedName>
    <definedName name="_xlnm.Print_Area" localSheetId="40">'3 Vol'!$B$1:$G$33</definedName>
    <definedName name="_xlnm.Print_Area" localSheetId="41">'4 R1 Vazões'!$B$1:$I$34</definedName>
    <definedName name="_xlnm.Print_Area" localSheetId="43">'6 Inv Agua'!$B$1:$H$33</definedName>
    <definedName name="_xlnm.Print_Area" localSheetId="44">'7 Inv Esgoto'!$B$1:$F$33</definedName>
    <definedName name="_xlnm.Print_Area" localSheetId="46">'8 R1 RH'!$B$1:$J$33</definedName>
    <definedName name="_xlnm.Print_Area" localSheetId="48">'9 R1 EE'!$S$1:$Y$33</definedName>
    <definedName name="_xlnm.Print_Area" localSheetId="31">'COMB A R2 deseq'!$B$6:$AG$33</definedName>
    <definedName name="_xlnm.Print_Area" localSheetId="32">'COMB A R2 reeq'!$B$6:$AG$33</definedName>
    <definedName name="_xlnm.Print_Area" localSheetId="3">'E1 9 R2 EE'!$H$1:$N$33</definedName>
    <definedName name="_xlnm.Print_Area" localSheetId="4">'E1 R2 deseq'!$B$6:$AG$33</definedName>
    <definedName name="_xlnm.Print_Area" localSheetId="5">'E1 R2 reeq'!$B$6:$AG$33</definedName>
    <definedName name="_xlnm.Print_Area" localSheetId="8">'E2 R2 deseq'!$B$6:$AG$33</definedName>
    <definedName name="_xlnm.Print_Area" localSheetId="9">'E2 R2 reeq'!$B$6:$AG$33</definedName>
    <definedName name="_xlnm.Print_Area" localSheetId="12">'E3 R2 deseq'!$B$6:$AG$33</definedName>
    <definedName name="_xlnm.Print_Area" localSheetId="13">'E3 R2 reeq'!$B$6:$AG$33</definedName>
    <definedName name="_xlnm.Print_Area" localSheetId="16">'E4 R2 deseq'!$B$6:$AG$33</definedName>
    <definedName name="_xlnm.Print_Area" localSheetId="17">'E4 R2 reeq'!$B$6:$AG$33</definedName>
    <definedName name="_xlnm.Print_Area" localSheetId="20">'E5 R2 deseq'!$B$6:$AG$33</definedName>
    <definedName name="_xlnm.Print_Area" localSheetId="21">'E5 R2 reeq'!$B$6:$AG$33</definedName>
    <definedName name="_xlnm.Print_Area" localSheetId="23">'E6 R2 deseq'!$B$6:$AG$33</definedName>
    <definedName name="_xlnm.Print_Area" localSheetId="24">'E6 R2 reeq'!$B$6:$AG$33</definedName>
    <definedName name="_xlnm.Print_Area" localSheetId="27">'E7 R2 deseq'!$B$6:$AG$33</definedName>
    <definedName name="_xlnm.Print_Area" localSheetId="28">'E7 R2 reeq'!$B$6:$AG$33</definedName>
    <definedName name="_xlnm.Print_Area" localSheetId="0">PAINEL!$A$1:$Q$28</definedName>
    <definedName name="_xlnm.Print_Area" localSheetId="36">'R1 DRE'!$B$1:$AG$28</definedName>
    <definedName name="_xlnm.Print_Area" localSheetId="37">'R1 FC'!$A$1:$AG$24</definedName>
    <definedName name="AREA_FRAC">#N/A</definedName>
    <definedName name="AREA_LEG">#N/A</definedName>
    <definedName name="AREA_MUN">#N/A</definedName>
    <definedName name="AREAFRAC">#N/A</definedName>
    <definedName name="BCOS" localSheetId="50">#REF!</definedName>
    <definedName name="BCOS" localSheetId="51">#REF!</definedName>
    <definedName name="BCOS" localSheetId="52">#REF!</definedName>
    <definedName name="BCOS" localSheetId="44">#REF!</definedName>
    <definedName name="BCOS">#REF!</definedName>
    <definedName name="BD01_20" localSheetId="50">#REF!</definedName>
    <definedName name="BD01_20" localSheetId="51">#REF!</definedName>
    <definedName name="BD01_20" localSheetId="52">#REF!</definedName>
    <definedName name="BD01_20" localSheetId="44">#REF!</definedName>
    <definedName name="BD01_20">#REF!</definedName>
    <definedName name="BD1_9" localSheetId="50">#REF!</definedName>
    <definedName name="BD1_9" localSheetId="51">#REF!</definedName>
    <definedName name="BD1_9" localSheetId="52">#REF!</definedName>
    <definedName name="BD1_9" localSheetId="44">#REF!</definedName>
    <definedName name="BD1_9">#REF!</definedName>
    <definedName name="BD100_900" localSheetId="50">#REF!</definedName>
    <definedName name="BD100_900" localSheetId="51">#REF!</definedName>
    <definedName name="BD100_900" localSheetId="52">#REF!</definedName>
    <definedName name="BD100_900" localSheetId="44">#REF!</definedName>
    <definedName name="BD100_900">#REF!</definedName>
    <definedName name="BD20_90" localSheetId="50">#REF!</definedName>
    <definedName name="BD20_90" localSheetId="51">#REF!</definedName>
    <definedName name="BD20_90" localSheetId="52">#REF!</definedName>
    <definedName name="BD20_90" localSheetId="44">#REF!</definedName>
    <definedName name="BD20_90">#REF!</definedName>
    <definedName name="BERCO" localSheetId="50">#REF!</definedName>
    <definedName name="BERCO" localSheetId="51">#REF!</definedName>
    <definedName name="BERCO" localSheetId="52">#REF!</definedName>
    <definedName name="BERCO" localSheetId="44">#REF!</definedName>
    <definedName name="BERCO">#REF!</definedName>
    <definedName name="BT__1" localSheetId="50">#REF!</definedName>
    <definedName name="BT__1" localSheetId="51">#REF!</definedName>
    <definedName name="BT__1" localSheetId="52">#REF!</definedName>
    <definedName name="BT__1" localSheetId="44">#REF!</definedName>
    <definedName name="BT__1">#REF!</definedName>
    <definedName name="BT_AOES" localSheetId="50">#REF!</definedName>
    <definedName name="BT_AOES" localSheetId="51">#REF!</definedName>
    <definedName name="BT_AOES" localSheetId="52">#REF!</definedName>
    <definedName name="BT_AOES" localSheetId="44">#REF!</definedName>
    <definedName name="BT_AOES">#REF!</definedName>
    <definedName name="BT_BLH" localSheetId="50">#REF!</definedName>
    <definedName name="BT_BLH" localSheetId="51">#REF!</definedName>
    <definedName name="BT_BLH" localSheetId="52">#REF!</definedName>
    <definedName name="BT_BLH" localSheetId="44">#REF!</definedName>
    <definedName name="BT_BLH">#REF!</definedName>
    <definedName name="BT_CEM" localSheetId="50">#REF!</definedName>
    <definedName name="BT_CEM" localSheetId="51">#REF!</definedName>
    <definedName name="BT_CEM" localSheetId="52">#REF!</definedName>
    <definedName name="BT_CEM" localSheetId="44">#REF!</definedName>
    <definedName name="BT_CEM">#REF!</definedName>
    <definedName name="BT_CTAVO" localSheetId="50">#REF!</definedName>
    <definedName name="BT_CTAVO" localSheetId="51">#REF!</definedName>
    <definedName name="BT_CTAVO" localSheetId="52">#REF!</definedName>
    <definedName name="BT_CTAVO" localSheetId="44">#REF!</definedName>
    <definedName name="BT_CTAVO">#REF!</definedName>
    <definedName name="BT_DE" localSheetId="50">#REF!</definedName>
    <definedName name="BT_DE" localSheetId="51">#REF!</definedName>
    <definedName name="BT_DE" localSheetId="52">#REF!</definedName>
    <definedName name="BT_DE" localSheetId="44">#REF!</definedName>
    <definedName name="BT_DE">#REF!</definedName>
    <definedName name="BT_E" localSheetId="50">#REF!</definedName>
    <definedName name="BT_E" localSheetId="51">#REF!</definedName>
    <definedName name="BT_E" localSheetId="52">#REF!</definedName>
    <definedName name="BT_E" localSheetId="44">#REF!</definedName>
    <definedName name="BT_E">#REF!</definedName>
    <definedName name="BT_EVG" localSheetId="50">#REF!</definedName>
    <definedName name="BT_EVG" localSheetId="51">#REF!</definedName>
    <definedName name="BT_EVG" localSheetId="52">#REF!</definedName>
    <definedName name="BT_EVG" localSheetId="44">#REF!</definedName>
    <definedName name="BT_EVG">#REF!</definedName>
    <definedName name="BT_MDA" localSheetId="50">#REF!</definedName>
    <definedName name="BT_MDA" localSheetId="51">#REF!</definedName>
    <definedName name="BT_MDA" localSheetId="52">#REF!</definedName>
    <definedName name="BT_MDA" localSheetId="44">#REF!</definedName>
    <definedName name="BT_MDA">#REF!</definedName>
    <definedName name="BT_MIL" localSheetId="50">#REF!</definedName>
    <definedName name="BT_MIL" localSheetId="51">#REF!</definedName>
    <definedName name="BT_MIL" localSheetId="52">#REF!</definedName>
    <definedName name="BT_MIL" localSheetId="44">#REF!</definedName>
    <definedName name="BT_MIL">#REF!</definedName>
    <definedName name="BT_MLH" localSheetId="50">#REF!</definedName>
    <definedName name="BT_MLH" localSheetId="51">#REF!</definedName>
    <definedName name="BT_MLH" localSheetId="52">#REF!</definedName>
    <definedName name="BT_MLH" localSheetId="44">#REF!</definedName>
    <definedName name="BT_MLH">#REF!</definedName>
    <definedName name="BT_VG" localSheetId="50">#REF!</definedName>
    <definedName name="BT_VG" localSheetId="51">#REF!</definedName>
    <definedName name="BT_VG" localSheetId="52">#REF!</definedName>
    <definedName name="BT_VG" localSheetId="44">#REF!</definedName>
    <definedName name="BT_VG">#REF!</definedName>
    <definedName name="C_G_LAT">#N/A</definedName>
    <definedName name="C_G_LON">#N/A</definedName>
    <definedName name="C_M_LAT">#N/A</definedName>
    <definedName name="C_M_LON">#N/A</definedName>
    <definedName name="C_S_LAT">#N/A</definedName>
    <definedName name="C_S_LON">#N/A</definedName>
    <definedName name="CLAS_ECO">#N/A</definedName>
    <definedName name="CLAS_LOC">#N/A</definedName>
    <definedName name="COD_DIST">#N/A</definedName>
    <definedName name="COD_ME_R">#N/A</definedName>
    <definedName name="COD_MI_R">#N/A</definedName>
    <definedName name="COD_MUNI">#N/A</definedName>
    <definedName name="COD_UF">#N/A</definedName>
    <definedName name="CPONT" localSheetId="50">#REF!</definedName>
    <definedName name="CPONT" localSheetId="51">#REF!</definedName>
    <definedName name="CPONT" localSheetId="52">#REF!</definedName>
    <definedName name="CPONT" localSheetId="44">#REF!</definedName>
    <definedName name="CPONT">#REF!</definedName>
    <definedName name="CTD" localSheetId="50">#REF!</definedName>
    <definedName name="CTD" localSheetId="51">#REF!</definedName>
    <definedName name="CTD" localSheetId="52">#REF!</definedName>
    <definedName name="CTD" localSheetId="44">#REF!</definedName>
    <definedName name="CTD">#REF!</definedName>
    <definedName name="Data_base_coleta">#REF!</definedName>
    <definedName name="data_base_UTE">#REF!</definedName>
    <definedName name="datafim">#REF!</definedName>
    <definedName name="DV_MUNI">#N/A</definedName>
    <definedName name="EntFin">#REF!</definedName>
    <definedName name="F_A_REF">#N/A</definedName>
    <definedName name="F_C_REF">#N/A</definedName>
    <definedName name="g">#REF!</definedName>
    <definedName name="GRV" localSheetId="50">#REF!</definedName>
    <definedName name="GRV" localSheetId="51">#REF!</definedName>
    <definedName name="GRV" localSheetId="52">#REF!</definedName>
    <definedName name="GRV" localSheetId="44">#REF!</definedName>
    <definedName name="GRV">#REF!</definedName>
    <definedName name="MLH0" localSheetId="50">#REF!</definedName>
    <definedName name="MLH0" localSheetId="51">#REF!</definedName>
    <definedName name="MLH0" localSheetId="52">#REF!</definedName>
    <definedName name="MLH0" localSheetId="44">#REF!</definedName>
    <definedName name="MLH0">#REF!</definedName>
    <definedName name="MUN_LITO">#N/A</definedName>
    <definedName name="N_LOCAL">#N/A</definedName>
    <definedName name="NUN_FRON">#N/A</definedName>
    <definedName name="O_A_REF">#N/A</definedName>
    <definedName name="O_C_REF">#N/A</definedName>
    <definedName name="POP_93">#N/A</definedName>
    <definedName name="Print_Area_MI" localSheetId="50">#REF!</definedName>
    <definedName name="Print_Area_MI" localSheetId="51">#REF!</definedName>
    <definedName name="Print_Area_MI" localSheetId="52">#REF!</definedName>
    <definedName name="Print_Area_MI" localSheetId="55">#REF!</definedName>
    <definedName name="Print_Area_MI" localSheetId="56">#REF!</definedName>
    <definedName name="Print_Area_MI" localSheetId="57">#REF!</definedName>
    <definedName name="Print_Area_MI" localSheetId="58">#REF!</definedName>
    <definedName name="Print_Area_MI" localSheetId="60">#REF!</definedName>
    <definedName name="Print_Area_MI" localSheetId="63">#REF!</definedName>
    <definedName name="Print_Area_MI" localSheetId="41">#REF!</definedName>
    <definedName name="Print_Area_MI" localSheetId="44">#REF!</definedName>
    <definedName name="Print_Area_MI" localSheetId="48">#REF!</definedName>
    <definedName name="Print_Area_MI" localSheetId="3">#REF!</definedName>
    <definedName name="Print_Area_MI">#REF!</definedName>
    <definedName name="RTC" localSheetId="50">#REF!</definedName>
    <definedName name="RTC" localSheetId="51">#REF!</definedName>
    <definedName name="RTC" localSheetId="52">#REF!</definedName>
    <definedName name="RTC" localSheetId="44">#REF!</definedName>
    <definedName name="RTC">#REF!</definedName>
    <definedName name="RTE" localSheetId="50">#REF!</definedName>
    <definedName name="RTE" localSheetId="51">#REF!</definedName>
    <definedName name="RTE" localSheetId="52">#REF!</definedName>
    <definedName name="RTE" localSheetId="44">#REF!</definedName>
    <definedName name="RTE">#REF!</definedName>
    <definedName name="RTP" localSheetId="50">#REF!</definedName>
    <definedName name="RTP" localSheetId="51">#REF!</definedName>
    <definedName name="RTP" localSheetId="52">#REF!</definedName>
    <definedName name="RTP" localSheetId="44">#REF!</definedName>
    <definedName name="RTP">#REF!</definedName>
    <definedName name="S_MAME_L">#N/A</definedName>
    <definedName name="SaiFin">#REF!</definedName>
    <definedName name="SDA" localSheetId="50">#REF!</definedName>
    <definedName name="SDA" localSheetId="51">#REF!</definedName>
    <definedName name="SDA" localSheetId="52">#REF!</definedName>
    <definedName name="SDA" localSheetId="44">#REF!</definedName>
    <definedName name="SDA">#REF!</definedName>
    <definedName name="SIGLA_UF">#N/A</definedName>
    <definedName name="Simulador" localSheetId="50">#REF!</definedName>
    <definedName name="Simulador" localSheetId="51">#REF!</definedName>
    <definedName name="Simulador" localSheetId="52">#REF!</definedName>
    <definedName name="Simulador" localSheetId="55">#REF!</definedName>
    <definedName name="Simulador" localSheetId="56">#REF!</definedName>
    <definedName name="Simulador" localSheetId="57">#REF!</definedName>
    <definedName name="Simulador" localSheetId="58">#REF!</definedName>
    <definedName name="Simulador" localSheetId="60">#REF!</definedName>
    <definedName name="Simulador" localSheetId="63">#REF!</definedName>
    <definedName name="Simulador" localSheetId="41">#REF!</definedName>
    <definedName name="Simulador" localSheetId="44">#REF!</definedName>
    <definedName name="Simulador" localSheetId="48">#REF!</definedName>
    <definedName name="Simulador" localSheetId="3">#REF!</definedName>
    <definedName name="Simulador">#REF!</definedName>
    <definedName name="solver_adj" localSheetId="55" hidden="1">'13 R1 FAT 1'!#REF!,'13 R1 FAT 1'!#REF!,'13 R1 FAT 1'!#REF!</definedName>
    <definedName name="solver_cvg" localSheetId="55" hidden="1">0.0001</definedName>
    <definedName name="solver_drv" localSheetId="55" hidden="1">1</definedName>
    <definedName name="solver_est" localSheetId="55" hidden="1">1</definedName>
    <definedName name="solver_itr" localSheetId="55" hidden="1">100</definedName>
    <definedName name="solver_lin" localSheetId="55" hidden="1">2</definedName>
    <definedName name="solver_neg" localSheetId="55" hidden="1">2</definedName>
    <definedName name="solver_num" localSheetId="55" hidden="1">0</definedName>
    <definedName name="solver_nwt" localSheetId="55" hidden="1">1</definedName>
    <definedName name="solver_opt" localSheetId="55" hidden="1">'13 R1 FAT 1'!$H$5</definedName>
    <definedName name="solver_pre" localSheetId="55" hidden="1">0.000001</definedName>
    <definedName name="solver_scl" localSheetId="55" hidden="1">2</definedName>
    <definedName name="solver_sho" localSheetId="55" hidden="1">2</definedName>
    <definedName name="solver_tim" localSheetId="55" hidden="1">100</definedName>
    <definedName name="solver_tol" localSheetId="55" hidden="1">0.05</definedName>
    <definedName name="solver_typ" localSheetId="55" hidden="1">3</definedName>
    <definedName name="solver_val" localSheetId="55" hidden="1">6530247.77</definedName>
    <definedName name="SRT" localSheetId="50">#REF!</definedName>
    <definedName name="SRT" localSheetId="51">#REF!</definedName>
    <definedName name="SRT" localSheetId="52">#REF!</definedName>
    <definedName name="SRT" localSheetId="44">#REF!</definedName>
    <definedName name="SRT">#REF!</definedName>
    <definedName name="SUDENE">#N/A</definedName>
    <definedName name="TabPBI" localSheetId="50">#REF!</definedName>
    <definedName name="TabPBI" localSheetId="51">#REF!</definedName>
    <definedName name="TabPBI" localSheetId="52">#REF!</definedName>
    <definedName name="TabPBI" localSheetId="55">#REF!</definedName>
    <definedName name="TabPBI" localSheetId="56">#REF!</definedName>
    <definedName name="TabPBI" localSheetId="57">#REF!</definedName>
    <definedName name="TabPBI" localSheetId="58">#REF!</definedName>
    <definedName name="TabPBI" localSheetId="60">#REF!</definedName>
    <definedName name="TabPBI" localSheetId="63">#REF!</definedName>
    <definedName name="TabPBI" localSheetId="41">#REF!</definedName>
    <definedName name="TabPBI" localSheetId="44">#REF!</definedName>
    <definedName name="TabPBI" localSheetId="48">#REF!</definedName>
    <definedName name="TabPBI" localSheetId="3">#REF!</definedName>
    <definedName name="TabPBI">#REF!</definedName>
    <definedName name="TabPBP" localSheetId="50">#REF!</definedName>
    <definedName name="TabPBP" localSheetId="51">#REF!</definedName>
    <definedName name="TabPBP" localSheetId="52">#REF!</definedName>
    <definedName name="TabPBP" localSheetId="55">#REF!</definedName>
    <definedName name="TabPBP" localSheetId="56">#REF!</definedName>
    <definedName name="TabPBP" localSheetId="57">#REF!</definedName>
    <definedName name="TabPBP" localSheetId="58">#REF!</definedName>
    <definedName name="TabPBP" localSheetId="60">#REF!</definedName>
    <definedName name="TabPBP" localSheetId="63">#REF!</definedName>
    <definedName name="TabPBP" localSheetId="41">#REF!</definedName>
    <definedName name="TabPBP" localSheetId="44">#REF!</definedName>
    <definedName name="TabPBP" localSheetId="48">#REF!</definedName>
    <definedName name="TabPBP" localSheetId="3">#REF!</definedName>
    <definedName name="TabPBP">#REF!</definedName>
    <definedName name="_xlnm.Print_Titles" localSheetId="38">'1 R1 Pop'!$B:$B</definedName>
    <definedName name="_xlnm.Print_Titles" localSheetId="50">'10 PQ A AF'!$B:$B</definedName>
    <definedName name="_xlnm.Print_Titles" localSheetId="51">'10 PQ A CL'!$B:$B</definedName>
    <definedName name="_xlnm.Print_Titles" localSheetId="49">'10 PQ A SA'!$B:$B</definedName>
    <definedName name="_xlnm.Print_Titles" localSheetId="52">'11 R1 PQ E'!$B:$B</definedName>
    <definedName name="_xlnm.Print_Titles" localSheetId="55">'13 R1 FAT 1'!$B:$B</definedName>
    <definedName name="_xlnm.Print_Titles" localSheetId="56">'14 R1 FAT 2'!$B:$B</definedName>
    <definedName name="_xlnm.Print_Titles" localSheetId="57">'15 R1 ARREC'!$B:$B</definedName>
    <definedName name="_xlnm.Print_Titles" localSheetId="58">'16 R1 OPEX'!$B:$B</definedName>
    <definedName name="_xlnm.Print_Titles" localSheetId="60">'17 R1 INV'!$B:$H</definedName>
    <definedName name="_xlnm.Print_Titles" localSheetId="63">'18 R1 Invest Total'!$B:$B</definedName>
    <definedName name="_xlnm.Print_Titles" localSheetId="39">'2 R1 Lig'!$B:$B</definedName>
    <definedName name="_xlnm.Print_Titles" localSheetId="40">'3 Vol'!$B:$B</definedName>
    <definedName name="_xlnm.Print_Titles" localSheetId="41">'4 R1 Vazões'!$B:$B</definedName>
    <definedName name="_xlnm.Print_Titles" localSheetId="43">'6 Inv Agua'!$B:$B</definedName>
    <definedName name="_xlnm.Print_Titles" localSheetId="44">'7 Inv Esgoto'!$B:$B</definedName>
    <definedName name="_xlnm.Print_Titles" localSheetId="46">'8 R1 RH'!$B:$B</definedName>
    <definedName name="_xlnm.Print_Titles" localSheetId="48">'9 R1 EE'!$S:$S</definedName>
    <definedName name="_xlnm.Print_Titles" localSheetId="31">'COMB A R2 deseq'!$B:$B</definedName>
    <definedName name="_xlnm.Print_Titles" localSheetId="32">'COMB A R2 reeq'!$B:$B</definedName>
    <definedName name="_xlnm.Print_Titles" localSheetId="3">'E1 9 R2 EE'!$H:$H</definedName>
    <definedName name="_xlnm.Print_Titles" localSheetId="4">'E1 R2 deseq'!$B:$B</definedName>
    <definedName name="_xlnm.Print_Titles" localSheetId="5">'E1 R2 reeq'!$B:$B</definedName>
    <definedName name="_xlnm.Print_Titles" localSheetId="8">'E2 R2 deseq'!$B:$B</definedName>
    <definedName name="_xlnm.Print_Titles" localSheetId="9">'E2 R2 reeq'!$B:$B</definedName>
    <definedName name="_xlnm.Print_Titles" localSheetId="12">'E3 R2 deseq'!$B:$B</definedName>
    <definedName name="_xlnm.Print_Titles" localSheetId="13">'E3 R2 reeq'!$B:$B</definedName>
    <definedName name="_xlnm.Print_Titles" localSheetId="16">'E4 R2 deseq'!$B:$B</definedName>
    <definedName name="_xlnm.Print_Titles" localSheetId="17">'E4 R2 reeq'!$B:$B</definedName>
    <definedName name="_xlnm.Print_Titles" localSheetId="20">'E5 R2 deseq'!$B:$B</definedName>
    <definedName name="_xlnm.Print_Titles" localSheetId="21">'E5 R2 reeq'!$B:$B</definedName>
    <definedName name="_xlnm.Print_Titles" localSheetId="23">'E6 R2 deseq'!$B:$B</definedName>
    <definedName name="_xlnm.Print_Titles" localSheetId="24">'E6 R2 reeq'!$B:$B</definedName>
    <definedName name="_xlnm.Print_Titles" localSheetId="27">'E7 R2 deseq'!$B:$B</definedName>
    <definedName name="_xlnm.Print_Titles" localSheetId="28">'E7 R2 reeq'!$B:$B</definedName>
    <definedName name="_xlnm.Print_Titles" localSheetId="36">'R1 DRE'!$B:$B</definedName>
    <definedName name="_xlnm.Print_Titles" localSheetId="37">'R1 FC'!$B:$B,'R1 FC'!$1:$3</definedName>
    <definedName name="TROCA" localSheetId="50">#REF!</definedName>
    <definedName name="TROCA" localSheetId="51">#REF!</definedName>
    <definedName name="TROCA" localSheetId="52">#REF!</definedName>
    <definedName name="TROCA" localSheetId="44">#REF!</definedName>
    <definedName name="TROCA">#REF!</definedName>
    <definedName name="VAX_ANT" localSheetId="50">#REF!</definedName>
    <definedName name="VAX_ANT" localSheetId="51">#REF!</definedName>
    <definedName name="VAX_ANT" localSheetId="52">#REF!</definedName>
    <definedName name="VAX_ANT" localSheetId="44">#REF!</definedName>
    <definedName name="VAX_ANT">#REF!</definedName>
    <definedName name="VRL" localSheetId="50">#REF!</definedName>
    <definedName name="VRL" localSheetId="51">#REF!</definedName>
    <definedName name="VRL" localSheetId="52">#REF!</definedName>
    <definedName name="VRL" localSheetId="44">#REF!</definedName>
    <definedName name="VRL">#REF!</definedName>
    <definedName name="VRL0" localSheetId="50">#REF!</definedName>
    <definedName name="VRL0" localSheetId="51">#REF!</definedName>
    <definedName name="VRL0" localSheetId="52">#REF!</definedName>
    <definedName name="VRL0" localSheetId="44">#REF!</definedName>
    <definedName name="VRL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79" l="1"/>
  <c r="M97" i="87"/>
  <c r="U83" i="87"/>
  <c r="U73" i="87"/>
  <c r="U64" i="87"/>
  <c r="U58" i="87"/>
  <c r="U48" i="87"/>
  <c r="U47" i="87" s="1"/>
  <c r="U39" i="87"/>
  <c r="U31" i="87"/>
  <c r="U32" i="87"/>
  <c r="U8" i="87"/>
  <c r="U9" i="87"/>
  <c r="D10" i="91" l="1"/>
  <c r="E7" i="132" l="1"/>
  <c r="F7" i="132"/>
  <c r="G7" i="132"/>
  <c r="H7" i="132"/>
  <c r="I7" i="132"/>
  <c r="J7" i="132"/>
  <c r="K7" i="132"/>
  <c r="D7" i="132"/>
  <c r="L8" i="132"/>
  <c r="L9" i="132"/>
  <c r="L10" i="132"/>
  <c r="F40" i="131"/>
  <c r="E40" i="131"/>
  <c r="C40" i="131"/>
  <c r="B54" i="131"/>
  <c r="K51" i="135"/>
  <c r="L51" i="135"/>
  <c r="M51" i="135"/>
  <c r="N51" i="135"/>
  <c r="O51" i="135"/>
  <c r="P51" i="135"/>
  <c r="Q51" i="135"/>
  <c r="R51" i="135"/>
  <c r="S51" i="135"/>
  <c r="T51" i="135"/>
  <c r="U51" i="135"/>
  <c r="V51" i="135"/>
  <c r="W51" i="135"/>
  <c r="X51" i="135"/>
  <c r="Y51" i="135"/>
  <c r="Z51" i="135"/>
  <c r="AA51" i="135"/>
  <c r="AB51" i="135"/>
  <c r="AC51" i="135"/>
  <c r="AD51" i="135"/>
  <c r="AE51" i="135"/>
  <c r="AF51" i="135"/>
  <c r="K51" i="110"/>
  <c r="L51" i="110"/>
  <c r="M51" i="110"/>
  <c r="N51" i="110"/>
  <c r="O51" i="110"/>
  <c r="P51" i="110"/>
  <c r="Q51" i="110"/>
  <c r="R51" i="110"/>
  <c r="S51" i="110"/>
  <c r="T51" i="110"/>
  <c r="U51" i="110"/>
  <c r="V51" i="110"/>
  <c r="W51" i="110"/>
  <c r="X51" i="110"/>
  <c r="Y51" i="110"/>
  <c r="Z51" i="110"/>
  <c r="AA51" i="110"/>
  <c r="AB51" i="110"/>
  <c r="AC51" i="110"/>
  <c r="AD51" i="110"/>
  <c r="AE51" i="110"/>
  <c r="AF51" i="110"/>
  <c r="D22" i="110"/>
  <c r="E22" i="110"/>
  <c r="F22" i="110"/>
  <c r="D23" i="110"/>
  <c r="E23" i="110"/>
  <c r="F23" i="110"/>
  <c r="D24" i="110"/>
  <c r="E24" i="110"/>
  <c r="F24" i="110"/>
  <c r="D25" i="110"/>
  <c r="E25" i="110"/>
  <c r="F25" i="110"/>
  <c r="C23" i="110"/>
  <c r="C24" i="110"/>
  <c r="C25" i="110"/>
  <c r="D23" i="135"/>
  <c r="E23" i="135"/>
  <c r="F23" i="135"/>
  <c r="D24" i="135"/>
  <c r="E24" i="135"/>
  <c r="F24" i="135"/>
  <c r="D25" i="135"/>
  <c r="E25" i="135"/>
  <c r="F25" i="135"/>
  <c r="C24" i="135"/>
  <c r="C25" i="135"/>
  <c r="D22" i="135"/>
  <c r="E22" i="135"/>
  <c r="F22" i="135"/>
  <c r="C23" i="135"/>
  <c r="G62" i="131" l="1"/>
  <c r="F62" i="131"/>
  <c r="E62" i="131"/>
  <c r="D62" i="131"/>
  <c r="C62" i="131"/>
  <c r="B62" i="131"/>
  <c r="G48" i="131"/>
  <c r="F48" i="131"/>
  <c r="C48" i="131"/>
  <c r="E48" i="131"/>
  <c r="B40" i="131"/>
  <c r="B48" i="131" s="1"/>
  <c r="AF49" i="135" l="1"/>
  <c r="AE49" i="135"/>
  <c r="AD49" i="135"/>
  <c r="AC49" i="135"/>
  <c r="AB49" i="135"/>
  <c r="AA49" i="135"/>
  <c r="Z49" i="135"/>
  <c r="Y49" i="135"/>
  <c r="X49" i="135"/>
  <c r="W49" i="135"/>
  <c r="V49" i="135"/>
  <c r="U49" i="135"/>
  <c r="T49" i="135"/>
  <c r="S49" i="135"/>
  <c r="R49" i="135"/>
  <c r="Q49" i="135"/>
  <c r="P49" i="135"/>
  <c r="O49" i="135"/>
  <c r="M49" i="135"/>
  <c r="M49" i="110"/>
  <c r="O49" i="110"/>
  <c r="P49" i="110"/>
  <c r="Q49" i="110"/>
  <c r="R49" i="110"/>
  <c r="S49" i="110"/>
  <c r="T49" i="110"/>
  <c r="U49" i="110"/>
  <c r="V49" i="110"/>
  <c r="W49" i="110"/>
  <c r="X49" i="110"/>
  <c r="Y49" i="110"/>
  <c r="Z49" i="110"/>
  <c r="AA49" i="110"/>
  <c r="AB49" i="110"/>
  <c r="AC49" i="110"/>
  <c r="AD49" i="110"/>
  <c r="AE49" i="110"/>
  <c r="AF49" i="110"/>
  <c r="L10" i="110"/>
  <c r="M10" i="110"/>
  <c r="N10" i="110"/>
  <c r="O10" i="110"/>
  <c r="P10" i="110"/>
  <c r="Q10" i="110"/>
  <c r="R10" i="110"/>
  <c r="S10" i="110"/>
  <c r="T10" i="110"/>
  <c r="U10" i="110"/>
  <c r="V10" i="110"/>
  <c r="W10" i="110"/>
  <c r="X10" i="110"/>
  <c r="Y10" i="110"/>
  <c r="Z10" i="110"/>
  <c r="AA10" i="110"/>
  <c r="AB10" i="110"/>
  <c r="AC10" i="110"/>
  <c r="AD10" i="110"/>
  <c r="AE10" i="110"/>
  <c r="AF10" i="110"/>
  <c r="L12" i="110"/>
  <c r="M12" i="110"/>
  <c r="N12" i="110"/>
  <c r="O12" i="110"/>
  <c r="P12" i="110"/>
  <c r="Q12" i="110"/>
  <c r="R12" i="110"/>
  <c r="S12" i="110"/>
  <c r="T12" i="110"/>
  <c r="U12" i="110"/>
  <c r="V12" i="110"/>
  <c r="W12" i="110"/>
  <c r="X12" i="110"/>
  <c r="Y12" i="110"/>
  <c r="Z12" i="110"/>
  <c r="AA12" i="110"/>
  <c r="AB12" i="110"/>
  <c r="AC12" i="110"/>
  <c r="AD12" i="110"/>
  <c r="AE12" i="110"/>
  <c r="AF12" i="110"/>
  <c r="K12" i="110"/>
  <c r="K10" i="110"/>
  <c r="L10" i="135"/>
  <c r="M10" i="135"/>
  <c r="N10" i="135"/>
  <c r="O10" i="135"/>
  <c r="P10" i="135"/>
  <c r="Q10" i="135"/>
  <c r="R10" i="135"/>
  <c r="S10" i="135"/>
  <c r="T10" i="135"/>
  <c r="U10" i="135"/>
  <c r="V10" i="135"/>
  <c r="W10" i="135"/>
  <c r="X10" i="135"/>
  <c r="Y10" i="135"/>
  <c r="Z10" i="135"/>
  <c r="AA10" i="135"/>
  <c r="AB10" i="135"/>
  <c r="AC10" i="135"/>
  <c r="AD10" i="135"/>
  <c r="AE10" i="135"/>
  <c r="AF10" i="135"/>
  <c r="L12" i="135"/>
  <c r="M12" i="135"/>
  <c r="N12" i="135"/>
  <c r="O12" i="135"/>
  <c r="P12" i="135"/>
  <c r="Q12" i="135"/>
  <c r="R12" i="135"/>
  <c r="S12" i="135"/>
  <c r="T12" i="135"/>
  <c r="U12" i="135"/>
  <c r="V12" i="135"/>
  <c r="W12" i="135"/>
  <c r="X12" i="135"/>
  <c r="Y12" i="135"/>
  <c r="Z12" i="135"/>
  <c r="AA12" i="135"/>
  <c r="AB12" i="135"/>
  <c r="AC12" i="135"/>
  <c r="AD12" i="135"/>
  <c r="AE12" i="135"/>
  <c r="AF12" i="135"/>
  <c r="K10" i="135"/>
  <c r="L10" i="134"/>
  <c r="M10" i="134"/>
  <c r="N10" i="134"/>
  <c r="O10" i="134"/>
  <c r="P10" i="134"/>
  <c r="Q10" i="134"/>
  <c r="R10" i="134"/>
  <c r="S10" i="134"/>
  <c r="T10" i="134"/>
  <c r="U10" i="134"/>
  <c r="V10" i="134"/>
  <c r="W10" i="134"/>
  <c r="X10" i="134"/>
  <c r="Y10" i="134"/>
  <c r="Z10" i="134"/>
  <c r="AA10" i="134"/>
  <c r="AB10" i="134"/>
  <c r="AC10" i="134"/>
  <c r="AD10" i="134"/>
  <c r="AE10" i="134"/>
  <c r="AF10" i="134"/>
  <c r="S11" i="134"/>
  <c r="T11" i="134"/>
  <c r="U11" i="134"/>
  <c r="V11" i="134"/>
  <c r="W11" i="134"/>
  <c r="X11" i="134"/>
  <c r="Y11" i="134"/>
  <c r="Z11" i="134"/>
  <c r="AA11" i="134"/>
  <c r="AB11" i="134"/>
  <c r="AC11" i="134"/>
  <c r="AD11" i="134"/>
  <c r="AE11" i="134"/>
  <c r="AF11" i="134"/>
  <c r="L12" i="134"/>
  <c r="M12" i="134"/>
  <c r="N12" i="134"/>
  <c r="O12" i="134"/>
  <c r="P12" i="134"/>
  <c r="Q12" i="134"/>
  <c r="R12" i="134"/>
  <c r="S12" i="134"/>
  <c r="T12" i="134"/>
  <c r="U12" i="134"/>
  <c r="V12" i="134"/>
  <c r="W12" i="134"/>
  <c r="X12" i="134"/>
  <c r="Y12" i="134"/>
  <c r="Z12" i="134"/>
  <c r="AA12" i="134"/>
  <c r="AB12" i="134"/>
  <c r="AC12" i="134"/>
  <c r="AD12" i="134"/>
  <c r="AE12" i="134"/>
  <c r="AF12" i="134"/>
  <c r="I43" i="109"/>
  <c r="H43" i="109"/>
  <c r="G9" i="135"/>
  <c r="G12" i="135"/>
  <c r="F12" i="135"/>
  <c r="E12" i="135"/>
  <c r="D12" i="135"/>
  <c r="C12" i="135"/>
  <c r="G11" i="135"/>
  <c r="F11" i="135"/>
  <c r="E11" i="135"/>
  <c r="D11" i="135"/>
  <c r="C11" i="135"/>
  <c r="G10" i="135"/>
  <c r="F10" i="135"/>
  <c r="E10" i="135"/>
  <c r="D10" i="135"/>
  <c r="C10" i="135"/>
  <c r="G9" i="110"/>
  <c r="G12" i="110"/>
  <c r="F12" i="110"/>
  <c r="E12" i="110"/>
  <c r="D12" i="110"/>
  <c r="C12" i="110"/>
  <c r="G11" i="110"/>
  <c r="F11" i="110"/>
  <c r="E11" i="110"/>
  <c r="D11" i="110"/>
  <c r="C11" i="110"/>
  <c r="G10" i="110"/>
  <c r="F10" i="110"/>
  <c r="E10" i="110"/>
  <c r="D10" i="110"/>
  <c r="C10" i="110"/>
  <c r="B14" i="109"/>
  <c r="G9" i="108"/>
  <c r="G12" i="108"/>
  <c r="F12" i="108"/>
  <c r="E12" i="108"/>
  <c r="D12" i="108"/>
  <c r="C12" i="108"/>
  <c r="G11" i="108"/>
  <c r="F11" i="108"/>
  <c r="E11" i="108"/>
  <c r="D11" i="108"/>
  <c r="C11" i="108"/>
  <c r="G10" i="108"/>
  <c r="F10" i="108"/>
  <c r="E10" i="108"/>
  <c r="D10" i="108"/>
  <c r="C10" i="108"/>
  <c r="D10" i="107"/>
  <c r="E10" i="107"/>
  <c r="F10" i="107"/>
  <c r="G10" i="107"/>
  <c r="D11" i="107"/>
  <c r="E11" i="107"/>
  <c r="F11" i="107"/>
  <c r="G11" i="107"/>
  <c r="D12" i="107"/>
  <c r="E12" i="107"/>
  <c r="F12" i="107"/>
  <c r="G12" i="107"/>
  <c r="C11" i="107"/>
  <c r="C12" i="107"/>
  <c r="C10" i="107"/>
  <c r="J11" i="135"/>
  <c r="J12" i="135"/>
  <c r="J10" i="135"/>
  <c r="J9" i="135"/>
  <c r="J11" i="110"/>
  <c r="J12" i="110"/>
  <c r="J10" i="110"/>
  <c r="J12" i="108"/>
  <c r="J11" i="108"/>
  <c r="J10" i="108"/>
  <c r="J9" i="108"/>
  <c r="J12" i="107"/>
  <c r="J11" i="107"/>
  <c r="J10" i="107"/>
  <c r="J9" i="107"/>
  <c r="AD40" i="86"/>
  <c r="AD41" i="86"/>
  <c r="AD42" i="86"/>
  <c r="AD43" i="86"/>
  <c r="AD44" i="86"/>
  <c r="AD45" i="86"/>
  <c r="AD46" i="86"/>
  <c r="AD47" i="86"/>
  <c r="AD48" i="86"/>
  <c r="AD49" i="86"/>
  <c r="AD50" i="86"/>
  <c r="AD51" i="86"/>
  <c r="AD52" i="86"/>
  <c r="AD53" i="86"/>
  <c r="AD54" i="86"/>
  <c r="AD39" i="86"/>
  <c r="S48" i="91"/>
  <c r="S49" i="91"/>
  <c r="S50" i="91"/>
  <c r="S51" i="91"/>
  <c r="S52" i="91"/>
  <c r="H40" i="131"/>
  <c r="I14" i="131"/>
  <c r="D40" i="131" l="1"/>
  <c r="D48" i="131" s="1"/>
  <c r="I40" i="131"/>
  <c r="G9" i="107"/>
  <c r="J9" i="110"/>
  <c r="H18" i="85"/>
  <c r="K2" i="72"/>
  <c r="AF66" i="135"/>
  <c r="C54" i="135"/>
  <c r="C53" i="135"/>
  <c r="F51" i="135"/>
  <c r="E51" i="135"/>
  <c r="D51" i="135"/>
  <c r="C51" i="135"/>
  <c r="F50" i="135"/>
  <c r="E50" i="135"/>
  <c r="D50" i="135"/>
  <c r="C50" i="135"/>
  <c r="F49" i="135"/>
  <c r="E49" i="135"/>
  <c r="D49" i="135"/>
  <c r="C49" i="135"/>
  <c r="D48" i="135"/>
  <c r="C48" i="135"/>
  <c r="AG46" i="135"/>
  <c r="C30" i="135"/>
  <c r="J25" i="135"/>
  <c r="I25" i="135"/>
  <c r="H25" i="135"/>
  <c r="G25" i="135"/>
  <c r="J24" i="135"/>
  <c r="I24" i="135"/>
  <c r="H24" i="135"/>
  <c r="G24" i="135"/>
  <c r="F21" i="135"/>
  <c r="I23" i="135"/>
  <c r="H23" i="135"/>
  <c r="G23" i="135"/>
  <c r="E21" i="135"/>
  <c r="D21" i="135"/>
  <c r="C22" i="135"/>
  <c r="C21" i="135"/>
  <c r="J20" i="135"/>
  <c r="I20" i="135"/>
  <c r="H20" i="135"/>
  <c r="G20" i="135"/>
  <c r="F20" i="135"/>
  <c r="E20" i="135"/>
  <c r="D20" i="135"/>
  <c r="C20" i="135"/>
  <c r="J19" i="135"/>
  <c r="I19" i="135"/>
  <c r="H19" i="135"/>
  <c r="G19" i="135"/>
  <c r="F19" i="135"/>
  <c r="F18" i="135" s="1"/>
  <c r="E19" i="135"/>
  <c r="E18" i="135" s="1"/>
  <c r="D19" i="135"/>
  <c r="C19" i="135"/>
  <c r="J18" i="135"/>
  <c r="C18" i="135"/>
  <c r="AF16" i="135"/>
  <c r="AE16" i="135"/>
  <c r="AD16" i="135"/>
  <c r="AC16" i="135"/>
  <c r="AB16" i="135"/>
  <c r="AA16" i="135"/>
  <c r="Z16" i="135"/>
  <c r="Y16" i="135"/>
  <c r="X16" i="135"/>
  <c r="W16" i="135"/>
  <c r="V16" i="135"/>
  <c r="U16" i="135"/>
  <c r="T16" i="135"/>
  <c r="S16" i="135"/>
  <c r="R16" i="135"/>
  <c r="Q16" i="135"/>
  <c r="P16" i="135"/>
  <c r="O16" i="135"/>
  <c r="N16" i="135"/>
  <c r="M16" i="135"/>
  <c r="L16" i="135"/>
  <c r="K16" i="135"/>
  <c r="J16" i="135"/>
  <c r="I16" i="135"/>
  <c r="H16" i="135"/>
  <c r="G16" i="135"/>
  <c r="F13" i="135"/>
  <c r="E13" i="135"/>
  <c r="D13" i="135"/>
  <c r="C13" i="135"/>
  <c r="K12" i="135"/>
  <c r="D9" i="135"/>
  <c r="D17" i="135" s="1"/>
  <c r="E9" i="135"/>
  <c r="E17" i="135" s="1"/>
  <c r="F9" i="135"/>
  <c r="F17" i="135" s="1"/>
  <c r="S50" i="134"/>
  <c r="T50" i="134"/>
  <c r="T48" i="134" s="1"/>
  <c r="U50" i="134"/>
  <c r="U48" i="134" s="1"/>
  <c r="V50" i="134"/>
  <c r="W50" i="134"/>
  <c r="X50" i="134"/>
  <c r="Y50" i="134"/>
  <c r="Z50" i="134"/>
  <c r="AA50" i="134"/>
  <c r="AB50" i="134"/>
  <c r="AC50" i="134"/>
  <c r="AD50" i="134"/>
  <c r="AE50" i="134"/>
  <c r="AF50" i="134"/>
  <c r="S50" i="133"/>
  <c r="T50" i="133"/>
  <c r="U50" i="133"/>
  <c r="V50" i="133"/>
  <c r="W50" i="133"/>
  <c r="X50" i="133"/>
  <c r="Y50" i="133"/>
  <c r="Z50" i="133"/>
  <c r="AA50" i="133"/>
  <c r="AB50" i="133"/>
  <c r="AC50" i="133"/>
  <c r="AD50" i="133"/>
  <c r="AE50" i="133"/>
  <c r="AF50" i="133"/>
  <c r="H15" i="85"/>
  <c r="L10" i="102"/>
  <c r="M10" i="102"/>
  <c r="N10" i="102"/>
  <c r="O10" i="102"/>
  <c r="P10" i="102"/>
  <c r="Q10" i="102"/>
  <c r="R10" i="102"/>
  <c r="S10" i="102"/>
  <c r="T10" i="102"/>
  <c r="U10" i="102"/>
  <c r="V10" i="102"/>
  <c r="W10" i="102"/>
  <c r="X10" i="102"/>
  <c r="Y10" i="102"/>
  <c r="Z10" i="102"/>
  <c r="AA10" i="102"/>
  <c r="AB10" i="102"/>
  <c r="AC10" i="102"/>
  <c r="AD10" i="102"/>
  <c r="AE10" i="102"/>
  <c r="AF10" i="102"/>
  <c r="L11" i="102"/>
  <c r="M11" i="102"/>
  <c r="N11" i="102"/>
  <c r="O11" i="102"/>
  <c r="P11" i="102"/>
  <c r="Q11" i="102"/>
  <c r="R11" i="102"/>
  <c r="S11" i="102"/>
  <c r="T11" i="102"/>
  <c r="U11" i="102"/>
  <c r="V11" i="102"/>
  <c r="W11" i="102"/>
  <c r="X11" i="102"/>
  <c r="Y11" i="102"/>
  <c r="Z11" i="102"/>
  <c r="AA11" i="102"/>
  <c r="AB11" i="102"/>
  <c r="AC11" i="102"/>
  <c r="AD11" i="102"/>
  <c r="AE11" i="102"/>
  <c r="AF11" i="102"/>
  <c r="K11" i="102"/>
  <c r="K10" i="102"/>
  <c r="L10" i="101"/>
  <c r="M10" i="101"/>
  <c r="N10" i="101"/>
  <c r="O10" i="101"/>
  <c r="P10" i="101"/>
  <c r="Q10" i="101"/>
  <c r="R10" i="101"/>
  <c r="S10" i="101"/>
  <c r="T10" i="101"/>
  <c r="U10" i="101"/>
  <c r="V10" i="101"/>
  <c r="W10" i="101"/>
  <c r="X10" i="101"/>
  <c r="Y10" i="101"/>
  <c r="Z10" i="101"/>
  <c r="AA10" i="101"/>
  <c r="AB10" i="101"/>
  <c r="AC10" i="101"/>
  <c r="AD10" i="101"/>
  <c r="AE10" i="101"/>
  <c r="AF10" i="101"/>
  <c r="L11" i="101"/>
  <c r="M11" i="101"/>
  <c r="N11" i="101"/>
  <c r="O11" i="101"/>
  <c r="P11" i="101"/>
  <c r="Q11" i="101"/>
  <c r="R11" i="101"/>
  <c r="S11" i="101"/>
  <c r="T11" i="101"/>
  <c r="U11" i="101"/>
  <c r="V11" i="101"/>
  <c r="W11" i="101"/>
  <c r="X11" i="101"/>
  <c r="Y11" i="101"/>
  <c r="Z11" i="101"/>
  <c r="AA11" i="101"/>
  <c r="AB11" i="101"/>
  <c r="AC11" i="101"/>
  <c r="AD11" i="101"/>
  <c r="AE11" i="101"/>
  <c r="AF11" i="101"/>
  <c r="K11" i="101"/>
  <c r="K10" i="101"/>
  <c r="M10" i="100"/>
  <c r="N10" i="100"/>
  <c r="O10" i="100"/>
  <c r="P10" i="100"/>
  <c r="Q10" i="100"/>
  <c r="R10" i="100"/>
  <c r="S10" i="100"/>
  <c r="T10" i="100"/>
  <c r="U10" i="100"/>
  <c r="V10" i="100"/>
  <c r="W10" i="100"/>
  <c r="X10" i="100"/>
  <c r="Y10" i="100"/>
  <c r="Z10" i="100"/>
  <c r="AA10" i="100"/>
  <c r="AB10" i="100"/>
  <c r="AC10" i="100"/>
  <c r="AD10" i="100"/>
  <c r="AE10" i="100"/>
  <c r="AF10" i="100"/>
  <c r="M11" i="100"/>
  <c r="N11" i="100"/>
  <c r="O11" i="100"/>
  <c r="P11" i="100"/>
  <c r="Q11" i="100"/>
  <c r="R11" i="100"/>
  <c r="S11" i="100"/>
  <c r="T11" i="100"/>
  <c r="U11" i="100"/>
  <c r="V11" i="100"/>
  <c r="W11" i="100"/>
  <c r="X11" i="100"/>
  <c r="Y11" i="100"/>
  <c r="Z11" i="100"/>
  <c r="AA11" i="100"/>
  <c r="AB11" i="100"/>
  <c r="AC11" i="100"/>
  <c r="AD11" i="100"/>
  <c r="AE11" i="100"/>
  <c r="AF11" i="100"/>
  <c r="L11" i="100"/>
  <c r="L10" i="100"/>
  <c r="M10" i="98"/>
  <c r="N10" i="98"/>
  <c r="O10" i="98"/>
  <c r="P10" i="98"/>
  <c r="Q10" i="98"/>
  <c r="R10" i="98"/>
  <c r="S10" i="98"/>
  <c r="T10" i="98"/>
  <c r="U10" i="98"/>
  <c r="V10" i="98"/>
  <c r="W10" i="98"/>
  <c r="X10" i="98"/>
  <c r="Y10" i="98"/>
  <c r="Z10" i="98"/>
  <c r="AA10" i="98"/>
  <c r="AB10" i="98"/>
  <c r="AC10" i="98"/>
  <c r="AD10" i="98"/>
  <c r="AE10" i="98"/>
  <c r="AF10" i="98"/>
  <c r="M11" i="98"/>
  <c r="N11" i="98"/>
  <c r="O11" i="98"/>
  <c r="P11" i="98"/>
  <c r="Q11" i="98"/>
  <c r="R11" i="98"/>
  <c r="S11" i="98"/>
  <c r="T11" i="98"/>
  <c r="U11" i="98"/>
  <c r="V11" i="98"/>
  <c r="W11" i="98"/>
  <c r="X11" i="98"/>
  <c r="Y11" i="98"/>
  <c r="Z11" i="98"/>
  <c r="AA11" i="98"/>
  <c r="AB11" i="98"/>
  <c r="AC11" i="98"/>
  <c r="AD11" i="98"/>
  <c r="AE11" i="98"/>
  <c r="AF11" i="98"/>
  <c r="L11" i="98"/>
  <c r="L10" i="98"/>
  <c r="AF66" i="134"/>
  <c r="C54" i="134"/>
  <c r="C53" i="134"/>
  <c r="C52" i="134"/>
  <c r="AF51" i="134"/>
  <c r="AC51" i="134"/>
  <c r="AB51" i="134"/>
  <c r="AA51" i="134"/>
  <c r="Z51" i="134"/>
  <c r="W51" i="134"/>
  <c r="V51" i="134"/>
  <c r="U51" i="134"/>
  <c r="T51" i="134"/>
  <c r="S51" i="134"/>
  <c r="R51" i="134"/>
  <c r="O51" i="134"/>
  <c r="N51" i="134"/>
  <c r="K51" i="134"/>
  <c r="J51" i="134"/>
  <c r="I51" i="134"/>
  <c r="H51" i="134"/>
  <c r="G51" i="134"/>
  <c r="F51" i="134"/>
  <c r="E51" i="134"/>
  <c r="D51" i="134"/>
  <c r="C51" i="134" a="1"/>
  <c r="J50" i="134"/>
  <c r="I50" i="134"/>
  <c r="H50" i="134"/>
  <c r="G50" i="134"/>
  <c r="F50" i="134"/>
  <c r="E50" i="134"/>
  <c r="D50" i="134"/>
  <c r="C50" i="134"/>
  <c r="U49" i="134"/>
  <c r="T49" i="134"/>
  <c r="S49" i="134"/>
  <c r="R49" i="134"/>
  <c r="Q49" i="134"/>
  <c r="N49" i="134"/>
  <c r="H49" i="134"/>
  <c r="G49" i="134"/>
  <c r="G48" i="134" s="1"/>
  <c r="C49" i="134" a="1"/>
  <c r="AG46" i="134"/>
  <c r="C30" i="134"/>
  <c r="J25" i="134"/>
  <c r="I25" i="134"/>
  <c r="H25" i="134"/>
  <c r="G25" i="134"/>
  <c r="F25" i="134"/>
  <c r="E25" i="134"/>
  <c r="D25" i="134"/>
  <c r="C25" i="134"/>
  <c r="J24" i="134"/>
  <c r="I24" i="134"/>
  <c r="H24" i="134"/>
  <c r="G24" i="134"/>
  <c r="F24" i="134"/>
  <c r="E24" i="134"/>
  <c r="D24" i="134"/>
  <c r="C24" i="134"/>
  <c r="J23" i="134"/>
  <c r="I23" i="134"/>
  <c r="H23" i="134"/>
  <c r="G23" i="134"/>
  <c r="F23" i="134"/>
  <c r="E23" i="134"/>
  <c r="D23" i="134"/>
  <c r="C23" i="134"/>
  <c r="J22" i="134"/>
  <c r="I22" i="134"/>
  <c r="H22" i="134"/>
  <c r="G22" i="134"/>
  <c r="F22" i="134"/>
  <c r="E22" i="134"/>
  <c r="D22" i="134"/>
  <c r="C22" i="134"/>
  <c r="I21" i="134"/>
  <c r="H21" i="134"/>
  <c r="G21" i="134"/>
  <c r="F21" i="134"/>
  <c r="E21" i="134"/>
  <c r="J20" i="134"/>
  <c r="J18" i="134" s="1"/>
  <c r="I20" i="134"/>
  <c r="H20" i="134"/>
  <c r="G20" i="134"/>
  <c r="F20" i="134"/>
  <c r="E20" i="134"/>
  <c r="D20" i="134"/>
  <c r="D18" i="134" s="1"/>
  <c r="C20" i="134"/>
  <c r="J19" i="134"/>
  <c r="I19" i="134"/>
  <c r="I18" i="134" s="1"/>
  <c r="H19" i="134"/>
  <c r="H18" i="134" s="1"/>
  <c r="G19" i="134"/>
  <c r="G18" i="134" s="1"/>
  <c r="F19" i="134"/>
  <c r="F18" i="134" s="1"/>
  <c r="E19" i="134"/>
  <c r="D19" i="134"/>
  <c r="C19" i="134"/>
  <c r="C18" i="134"/>
  <c r="AF16" i="134"/>
  <c r="AE16" i="134"/>
  <c r="AD16" i="134"/>
  <c r="AC16" i="134"/>
  <c r="AB16" i="134"/>
  <c r="AA16" i="134"/>
  <c r="Z16" i="134"/>
  <c r="Y16" i="134"/>
  <c r="X16" i="134"/>
  <c r="W16" i="134"/>
  <c r="V16" i="134"/>
  <c r="U16" i="134"/>
  <c r="T16" i="134"/>
  <c r="S16" i="134"/>
  <c r="R16" i="134"/>
  <c r="Q16" i="134"/>
  <c r="P16" i="134"/>
  <c r="O16" i="134"/>
  <c r="N16" i="134"/>
  <c r="M16" i="134"/>
  <c r="L16" i="134"/>
  <c r="K16" i="134"/>
  <c r="J16" i="134"/>
  <c r="I16" i="134"/>
  <c r="H16" i="134"/>
  <c r="G16" i="134"/>
  <c r="F13" i="134"/>
  <c r="E13" i="134"/>
  <c r="D13" i="134"/>
  <c r="C13" i="134"/>
  <c r="K12" i="134"/>
  <c r="J12" i="134"/>
  <c r="I12" i="134"/>
  <c r="H12" i="134"/>
  <c r="G12" i="134"/>
  <c r="F12" i="134"/>
  <c r="E12" i="134"/>
  <c r="D12" i="134"/>
  <c r="C12" i="134"/>
  <c r="J11" i="134"/>
  <c r="I11" i="134"/>
  <c r="I9" i="134" s="1"/>
  <c r="H11" i="134"/>
  <c r="G11" i="134"/>
  <c r="F11" i="134"/>
  <c r="E11" i="134"/>
  <c r="D11" i="134"/>
  <c r="C11" i="134"/>
  <c r="K10" i="134"/>
  <c r="J10" i="134"/>
  <c r="I10" i="134"/>
  <c r="H10" i="134"/>
  <c r="G10" i="134"/>
  <c r="F10" i="134"/>
  <c r="F9" i="134" s="1"/>
  <c r="F17" i="134" s="1"/>
  <c r="E10" i="134"/>
  <c r="E9" i="134" s="1"/>
  <c r="E17" i="134" s="1"/>
  <c r="D10" i="134"/>
  <c r="C10" i="134"/>
  <c r="H9" i="134"/>
  <c r="G9" i="134"/>
  <c r="D9" i="134"/>
  <c r="D17" i="134" s="1"/>
  <c r="C9" i="134"/>
  <c r="C17" i="134" s="1"/>
  <c r="S48" i="134" l="1"/>
  <c r="D26" i="135"/>
  <c r="D27" i="135" s="1"/>
  <c r="E26" i="135"/>
  <c r="E27" i="135" s="1"/>
  <c r="F26" i="135"/>
  <c r="F27" i="135" s="1"/>
  <c r="AG16" i="135"/>
  <c r="C52" i="135"/>
  <c r="AG10" i="135"/>
  <c r="F48" i="135"/>
  <c r="D18" i="135"/>
  <c r="C9" i="135"/>
  <c r="AG12" i="135"/>
  <c r="I18" i="135"/>
  <c r="E48" i="135"/>
  <c r="G18" i="135"/>
  <c r="H18" i="135"/>
  <c r="C21" i="134"/>
  <c r="C26" i="134"/>
  <c r="C27" i="134"/>
  <c r="I14" i="134"/>
  <c r="I13" i="134" s="1"/>
  <c r="I17" i="134"/>
  <c r="D26" i="134"/>
  <c r="AG10" i="134"/>
  <c r="AG12" i="134"/>
  <c r="I15" i="134"/>
  <c r="H48" i="134"/>
  <c r="E26" i="134"/>
  <c r="E27" i="134"/>
  <c r="F26" i="134"/>
  <c r="F27" i="134" s="1"/>
  <c r="E18" i="134"/>
  <c r="G14" i="134"/>
  <c r="H15" i="134"/>
  <c r="H14" i="134"/>
  <c r="H13" i="134" s="1"/>
  <c r="H17" i="134" s="1"/>
  <c r="J9" i="134"/>
  <c r="AB49" i="134"/>
  <c r="AB48" i="134" s="1"/>
  <c r="P49" i="134"/>
  <c r="D49" i="134"/>
  <c r="D48" i="134" s="1"/>
  <c r="AA49" i="134"/>
  <c r="AA48" i="134" s="1"/>
  <c r="O49" i="134"/>
  <c r="AC49" i="134"/>
  <c r="AC48" i="134" s="1"/>
  <c r="M49" i="134"/>
  <c r="Z49" i="134"/>
  <c r="Z48" i="134" s="1"/>
  <c r="L49" i="134"/>
  <c r="AE49" i="134"/>
  <c r="K49" i="134"/>
  <c r="AD49" i="134"/>
  <c r="J49" i="134"/>
  <c r="J48" i="134" s="1"/>
  <c r="Y49" i="134"/>
  <c r="Y48" i="134" s="1"/>
  <c r="I49" i="134"/>
  <c r="I48" i="134" s="1"/>
  <c r="V49" i="134"/>
  <c r="V48" i="134" s="1"/>
  <c r="C49" i="134"/>
  <c r="W49" i="134"/>
  <c r="W48" i="134" s="1"/>
  <c r="E49" i="134"/>
  <c r="E48" i="134" s="1"/>
  <c r="X49" i="134"/>
  <c r="G15" i="134"/>
  <c r="D21" i="134"/>
  <c r="D27" i="134" s="1"/>
  <c r="F49" i="134"/>
  <c r="F48" i="134" s="1"/>
  <c r="AF49" i="134"/>
  <c r="AF48" i="134" s="1"/>
  <c r="J21" i="134"/>
  <c r="Y51" i="134"/>
  <c r="M51" i="134"/>
  <c r="X51" i="134"/>
  <c r="L51" i="134"/>
  <c r="P51" i="134"/>
  <c r="AD51" i="134"/>
  <c r="AG16" i="134"/>
  <c r="C51" i="134"/>
  <c r="Q51" i="134"/>
  <c r="AE51" i="134"/>
  <c r="C38" i="109"/>
  <c r="D38" i="109"/>
  <c r="E38" i="109"/>
  <c r="B38" i="109"/>
  <c r="C34" i="109"/>
  <c r="D34" i="109"/>
  <c r="E34" i="109"/>
  <c r="B34" i="109"/>
  <c r="C29" i="109"/>
  <c r="D29" i="109"/>
  <c r="B29" i="109"/>
  <c r="C20" i="109"/>
  <c r="D20" i="109"/>
  <c r="E20" i="109"/>
  <c r="B20" i="109"/>
  <c r="C16" i="109"/>
  <c r="D16" i="109"/>
  <c r="E16" i="109"/>
  <c r="B16" i="109"/>
  <c r="C10" i="109"/>
  <c r="D10" i="109"/>
  <c r="E10" i="109"/>
  <c r="B10" i="109"/>
  <c r="W50" i="109"/>
  <c r="W47" i="109" s="1"/>
  <c r="X50" i="109"/>
  <c r="X47" i="109" s="1"/>
  <c r="Y50" i="109"/>
  <c r="Y47" i="109" s="1"/>
  <c r="Z50" i="109"/>
  <c r="Z47" i="109" s="1"/>
  <c r="AA50" i="109"/>
  <c r="AA47" i="109" s="1"/>
  <c r="V50" i="109"/>
  <c r="V47" i="109" s="1"/>
  <c r="O50" i="109"/>
  <c r="O47" i="109" s="1"/>
  <c r="P50" i="109"/>
  <c r="P47" i="109" s="1"/>
  <c r="Q50" i="109"/>
  <c r="Q47" i="109" s="1"/>
  <c r="R50" i="109"/>
  <c r="R47" i="109" s="1"/>
  <c r="S50" i="109"/>
  <c r="S47" i="109" s="1"/>
  <c r="T50" i="109"/>
  <c r="T47" i="109" s="1"/>
  <c r="U50" i="109"/>
  <c r="U47" i="109" s="1"/>
  <c r="D50" i="133"/>
  <c r="E50" i="133"/>
  <c r="F50" i="133"/>
  <c r="G50" i="133"/>
  <c r="H50" i="133"/>
  <c r="I50" i="133"/>
  <c r="J50" i="133"/>
  <c r="C50" i="133"/>
  <c r="L10" i="133"/>
  <c r="M10" i="133"/>
  <c r="N10" i="133"/>
  <c r="O10" i="133"/>
  <c r="P10" i="133"/>
  <c r="Q10" i="133"/>
  <c r="R10" i="133"/>
  <c r="S10" i="133"/>
  <c r="T10" i="133"/>
  <c r="U10" i="133"/>
  <c r="V10" i="133"/>
  <c r="W10" i="133"/>
  <c r="X10" i="133"/>
  <c r="Y10" i="133"/>
  <c r="Z10" i="133"/>
  <c r="AA10" i="133"/>
  <c r="AB10" i="133"/>
  <c r="AC10" i="133"/>
  <c r="AD10" i="133"/>
  <c r="AE10" i="133"/>
  <c r="AF10" i="133"/>
  <c r="C31" i="131"/>
  <c r="AF66" i="133"/>
  <c r="C54" i="133"/>
  <c r="C53" i="133"/>
  <c r="C51" i="133" a="1"/>
  <c r="Z51" i="133" s="1"/>
  <c r="C49" i="133" a="1"/>
  <c r="O49" i="133" s="1"/>
  <c r="AG46" i="133"/>
  <c r="C30" i="133"/>
  <c r="J25" i="133"/>
  <c r="I25" i="133"/>
  <c r="H25" i="133"/>
  <c r="G25" i="133"/>
  <c r="F25" i="133"/>
  <c r="E25" i="133"/>
  <c r="D25" i="133"/>
  <c r="C25" i="133"/>
  <c r="J24" i="133"/>
  <c r="I24" i="133"/>
  <c r="H24" i="133"/>
  <c r="G24" i="133"/>
  <c r="F24" i="133"/>
  <c r="E24" i="133"/>
  <c r="D24" i="133"/>
  <c r="C24" i="133"/>
  <c r="J23" i="133"/>
  <c r="I23" i="133"/>
  <c r="H23" i="133"/>
  <c r="G23" i="133"/>
  <c r="F23" i="133"/>
  <c r="E23" i="133"/>
  <c r="D23" i="133"/>
  <c r="D21" i="133" s="1"/>
  <c r="C23" i="133"/>
  <c r="J22" i="133"/>
  <c r="I22" i="133"/>
  <c r="H22" i="133"/>
  <c r="G22" i="133"/>
  <c r="F22" i="133"/>
  <c r="E22" i="133"/>
  <c r="D22" i="133"/>
  <c r="C22" i="133"/>
  <c r="J20" i="133"/>
  <c r="I20" i="133"/>
  <c r="H20" i="133"/>
  <c r="G20" i="133"/>
  <c r="F20" i="133"/>
  <c r="E20" i="133"/>
  <c r="D20" i="133"/>
  <c r="C20" i="133"/>
  <c r="J19" i="133"/>
  <c r="I19" i="133"/>
  <c r="H19" i="133"/>
  <c r="G19" i="133"/>
  <c r="F19" i="133"/>
  <c r="E19" i="133"/>
  <c r="D19" i="133"/>
  <c r="C19" i="133"/>
  <c r="AF16" i="133"/>
  <c r="AE16" i="133"/>
  <c r="AD16" i="133"/>
  <c r="AC16" i="133"/>
  <c r="AB16" i="133"/>
  <c r="AA16" i="133"/>
  <c r="Z16" i="133"/>
  <c r="Y16" i="133"/>
  <c r="X16" i="133"/>
  <c r="W16" i="133"/>
  <c r="V16" i="133"/>
  <c r="U16" i="133"/>
  <c r="T16" i="133"/>
  <c r="S16" i="133"/>
  <c r="R16" i="133"/>
  <c r="Q16" i="133"/>
  <c r="P16" i="133"/>
  <c r="O16" i="133"/>
  <c r="N16" i="133"/>
  <c r="M16" i="133"/>
  <c r="L16" i="133"/>
  <c r="K16" i="133"/>
  <c r="J16" i="133"/>
  <c r="I16" i="133"/>
  <c r="H16" i="133"/>
  <c r="G16" i="133"/>
  <c r="F13" i="133"/>
  <c r="E13" i="133"/>
  <c r="D13" i="133"/>
  <c r="C13" i="133"/>
  <c r="AF12" i="133"/>
  <c r="AE12" i="133"/>
  <c r="AD12" i="133"/>
  <c r="AC12" i="133"/>
  <c r="AB12" i="133"/>
  <c r="AA12" i="133"/>
  <c r="Z12" i="133"/>
  <c r="Y12" i="133"/>
  <c r="X12" i="133"/>
  <c r="W12" i="133"/>
  <c r="V12" i="133"/>
  <c r="U12" i="133"/>
  <c r="T12" i="133"/>
  <c r="S12" i="133"/>
  <c r="R12" i="133"/>
  <c r="Q12" i="133"/>
  <c r="P12" i="133"/>
  <c r="O12" i="133"/>
  <c r="N12" i="133"/>
  <c r="M12" i="133"/>
  <c r="L12" i="133"/>
  <c r="K12" i="133"/>
  <c r="J12" i="133"/>
  <c r="I12" i="133"/>
  <c r="H12" i="133"/>
  <c r="G12" i="133"/>
  <c r="F12" i="133"/>
  <c r="E12" i="133"/>
  <c r="D12" i="133"/>
  <c r="C12" i="133"/>
  <c r="J11" i="133"/>
  <c r="I11" i="133"/>
  <c r="H11" i="133"/>
  <c r="G11" i="133"/>
  <c r="F11" i="133"/>
  <c r="E11" i="133"/>
  <c r="D11" i="133"/>
  <c r="C11" i="133"/>
  <c r="K10" i="133"/>
  <c r="J10" i="133"/>
  <c r="I10" i="133"/>
  <c r="H10" i="133"/>
  <c r="G10" i="133"/>
  <c r="F10" i="133"/>
  <c r="E10" i="133"/>
  <c r="D10" i="133"/>
  <c r="C10" i="133"/>
  <c r="C343" i="132"/>
  <c r="C344" i="132" s="1"/>
  <c r="C345" i="132" s="1"/>
  <c r="C346" i="132" s="1"/>
  <c r="C347" i="132" s="1"/>
  <c r="C342" i="132"/>
  <c r="E340" i="132"/>
  <c r="F340" i="132" s="1"/>
  <c r="G340" i="132" s="1"/>
  <c r="H340" i="132" s="1"/>
  <c r="I340" i="132" s="1"/>
  <c r="J340" i="132" s="1"/>
  <c r="K340" i="132" s="1"/>
  <c r="L340" i="132" s="1"/>
  <c r="M340" i="132" s="1"/>
  <c r="N340" i="132" s="1"/>
  <c r="O340" i="132" s="1"/>
  <c r="P340" i="132" s="1"/>
  <c r="Q340" i="132" s="1"/>
  <c r="R340" i="132" s="1"/>
  <c r="S340" i="132" s="1"/>
  <c r="T340" i="132" s="1"/>
  <c r="U340" i="132" s="1"/>
  <c r="V340" i="132" s="1"/>
  <c r="W340" i="132" s="1"/>
  <c r="X340" i="132" s="1"/>
  <c r="Y340" i="132" s="1"/>
  <c r="Z340" i="132" s="1"/>
  <c r="AA340" i="132" s="1"/>
  <c r="AB340" i="132" s="1"/>
  <c r="AC340" i="132" s="1"/>
  <c r="AD340" i="132" s="1"/>
  <c r="AE340" i="132" s="1"/>
  <c r="AF340" i="132" s="1"/>
  <c r="AG340" i="132" s="1"/>
  <c r="AG337" i="132"/>
  <c r="AF337" i="132"/>
  <c r="AE337" i="132"/>
  <c r="AB337" i="132"/>
  <c r="Z337" i="132"/>
  <c r="W337" i="132"/>
  <c r="U337" i="132"/>
  <c r="T337" i="132"/>
  <c r="R337" i="132"/>
  <c r="Q337" i="132"/>
  <c r="O337" i="132"/>
  <c r="L337" i="132"/>
  <c r="K337" i="132"/>
  <c r="I337" i="132"/>
  <c r="H337" i="132"/>
  <c r="D337" i="132"/>
  <c r="AG336" i="132"/>
  <c r="AF336" i="132"/>
  <c r="AE335" i="132"/>
  <c r="AE336" i="132" s="1"/>
  <c r="AD335" i="132"/>
  <c r="AD336" i="132" s="1"/>
  <c r="AH336" i="132" s="1"/>
  <c r="AH334" i="132"/>
  <c r="AD334" i="132"/>
  <c r="AD337" i="132" s="1"/>
  <c r="AC334" i="132"/>
  <c r="AC335" i="132" s="1"/>
  <c r="AH335" i="132" s="1"/>
  <c r="AC333" i="132"/>
  <c r="AC337" i="132" s="1"/>
  <c r="AB333" i="132"/>
  <c r="AB334" i="132" s="1"/>
  <c r="AB332" i="132"/>
  <c r="AA332" i="132"/>
  <c r="AA333" i="132" s="1"/>
  <c r="AH333" i="132" s="1"/>
  <c r="Z332" i="132"/>
  <c r="AH332" i="132" s="1"/>
  <c r="AA331" i="132"/>
  <c r="AA337" i="132" s="1"/>
  <c r="Z331" i="132"/>
  <c r="Z330" i="132"/>
  <c r="Y329" i="132"/>
  <c r="W329" i="132"/>
  <c r="AH329" i="132" s="1"/>
  <c r="AH328" i="132"/>
  <c r="X328" i="132"/>
  <c r="W328" i="132"/>
  <c r="AH327" i="132"/>
  <c r="W327" i="132"/>
  <c r="V326" i="132"/>
  <c r="V327" i="132" s="1"/>
  <c r="V328" i="132" s="1"/>
  <c r="U326" i="132"/>
  <c r="U327" i="132" s="1"/>
  <c r="T326" i="132"/>
  <c r="AH326" i="132" s="1"/>
  <c r="U325" i="132"/>
  <c r="T325" i="132"/>
  <c r="T324" i="132"/>
  <c r="R324" i="132"/>
  <c r="AH324" i="132" s="1"/>
  <c r="S323" i="132"/>
  <c r="R323" i="132"/>
  <c r="Q323" i="132"/>
  <c r="AH323" i="132" s="1"/>
  <c r="R322" i="132"/>
  <c r="Q321" i="132"/>
  <c r="Q322" i="132" s="1"/>
  <c r="AH320" i="132"/>
  <c r="P320" i="132"/>
  <c r="O320" i="132"/>
  <c r="O321" i="132" s="1"/>
  <c r="AH321" i="132" s="1"/>
  <c r="N320" i="132"/>
  <c r="O319" i="132"/>
  <c r="N319" i="132"/>
  <c r="N318" i="132"/>
  <c r="N337" i="132" s="1"/>
  <c r="L318" i="132"/>
  <c r="AH318" i="132" s="1"/>
  <c r="M317" i="132"/>
  <c r="K317" i="132"/>
  <c r="AH317" i="132" s="1"/>
  <c r="L316" i="132"/>
  <c r="L317" i="132" s="1"/>
  <c r="K315" i="132"/>
  <c r="K316" i="132" s="1"/>
  <c r="I315" i="132"/>
  <c r="AH315" i="132" s="1"/>
  <c r="J314" i="132"/>
  <c r="I313" i="132"/>
  <c r="I314" i="132" s="1"/>
  <c r="H313" i="132"/>
  <c r="H314" i="132" s="1"/>
  <c r="AH314" i="132" s="1"/>
  <c r="G313" i="132"/>
  <c r="AH313" i="132" s="1"/>
  <c r="H312" i="132"/>
  <c r="G311" i="132"/>
  <c r="G312" i="132" s="1"/>
  <c r="F310" i="132"/>
  <c r="F337" i="132" s="1"/>
  <c r="E309" i="132"/>
  <c r="E337" i="132" s="1"/>
  <c r="C309" i="132"/>
  <c r="C310" i="132" s="1"/>
  <c r="C311" i="132" s="1"/>
  <c r="C312" i="132" s="1"/>
  <c r="C313" i="132" s="1"/>
  <c r="C314" i="132" s="1"/>
  <c r="C315" i="132" s="1"/>
  <c r="C316" i="132" s="1"/>
  <c r="C317" i="132" s="1"/>
  <c r="C318" i="132" s="1"/>
  <c r="C319" i="132" s="1"/>
  <c r="C320" i="132" s="1"/>
  <c r="C321" i="132" s="1"/>
  <c r="C322" i="132" s="1"/>
  <c r="C323" i="132" s="1"/>
  <c r="C324" i="132" s="1"/>
  <c r="C325" i="132" s="1"/>
  <c r="C326" i="132" s="1"/>
  <c r="C327" i="132" s="1"/>
  <c r="C328" i="132" s="1"/>
  <c r="C329" i="132" s="1"/>
  <c r="C330" i="132" s="1"/>
  <c r="C331" i="132" s="1"/>
  <c r="C332" i="132" s="1"/>
  <c r="C333" i="132" s="1"/>
  <c r="C334" i="132" s="1"/>
  <c r="C335" i="132" s="1"/>
  <c r="C336" i="132" s="1"/>
  <c r="D308" i="132"/>
  <c r="D309" i="132" s="1"/>
  <c r="C308" i="132"/>
  <c r="AH307" i="132"/>
  <c r="C307" i="132"/>
  <c r="AH306" i="132"/>
  <c r="E305" i="132"/>
  <c r="F305" i="132" s="1"/>
  <c r="G305" i="132" s="1"/>
  <c r="H305" i="132" s="1"/>
  <c r="I305" i="132" s="1"/>
  <c r="J305" i="132" s="1"/>
  <c r="K305" i="132" s="1"/>
  <c r="L305" i="132" s="1"/>
  <c r="M305" i="132" s="1"/>
  <c r="N305" i="132" s="1"/>
  <c r="O305" i="132" s="1"/>
  <c r="P305" i="132" s="1"/>
  <c r="Q305" i="132" s="1"/>
  <c r="R305" i="132" s="1"/>
  <c r="S305" i="132" s="1"/>
  <c r="T305" i="132" s="1"/>
  <c r="U305" i="132" s="1"/>
  <c r="V305" i="132" s="1"/>
  <c r="W305" i="132" s="1"/>
  <c r="X305" i="132" s="1"/>
  <c r="Y305" i="132" s="1"/>
  <c r="Z305" i="132" s="1"/>
  <c r="AA305" i="132" s="1"/>
  <c r="AB305" i="132" s="1"/>
  <c r="AC305" i="132" s="1"/>
  <c r="AD305" i="132" s="1"/>
  <c r="AE305" i="132" s="1"/>
  <c r="AF305" i="132" s="1"/>
  <c r="AG305" i="132" s="1"/>
  <c r="AH304" i="132"/>
  <c r="B304" i="132"/>
  <c r="AG299" i="132"/>
  <c r="AF299" i="132"/>
  <c r="AA299" i="132"/>
  <c r="Y299" i="132"/>
  <c r="X299" i="132"/>
  <c r="V299" i="132"/>
  <c r="T299" i="132"/>
  <c r="O299" i="132"/>
  <c r="M299" i="132"/>
  <c r="L299" i="132"/>
  <c r="I299" i="132"/>
  <c r="AG298" i="132"/>
  <c r="AF298" i="132"/>
  <c r="AE297" i="132"/>
  <c r="AC297" i="132"/>
  <c r="AC298" i="132" s="1"/>
  <c r="AB297" i="132"/>
  <c r="AB298" i="132" s="1"/>
  <c r="AH298" i="132" s="1"/>
  <c r="AA297" i="132"/>
  <c r="AH297" i="132" s="1"/>
  <c r="AD296" i="132"/>
  <c r="AC296" i="132"/>
  <c r="AC295" i="132"/>
  <c r="AC299" i="132" s="1"/>
  <c r="AA295" i="132"/>
  <c r="AA296" i="132" s="1"/>
  <c r="Y295" i="132"/>
  <c r="AH295" i="132" s="1"/>
  <c r="AH294" i="132"/>
  <c r="AB294" i="132"/>
  <c r="AB295" i="132" s="1"/>
  <c r="AB296" i="132" s="1"/>
  <c r="AA294" i="132"/>
  <c r="AA293" i="132"/>
  <c r="Y293" i="132"/>
  <c r="Y294" i="132" s="1"/>
  <c r="X293" i="132"/>
  <c r="X294" i="132" s="1"/>
  <c r="AH292" i="132"/>
  <c r="Z292" i="132"/>
  <c r="Z299" i="132" s="1"/>
  <c r="Y292" i="132"/>
  <c r="Y291" i="132"/>
  <c r="X291" i="132"/>
  <c r="X292" i="132" s="1"/>
  <c r="V291" i="132"/>
  <c r="V292" i="132" s="1"/>
  <c r="X290" i="132"/>
  <c r="W289" i="132"/>
  <c r="V288" i="132"/>
  <c r="V289" i="132" s="1"/>
  <c r="V290" i="132" s="1"/>
  <c r="U287" i="132"/>
  <c r="T287" i="132"/>
  <c r="T288" i="132" s="1"/>
  <c r="T289" i="132" s="1"/>
  <c r="T290" i="132" s="1"/>
  <c r="AH290" i="132" s="1"/>
  <c r="Q287" i="132"/>
  <c r="AH287" i="132" s="1"/>
  <c r="T286" i="132"/>
  <c r="S285" i="132"/>
  <c r="Q285" i="132"/>
  <c r="Q286" i="132" s="1"/>
  <c r="R284" i="132"/>
  <c r="Q284" i="132"/>
  <c r="Q283" i="132"/>
  <c r="Q299" i="132" s="1"/>
  <c r="P283" i="132"/>
  <c r="P284" i="132" s="1"/>
  <c r="P285" i="132" s="1"/>
  <c r="P286" i="132" s="1"/>
  <c r="AH286" i="132" s="1"/>
  <c r="O283" i="132"/>
  <c r="O284" i="132" s="1"/>
  <c r="O285" i="132" s="1"/>
  <c r="AH285" i="132" s="1"/>
  <c r="AH282" i="132"/>
  <c r="P282" i="132"/>
  <c r="P299" i="132" s="1"/>
  <c r="O282" i="132"/>
  <c r="O281" i="132"/>
  <c r="L281" i="132"/>
  <c r="L282" i="132" s="1"/>
  <c r="N280" i="132"/>
  <c r="N281" i="132" s="1"/>
  <c r="N282" i="132" s="1"/>
  <c r="N283" i="132" s="1"/>
  <c r="N284" i="132" s="1"/>
  <c r="AH284" i="132" s="1"/>
  <c r="M280" i="132"/>
  <c r="M281" i="132" s="1"/>
  <c r="M282" i="132" s="1"/>
  <c r="M283" i="132" s="1"/>
  <c r="AH283" i="132" s="1"/>
  <c r="K280" i="132"/>
  <c r="K281" i="132" s="1"/>
  <c r="AH281" i="132" s="1"/>
  <c r="M279" i="132"/>
  <c r="L279" i="132"/>
  <c r="L280" i="132" s="1"/>
  <c r="L278" i="132"/>
  <c r="I278" i="132"/>
  <c r="I279" i="132" s="1"/>
  <c r="AH279" i="132" s="1"/>
  <c r="AH277" i="132"/>
  <c r="K277" i="132"/>
  <c r="K278" i="132" s="1"/>
  <c r="K279" i="132" s="1"/>
  <c r="J276" i="132"/>
  <c r="I276" i="132"/>
  <c r="I277" i="132" s="1"/>
  <c r="G276" i="132"/>
  <c r="G277" i="132" s="1"/>
  <c r="I275" i="132"/>
  <c r="H275" i="132"/>
  <c r="H276" i="132" s="1"/>
  <c r="H277" i="132" s="1"/>
  <c r="H278" i="132" s="1"/>
  <c r="AH278" i="132" s="1"/>
  <c r="H274" i="132"/>
  <c r="H299" i="132" s="1"/>
  <c r="G273" i="132"/>
  <c r="G274" i="132" s="1"/>
  <c r="G275" i="132" s="1"/>
  <c r="F272" i="132"/>
  <c r="F273" i="132" s="1"/>
  <c r="F274" i="132" s="1"/>
  <c r="F275" i="132" s="1"/>
  <c r="F276" i="132" s="1"/>
  <c r="AH276" i="132" s="1"/>
  <c r="E272" i="132"/>
  <c r="E273" i="132" s="1"/>
  <c r="E274" i="132" s="1"/>
  <c r="E275" i="132" s="1"/>
  <c r="AH275" i="132" s="1"/>
  <c r="E271" i="132"/>
  <c r="E299" i="132" s="1"/>
  <c r="D270" i="132"/>
  <c r="C270" i="132"/>
  <c r="C271" i="132" s="1"/>
  <c r="C272" i="132" s="1"/>
  <c r="C273" i="132" s="1"/>
  <c r="C274" i="132" s="1"/>
  <c r="C275" i="132" s="1"/>
  <c r="C276" i="132" s="1"/>
  <c r="C277" i="132" s="1"/>
  <c r="C278" i="132" s="1"/>
  <c r="C279" i="132" s="1"/>
  <c r="C280" i="132" s="1"/>
  <c r="C281" i="132" s="1"/>
  <c r="C282" i="132" s="1"/>
  <c r="C283" i="132" s="1"/>
  <c r="C284" i="132" s="1"/>
  <c r="C285" i="132" s="1"/>
  <c r="C286" i="132" s="1"/>
  <c r="C287" i="132" s="1"/>
  <c r="C288" i="132" s="1"/>
  <c r="C289" i="132" s="1"/>
  <c r="C290" i="132" s="1"/>
  <c r="C291" i="132" s="1"/>
  <c r="C292" i="132" s="1"/>
  <c r="C293" i="132" s="1"/>
  <c r="C294" i="132" s="1"/>
  <c r="C295" i="132" s="1"/>
  <c r="C296" i="132" s="1"/>
  <c r="C297" i="132" s="1"/>
  <c r="C298" i="132" s="1"/>
  <c r="AH269" i="132"/>
  <c r="C269" i="132"/>
  <c r="AH268" i="132"/>
  <c r="F267" i="132"/>
  <c r="G267" i="132" s="1"/>
  <c r="H267" i="132" s="1"/>
  <c r="I267" i="132" s="1"/>
  <c r="J267" i="132" s="1"/>
  <c r="K267" i="132" s="1"/>
  <c r="L267" i="132" s="1"/>
  <c r="M267" i="132" s="1"/>
  <c r="N267" i="132" s="1"/>
  <c r="O267" i="132" s="1"/>
  <c r="P267" i="132" s="1"/>
  <c r="Q267" i="132" s="1"/>
  <c r="R267" i="132" s="1"/>
  <c r="S267" i="132" s="1"/>
  <c r="T267" i="132" s="1"/>
  <c r="U267" i="132" s="1"/>
  <c r="V267" i="132" s="1"/>
  <c r="W267" i="132" s="1"/>
  <c r="X267" i="132" s="1"/>
  <c r="Y267" i="132" s="1"/>
  <c r="Z267" i="132" s="1"/>
  <c r="AA267" i="132" s="1"/>
  <c r="AB267" i="132" s="1"/>
  <c r="AC267" i="132" s="1"/>
  <c r="AD267" i="132" s="1"/>
  <c r="AE267" i="132" s="1"/>
  <c r="AF267" i="132" s="1"/>
  <c r="AG267" i="132" s="1"/>
  <c r="E267" i="132"/>
  <c r="AH266" i="132"/>
  <c r="B266" i="132"/>
  <c r="AG261" i="132"/>
  <c r="AF261" i="132"/>
  <c r="AD261" i="132"/>
  <c r="AC261" i="132"/>
  <c r="AB261" i="132"/>
  <c r="AA261" i="132"/>
  <c r="Z261" i="132"/>
  <c r="S261" i="132"/>
  <c r="R261" i="132"/>
  <c r="N261" i="132"/>
  <c r="M261" i="132"/>
  <c r="K261" i="132"/>
  <c r="J261" i="132"/>
  <c r="I261" i="132"/>
  <c r="G261" i="132"/>
  <c r="F261" i="132"/>
  <c r="AG260" i="132"/>
  <c r="AF260" i="132"/>
  <c r="AD260" i="132"/>
  <c r="AC260" i="132"/>
  <c r="AA260" i="132"/>
  <c r="AE259" i="132"/>
  <c r="AC259" i="132"/>
  <c r="AD258" i="132"/>
  <c r="AD259" i="132" s="1"/>
  <c r="AA258" i="132"/>
  <c r="AA259" i="132" s="1"/>
  <c r="X258" i="132"/>
  <c r="AH258" i="132" s="1"/>
  <c r="AC257" i="132"/>
  <c r="AC258" i="132" s="1"/>
  <c r="AA257" i="132"/>
  <c r="AB256" i="132"/>
  <c r="AB257" i="132" s="1"/>
  <c r="AB258" i="132" s="1"/>
  <c r="AB259" i="132" s="1"/>
  <c r="AB260" i="132" s="1"/>
  <c r="Z256" i="132"/>
  <c r="Z257" i="132" s="1"/>
  <c r="Z258" i="132" s="1"/>
  <c r="Z259" i="132" s="1"/>
  <c r="Z260" i="132" s="1"/>
  <c r="AH260" i="132" s="1"/>
  <c r="AA255" i="132"/>
  <c r="AA256" i="132" s="1"/>
  <c r="Z255" i="132"/>
  <c r="Z254" i="132"/>
  <c r="Y253" i="132"/>
  <c r="X253" i="132"/>
  <c r="X254" i="132" s="1"/>
  <c r="X255" i="132" s="1"/>
  <c r="X256" i="132" s="1"/>
  <c r="X257" i="132" s="1"/>
  <c r="W253" i="132"/>
  <c r="W254" i="132" s="1"/>
  <c r="W255" i="132" s="1"/>
  <c r="W256" i="132" s="1"/>
  <c r="W257" i="132" s="1"/>
  <c r="AH257" i="132" s="1"/>
  <c r="X252" i="132"/>
  <c r="X261" i="132" s="1"/>
  <c r="W251" i="132"/>
  <c r="W252" i="132" s="1"/>
  <c r="V250" i="132"/>
  <c r="U250" i="132"/>
  <c r="U251" i="132" s="1"/>
  <c r="U252" i="132" s="1"/>
  <c r="U253" i="132" s="1"/>
  <c r="U254" i="132" s="1"/>
  <c r="U255" i="132" s="1"/>
  <c r="AH255" i="132" s="1"/>
  <c r="S250" i="132"/>
  <c r="S251" i="132" s="1"/>
  <c r="S252" i="132" s="1"/>
  <c r="S253" i="132" s="1"/>
  <c r="AH253" i="132" s="1"/>
  <c r="U249" i="132"/>
  <c r="U261" i="132" s="1"/>
  <c r="T248" i="132"/>
  <c r="R248" i="132"/>
  <c r="R249" i="132" s="1"/>
  <c r="R250" i="132" s="1"/>
  <c r="R251" i="132" s="1"/>
  <c r="R252" i="132" s="1"/>
  <c r="AH252" i="132" s="1"/>
  <c r="O248" i="132"/>
  <c r="O249" i="132" s="1"/>
  <c r="AH249" i="132" s="1"/>
  <c r="S247" i="132"/>
  <c r="S248" i="132" s="1"/>
  <c r="S249" i="132" s="1"/>
  <c r="R247" i="132"/>
  <c r="R246" i="132"/>
  <c r="P246" i="132"/>
  <c r="P247" i="132" s="1"/>
  <c r="P248" i="132" s="1"/>
  <c r="P249" i="132" s="1"/>
  <c r="P250" i="132" s="1"/>
  <c r="AH250" i="132" s="1"/>
  <c r="Q245" i="132"/>
  <c r="P245" i="132"/>
  <c r="P244" i="132"/>
  <c r="P261" i="132" s="1"/>
  <c r="O243" i="132"/>
  <c r="O244" i="132" s="1"/>
  <c r="O245" i="132" s="1"/>
  <c r="O246" i="132" s="1"/>
  <c r="O247" i="132" s="1"/>
  <c r="M243" i="132"/>
  <c r="M244" i="132" s="1"/>
  <c r="M245" i="132" s="1"/>
  <c r="M246" i="132" s="1"/>
  <c r="M247" i="132" s="1"/>
  <c r="AH247" i="132" s="1"/>
  <c r="I243" i="132"/>
  <c r="AH243" i="132" s="1"/>
  <c r="N242" i="132"/>
  <c r="N243" i="132" s="1"/>
  <c r="N244" i="132" s="1"/>
  <c r="N245" i="132" s="1"/>
  <c r="N246" i="132" s="1"/>
  <c r="N247" i="132" s="1"/>
  <c r="N248" i="132" s="1"/>
  <c r="AH248" i="132" s="1"/>
  <c r="M241" i="132"/>
  <c r="M242" i="132" s="1"/>
  <c r="K241" i="132"/>
  <c r="K242" i="132" s="1"/>
  <c r="K243" i="132" s="1"/>
  <c r="K244" i="132" s="1"/>
  <c r="K245" i="132" s="1"/>
  <c r="AH245" i="132" s="1"/>
  <c r="AH240" i="132"/>
  <c r="L240" i="132"/>
  <c r="K239" i="132"/>
  <c r="K240" i="132" s="1"/>
  <c r="J238" i="132"/>
  <c r="J239" i="132" s="1"/>
  <c r="J240" i="132" s="1"/>
  <c r="J241" i="132" s="1"/>
  <c r="J242" i="132" s="1"/>
  <c r="J243" i="132" s="1"/>
  <c r="J244" i="132" s="1"/>
  <c r="AH244" i="132" s="1"/>
  <c r="I238" i="132"/>
  <c r="I239" i="132" s="1"/>
  <c r="I240" i="132" s="1"/>
  <c r="I241" i="132" s="1"/>
  <c r="I242" i="132" s="1"/>
  <c r="H238" i="132"/>
  <c r="H239" i="132" s="1"/>
  <c r="H240" i="132" s="1"/>
  <c r="H241" i="132" s="1"/>
  <c r="H242" i="132" s="1"/>
  <c r="AH242" i="132" s="1"/>
  <c r="I237" i="132"/>
  <c r="H237" i="132"/>
  <c r="G237" i="132"/>
  <c r="G238" i="132" s="1"/>
  <c r="G239" i="132" s="1"/>
  <c r="G240" i="132" s="1"/>
  <c r="G241" i="132" s="1"/>
  <c r="AH241" i="132" s="1"/>
  <c r="H236" i="132"/>
  <c r="H261" i="132" s="1"/>
  <c r="G236" i="132"/>
  <c r="G235" i="132"/>
  <c r="F235" i="132"/>
  <c r="F236" i="132" s="1"/>
  <c r="F237" i="132" s="1"/>
  <c r="F238" i="132" s="1"/>
  <c r="F239" i="132" s="1"/>
  <c r="F240" i="132" s="1"/>
  <c r="F234" i="132"/>
  <c r="E233" i="132"/>
  <c r="D232" i="132"/>
  <c r="AH231" i="132"/>
  <c r="C231" i="132"/>
  <c r="C232" i="132" s="1"/>
  <c r="C233" i="132" s="1"/>
  <c r="C234" i="132" s="1"/>
  <c r="C235" i="132" s="1"/>
  <c r="C236" i="132" s="1"/>
  <c r="C237" i="132" s="1"/>
  <c r="C238" i="132" s="1"/>
  <c r="C239" i="132" s="1"/>
  <c r="C240" i="132" s="1"/>
  <c r="C241" i="132" s="1"/>
  <c r="C242" i="132" s="1"/>
  <c r="C243" i="132" s="1"/>
  <c r="C244" i="132" s="1"/>
  <c r="C245" i="132" s="1"/>
  <c r="C246" i="132" s="1"/>
  <c r="C247" i="132" s="1"/>
  <c r="C248" i="132" s="1"/>
  <c r="C249" i="132" s="1"/>
  <c r="C250" i="132" s="1"/>
  <c r="C251" i="132" s="1"/>
  <c r="C252" i="132" s="1"/>
  <c r="C253" i="132" s="1"/>
  <c r="C254" i="132" s="1"/>
  <c r="C255" i="132" s="1"/>
  <c r="C256" i="132" s="1"/>
  <c r="C257" i="132" s="1"/>
  <c r="C258" i="132" s="1"/>
  <c r="C259" i="132" s="1"/>
  <c r="C260" i="132" s="1"/>
  <c r="AH230" i="132"/>
  <c r="N229" i="132"/>
  <c r="O229" i="132" s="1"/>
  <c r="P229" i="132" s="1"/>
  <c r="Q229" i="132" s="1"/>
  <c r="R229" i="132" s="1"/>
  <c r="S229" i="132" s="1"/>
  <c r="T229" i="132" s="1"/>
  <c r="U229" i="132" s="1"/>
  <c r="V229" i="132" s="1"/>
  <c r="W229" i="132" s="1"/>
  <c r="X229" i="132" s="1"/>
  <c r="Y229" i="132" s="1"/>
  <c r="Z229" i="132" s="1"/>
  <c r="AA229" i="132" s="1"/>
  <c r="AB229" i="132" s="1"/>
  <c r="AC229" i="132" s="1"/>
  <c r="AD229" i="132" s="1"/>
  <c r="AE229" i="132" s="1"/>
  <c r="AF229" i="132" s="1"/>
  <c r="AG229" i="132" s="1"/>
  <c r="I229" i="132"/>
  <c r="J229" i="132" s="1"/>
  <c r="K229" i="132" s="1"/>
  <c r="L229" i="132" s="1"/>
  <c r="M229" i="132" s="1"/>
  <c r="E229" i="132"/>
  <c r="F229" i="132" s="1"/>
  <c r="G229" i="132" s="1"/>
  <c r="H229" i="132" s="1"/>
  <c r="AH228" i="132"/>
  <c r="B228" i="132"/>
  <c r="AG225" i="132"/>
  <c r="AF225" i="132"/>
  <c r="AC225" i="132"/>
  <c r="Y225" i="132"/>
  <c r="X225" i="132"/>
  <c r="W225" i="132"/>
  <c r="T225" i="132"/>
  <c r="S225" i="132"/>
  <c r="M225" i="132"/>
  <c r="J225" i="132"/>
  <c r="I225" i="132"/>
  <c r="H225" i="132"/>
  <c r="G225" i="132"/>
  <c r="E225" i="132"/>
  <c r="D225" i="132"/>
  <c r="AG224" i="132"/>
  <c r="AF224" i="132"/>
  <c r="AE224" i="132"/>
  <c r="AE223" i="132"/>
  <c r="AE225" i="132" s="1"/>
  <c r="AD222" i="132"/>
  <c r="AC221" i="132"/>
  <c r="AC222" i="132" s="1"/>
  <c r="AC223" i="132" s="1"/>
  <c r="AC224" i="132" s="1"/>
  <c r="AB221" i="132"/>
  <c r="AB222" i="132" s="1"/>
  <c r="AB223" i="132" s="1"/>
  <c r="AB224" i="132" s="1"/>
  <c r="Y221" i="132"/>
  <c r="Y222" i="132" s="1"/>
  <c r="Y223" i="132" s="1"/>
  <c r="Y224" i="132" s="1"/>
  <c r="AB220" i="132"/>
  <c r="AB225" i="132" s="1"/>
  <c r="AA219" i="132"/>
  <c r="W219" i="132"/>
  <c r="W220" i="132" s="1"/>
  <c r="W221" i="132" s="1"/>
  <c r="W222" i="132" s="1"/>
  <c r="W223" i="132" s="1"/>
  <c r="W224" i="132" s="1"/>
  <c r="AH224" i="132" s="1"/>
  <c r="Z218" i="132"/>
  <c r="Y218" i="132"/>
  <c r="Y219" i="132" s="1"/>
  <c r="Y220" i="132" s="1"/>
  <c r="V218" i="132"/>
  <c r="V219" i="132" s="1"/>
  <c r="V220" i="132" s="1"/>
  <c r="V221" i="132" s="1"/>
  <c r="V222" i="132" s="1"/>
  <c r="V223" i="132" s="1"/>
  <c r="AH223" i="132" s="1"/>
  <c r="Y217" i="132"/>
  <c r="V217" i="132"/>
  <c r="X216" i="132"/>
  <c r="X217" i="132" s="1"/>
  <c r="X218" i="132" s="1"/>
  <c r="X219" i="132" s="1"/>
  <c r="X220" i="132" s="1"/>
  <c r="X221" i="132" s="1"/>
  <c r="X222" i="132" s="1"/>
  <c r="X223" i="132" s="1"/>
  <c r="X224" i="132" s="1"/>
  <c r="W216" i="132"/>
  <c r="W217" i="132" s="1"/>
  <c r="W218" i="132" s="1"/>
  <c r="W215" i="132"/>
  <c r="V214" i="132"/>
  <c r="V215" i="132" s="1"/>
  <c r="V216" i="132" s="1"/>
  <c r="U213" i="132"/>
  <c r="T213" i="132"/>
  <c r="T214" i="132" s="1"/>
  <c r="T215" i="132" s="1"/>
  <c r="T216" i="132" s="1"/>
  <c r="T217" i="132" s="1"/>
  <c r="T218" i="132" s="1"/>
  <c r="T219" i="132" s="1"/>
  <c r="T220" i="132" s="1"/>
  <c r="T221" i="132" s="1"/>
  <c r="AH221" i="132" s="1"/>
  <c r="T212" i="132"/>
  <c r="S211" i="132"/>
  <c r="S212" i="132" s="1"/>
  <c r="S213" i="132" s="1"/>
  <c r="S214" i="132" s="1"/>
  <c r="S215" i="132" s="1"/>
  <c r="S216" i="132" s="1"/>
  <c r="S217" i="132" s="1"/>
  <c r="S218" i="132" s="1"/>
  <c r="S219" i="132" s="1"/>
  <c r="S220" i="132" s="1"/>
  <c r="AH220" i="132" s="1"/>
  <c r="N211" i="132"/>
  <c r="N212" i="132" s="1"/>
  <c r="N213" i="132" s="1"/>
  <c r="N214" i="132" s="1"/>
  <c r="N215" i="132" s="1"/>
  <c r="AH215" i="132" s="1"/>
  <c r="M211" i="132"/>
  <c r="M212" i="132" s="1"/>
  <c r="M213" i="132" s="1"/>
  <c r="M214" i="132" s="1"/>
  <c r="AH214" i="132" s="1"/>
  <c r="R210" i="132"/>
  <c r="Q209" i="132"/>
  <c r="P209" i="132"/>
  <c r="P210" i="132" s="1"/>
  <c r="P211" i="132" s="1"/>
  <c r="P212" i="132" s="1"/>
  <c r="P213" i="132" s="1"/>
  <c r="P214" i="132" s="1"/>
  <c r="P215" i="132" s="1"/>
  <c r="P216" i="132" s="1"/>
  <c r="P217" i="132" s="1"/>
  <c r="AH217" i="132" s="1"/>
  <c r="P208" i="132"/>
  <c r="P225" i="132" s="1"/>
  <c r="O207" i="132"/>
  <c r="N207" i="132"/>
  <c r="N208" i="132" s="1"/>
  <c r="N209" i="132" s="1"/>
  <c r="N210" i="132" s="1"/>
  <c r="N206" i="132"/>
  <c r="N225" i="132" s="1"/>
  <c r="M206" i="132"/>
  <c r="M207" i="132" s="1"/>
  <c r="M208" i="132" s="1"/>
  <c r="M209" i="132" s="1"/>
  <c r="M210" i="132" s="1"/>
  <c r="H206" i="132"/>
  <c r="H207" i="132" s="1"/>
  <c r="H208" i="132" s="1"/>
  <c r="H209" i="132" s="1"/>
  <c r="AH209" i="132" s="1"/>
  <c r="M205" i="132"/>
  <c r="L204" i="132"/>
  <c r="K203" i="132"/>
  <c r="J203" i="132"/>
  <c r="J204" i="132" s="1"/>
  <c r="J205" i="132" s="1"/>
  <c r="J206" i="132" s="1"/>
  <c r="J207" i="132" s="1"/>
  <c r="J208" i="132" s="1"/>
  <c r="J209" i="132" s="1"/>
  <c r="J210" i="132" s="1"/>
  <c r="J211" i="132" s="1"/>
  <c r="AH211" i="132" s="1"/>
  <c r="I203" i="132"/>
  <c r="I204" i="132" s="1"/>
  <c r="I205" i="132" s="1"/>
  <c r="I206" i="132" s="1"/>
  <c r="I207" i="132" s="1"/>
  <c r="I208" i="132" s="1"/>
  <c r="I209" i="132" s="1"/>
  <c r="I210" i="132" s="1"/>
  <c r="AH210" i="132" s="1"/>
  <c r="H203" i="132"/>
  <c r="H204" i="132" s="1"/>
  <c r="H205" i="132" s="1"/>
  <c r="J202" i="132"/>
  <c r="G202" i="132"/>
  <c r="G203" i="132" s="1"/>
  <c r="G204" i="132" s="1"/>
  <c r="G205" i="132" s="1"/>
  <c r="G206" i="132" s="1"/>
  <c r="G207" i="132" s="1"/>
  <c r="G208" i="132" s="1"/>
  <c r="AH208" i="132" s="1"/>
  <c r="I201" i="132"/>
  <c r="I202" i="132" s="1"/>
  <c r="H200" i="132"/>
  <c r="H201" i="132" s="1"/>
  <c r="H202" i="132" s="1"/>
  <c r="G200" i="132"/>
  <c r="G201" i="132" s="1"/>
  <c r="G199" i="132"/>
  <c r="E199" i="132"/>
  <c r="E200" i="132" s="1"/>
  <c r="E201" i="132" s="1"/>
  <c r="E202" i="132" s="1"/>
  <c r="E203" i="132" s="1"/>
  <c r="E204" i="132" s="1"/>
  <c r="E205" i="132" s="1"/>
  <c r="E206" i="132" s="1"/>
  <c r="AH206" i="132" s="1"/>
  <c r="F198" i="132"/>
  <c r="E197" i="132"/>
  <c r="E198" i="132" s="1"/>
  <c r="D197" i="132"/>
  <c r="D196" i="132"/>
  <c r="AH196" i="132" s="1"/>
  <c r="AH195" i="132"/>
  <c r="C195" i="132"/>
  <c r="C196" i="132" s="1"/>
  <c r="C197" i="132" s="1"/>
  <c r="C198" i="132" s="1"/>
  <c r="C199" i="132" s="1"/>
  <c r="C200" i="132" s="1"/>
  <c r="C201" i="132" s="1"/>
  <c r="C202" i="132" s="1"/>
  <c r="C203" i="132" s="1"/>
  <c r="C204" i="132" s="1"/>
  <c r="C205" i="132" s="1"/>
  <c r="C206" i="132" s="1"/>
  <c r="C207" i="132" s="1"/>
  <c r="C208" i="132" s="1"/>
  <c r="C209" i="132" s="1"/>
  <c r="C210" i="132" s="1"/>
  <c r="C211" i="132" s="1"/>
  <c r="C212" i="132" s="1"/>
  <c r="C213" i="132" s="1"/>
  <c r="C214" i="132" s="1"/>
  <c r="C215" i="132" s="1"/>
  <c r="C216" i="132" s="1"/>
  <c r="C217" i="132" s="1"/>
  <c r="C218" i="132" s="1"/>
  <c r="C219" i="132" s="1"/>
  <c r="C220" i="132" s="1"/>
  <c r="C221" i="132" s="1"/>
  <c r="C222" i="132" s="1"/>
  <c r="C223" i="132" s="1"/>
  <c r="C224" i="132" s="1"/>
  <c r="AH194" i="132"/>
  <c r="AH225" i="132" s="1"/>
  <c r="F193" i="132"/>
  <c r="G193" i="132" s="1"/>
  <c r="H193" i="132" s="1"/>
  <c r="I193" i="132" s="1"/>
  <c r="J193" i="132" s="1"/>
  <c r="K193" i="132" s="1"/>
  <c r="L193" i="132" s="1"/>
  <c r="M193" i="132" s="1"/>
  <c r="N193" i="132" s="1"/>
  <c r="O193" i="132" s="1"/>
  <c r="P193" i="132" s="1"/>
  <c r="Q193" i="132" s="1"/>
  <c r="R193" i="132" s="1"/>
  <c r="S193" i="132" s="1"/>
  <c r="T193" i="132" s="1"/>
  <c r="U193" i="132" s="1"/>
  <c r="V193" i="132" s="1"/>
  <c r="W193" i="132" s="1"/>
  <c r="X193" i="132" s="1"/>
  <c r="Y193" i="132" s="1"/>
  <c r="Z193" i="132" s="1"/>
  <c r="AA193" i="132" s="1"/>
  <c r="AB193" i="132" s="1"/>
  <c r="AC193" i="132" s="1"/>
  <c r="AD193" i="132" s="1"/>
  <c r="AE193" i="132" s="1"/>
  <c r="AF193" i="132" s="1"/>
  <c r="AG193" i="132" s="1"/>
  <c r="E193" i="132"/>
  <c r="AH192" i="132"/>
  <c r="B192" i="132"/>
  <c r="AG188" i="132"/>
  <c r="AF188" i="132"/>
  <c r="X188" i="132"/>
  <c r="W188" i="132"/>
  <c r="U188" i="132"/>
  <c r="T188" i="132"/>
  <c r="S188" i="132"/>
  <c r="M188" i="132"/>
  <c r="I188" i="132"/>
  <c r="G188" i="132"/>
  <c r="F188" i="132"/>
  <c r="E188" i="132"/>
  <c r="AG187" i="132"/>
  <c r="AF187" i="132"/>
  <c r="AE187" i="132"/>
  <c r="AE186" i="132"/>
  <c r="AE188" i="132" s="1"/>
  <c r="AD186" i="132"/>
  <c r="AD187" i="132" s="1"/>
  <c r="AD185" i="132"/>
  <c r="AD188" i="132" s="1"/>
  <c r="AC184" i="132"/>
  <c r="AB184" i="132"/>
  <c r="AB185" i="132" s="1"/>
  <c r="AB186" i="132" s="1"/>
  <c r="AB187" i="132" s="1"/>
  <c r="AB183" i="132"/>
  <c r="AB188" i="132" s="1"/>
  <c r="AA182" i="132"/>
  <c r="Z181" i="132"/>
  <c r="Y181" i="132"/>
  <c r="Y182" i="132" s="1"/>
  <c r="Y183" i="132" s="1"/>
  <c r="Y184" i="132" s="1"/>
  <c r="Y185" i="132" s="1"/>
  <c r="Y186" i="132" s="1"/>
  <c r="Y187" i="132" s="1"/>
  <c r="Y180" i="132"/>
  <c r="Y188" i="132" s="1"/>
  <c r="X180" i="132"/>
  <c r="X181" i="132" s="1"/>
  <c r="X182" i="132" s="1"/>
  <c r="X183" i="132" s="1"/>
  <c r="X184" i="132" s="1"/>
  <c r="X185" i="132" s="1"/>
  <c r="X186" i="132" s="1"/>
  <c r="X187" i="132" s="1"/>
  <c r="W180" i="132"/>
  <c r="W181" i="132" s="1"/>
  <c r="W182" i="132" s="1"/>
  <c r="W183" i="132" s="1"/>
  <c r="W184" i="132" s="1"/>
  <c r="W185" i="132" s="1"/>
  <c r="W186" i="132" s="1"/>
  <c r="W187" i="132" s="1"/>
  <c r="U180" i="132"/>
  <c r="U181" i="132" s="1"/>
  <c r="U182" i="132" s="1"/>
  <c r="U183" i="132" s="1"/>
  <c r="U184" i="132" s="1"/>
  <c r="U185" i="132" s="1"/>
  <c r="U186" i="132" s="1"/>
  <c r="U187" i="132" s="1"/>
  <c r="AH187" i="132" s="1"/>
  <c r="X179" i="132"/>
  <c r="W179" i="132"/>
  <c r="W178" i="132"/>
  <c r="V177" i="132"/>
  <c r="T177" i="132"/>
  <c r="T178" i="132" s="1"/>
  <c r="T179" i="132" s="1"/>
  <c r="T180" i="132" s="1"/>
  <c r="T181" i="132" s="1"/>
  <c r="T182" i="132" s="1"/>
  <c r="T183" i="132" s="1"/>
  <c r="T184" i="132" s="1"/>
  <c r="T185" i="132" s="1"/>
  <c r="T186" i="132" s="1"/>
  <c r="AH186" i="132" s="1"/>
  <c r="U176" i="132"/>
  <c r="U177" i="132" s="1"/>
  <c r="U178" i="132" s="1"/>
  <c r="U179" i="132" s="1"/>
  <c r="T176" i="132"/>
  <c r="Q176" i="132"/>
  <c r="Q177" i="132" s="1"/>
  <c r="Q178" i="132" s="1"/>
  <c r="Q179" i="132" s="1"/>
  <c r="Q180" i="132" s="1"/>
  <c r="Q181" i="132" s="1"/>
  <c r="Q182" i="132" s="1"/>
  <c r="Q183" i="132" s="1"/>
  <c r="AH183" i="132" s="1"/>
  <c r="T175" i="132"/>
  <c r="S174" i="132"/>
  <c r="S175" i="132" s="1"/>
  <c r="S176" i="132" s="1"/>
  <c r="S177" i="132" s="1"/>
  <c r="S178" i="132" s="1"/>
  <c r="S179" i="132" s="1"/>
  <c r="S180" i="132" s="1"/>
  <c r="S181" i="132" s="1"/>
  <c r="S182" i="132" s="1"/>
  <c r="S183" i="132" s="1"/>
  <c r="S184" i="132" s="1"/>
  <c r="S185" i="132" s="1"/>
  <c r="AH185" i="132" s="1"/>
  <c r="R173" i="132"/>
  <c r="Q173" i="132"/>
  <c r="Q174" i="132" s="1"/>
  <c r="Q175" i="132" s="1"/>
  <c r="P173" i="132"/>
  <c r="P174" i="132" s="1"/>
  <c r="P175" i="132" s="1"/>
  <c r="P176" i="132" s="1"/>
  <c r="P177" i="132" s="1"/>
  <c r="P178" i="132" s="1"/>
  <c r="P179" i="132" s="1"/>
  <c r="P180" i="132" s="1"/>
  <c r="P181" i="132" s="1"/>
  <c r="P182" i="132" s="1"/>
  <c r="AH182" i="132" s="1"/>
  <c r="Q172" i="132"/>
  <c r="Q188" i="132" s="1"/>
  <c r="P172" i="132"/>
  <c r="P171" i="132"/>
  <c r="P188" i="132" s="1"/>
  <c r="N171" i="132"/>
  <c r="N172" i="132" s="1"/>
  <c r="N173" i="132" s="1"/>
  <c r="N174" i="132" s="1"/>
  <c r="N175" i="132" s="1"/>
  <c r="N176" i="132" s="1"/>
  <c r="N177" i="132" s="1"/>
  <c r="N178" i="132" s="1"/>
  <c r="N179" i="132" s="1"/>
  <c r="N180" i="132" s="1"/>
  <c r="AH180" i="132" s="1"/>
  <c r="H171" i="132"/>
  <c r="H172" i="132" s="1"/>
  <c r="H173" i="132" s="1"/>
  <c r="H174" i="132" s="1"/>
  <c r="AH174" i="132" s="1"/>
  <c r="O170" i="132"/>
  <c r="N170" i="132"/>
  <c r="N169" i="132"/>
  <c r="N188" i="132" s="1"/>
  <c r="M169" i="132"/>
  <c r="M170" i="132" s="1"/>
  <c r="M171" i="132" s="1"/>
  <c r="M172" i="132" s="1"/>
  <c r="M173" i="132" s="1"/>
  <c r="M174" i="132" s="1"/>
  <c r="M175" i="132" s="1"/>
  <c r="M176" i="132" s="1"/>
  <c r="M177" i="132" s="1"/>
  <c r="M178" i="132" s="1"/>
  <c r="M179" i="132" s="1"/>
  <c r="AH179" i="132" s="1"/>
  <c r="M168" i="132"/>
  <c r="L167" i="132"/>
  <c r="K166" i="132"/>
  <c r="J165" i="132"/>
  <c r="J188" i="132" s="1"/>
  <c r="I165" i="132"/>
  <c r="I166" i="132" s="1"/>
  <c r="I167" i="132" s="1"/>
  <c r="I168" i="132" s="1"/>
  <c r="I169" i="132" s="1"/>
  <c r="I170" i="132" s="1"/>
  <c r="I171" i="132" s="1"/>
  <c r="I172" i="132" s="1"/>
  <c r="I173" i="132" s="1"/>
  <c r="I174" i="132" s="1"/>
  <c r="I175" i="132" s="1"/>
  <c r="AH175" i="132" s="1"/>
  <c r="G165" i="132"/>
  <c r="G166" i="132" s="1"/>
  <c r="G167" i="132" s="1"/>
  <c r="G168" i="132" s="1"/>
  <c r="G169" i="132" s="1"/>
  <c r="G170" i="132" s="1"/>
  <c r="G171" i="132" s="1"/>
  <c r="G172" i="132" s="1"/>
  <c r="G173" i="132" s="1"/>
  <c r="AH173" i="132" s="1"/>
  <c r="I164" i="132"/>
  <c r="H163" i="132"/>
  <c r="H164" i="132" s="1"/>
  <c r="H165" i="132" s="1"/>
  <c r="H166" i="132" s="1"/>
  <c r="H167" i="132" s="1"/>
  <c r="H168" i="132" s="1"/>
  <c r="H169" i="132" s="1"/>
  <c r="H170" i="132" s="1"/>
  <c r="G163" i="132"/>
  <c r="G164" i="132" s="1"/>
  <c r="F163" i="132"/>
  <c r="F164" i="132" s="1"/>
  <c r="F165" i="132" s="1"/>
  <c r="F166" i="132" s="1"/>
  <c r="F167" i="132" s="1"/>
  <c r="F168" i="132" s="1"/>
  <c r="F169" i="132" s="1"/>
  <c r="F170" i="132" s="1"/>
  <c r="F171" i="132" s="1"/>
  <c r="F172" i="132" s="1"/>
  <c r="AH172" i="132" s="1"/>
  <c r="G162" i="132"/>
  <c r="E162" i="132"/>
  <c r="E163" i="132" s="1"/>
  <c r="E164" i="132" s="1"/>
  <c r="E165" i="132" s="1"/>
  <c r="E166" i="132" s="1"/>
  <c r="E167" i="132" s="1"/>
  <c r="E168" i="132" s="1"/>
  <c r="E169" i="132" s="1"/>
  <c r="E170" i="132" s="1"/>
  <c r="E171" i="132" s="1"/>
  <c r="AH171" i="132" s="1"/>
  <c r="F161" i="132"/>
  <c r="F162" i="132" s="1"/>
  <c r="E161" i="132"/>
  <c r="E160" i="132"/>
  <c r="D159" i="132"/>
  <c r="AH158" i="132"/>
  <c r="C158" i="132"/>
  <c r="C159" i="132" s="1"/>
  <c r="C160" i="132" s="1"/>
  <c r="C161" i="132" s="1"/>
  <c r="C162" i="132" s="1"/>
  <c r="C163" i="132" s="1"/>
  <c r="C164" i="132" s="1"/>
  <c r="C165" i="132" s="1"/>
  <c r="C166" i="132" s="1"/>
  <c r="C167" i="132" s="1"/>
  <c r="C168" i="132" s="1"/>
  <c r="C169" i="132" s="1"/>
  <c r="C170" i="132" s="1"/>
  <c r="C171" i="132" s="1"/>
  <c r="C172" i="132" s="1"/>
  <c r="C173" i="132" s="1"/>
  <c r="C174" i="132" s="1"/>
  <c r="C175" i="132" s="1"/>
  <c r="C176" i="132" s="1"/>
  <c r="C177" i="132" s="1"/>
  <c r="C178" i="132" s="1"/>
  <c r="C179" i="132" s="1"/>
  <c r="C180" i="132" s="1"/>
  <c r="C181" i="132" s="1"/>
  <c r="C182" i="132" s="1"/>
  <c r="C183" i="132" s="1"/>
  <c r="C184" i="132" s="1"/>
  <c r="C185" i="132" s="1"/>
  <c r="C186" i="132" s="1"/>
  <c r="C187" i="132" s="1"/>
  <c r="AH157" i="132"/>
  <c r="E156" i="132"/>
  <c r="F156" i="132" s="1"/>
  <c r="G156" i="132" s="1"/>
  <c r="H156" i="132" s="1"/>
  <c r="I156" i="132" s="1"/>
  <c r="J156" i="132" s="1"/>
  <c r="K156" i="132" s="1"/>
  <c r="L156" i="132" s="1"/>
  <c r="M156" i="132" s="1"/>
  <c r="N156" i="132" s="1"/>
  <c r="O156" i="132" s="1"/>
  <c r="P156" i="132" s="1"/>
  <c r="Q156" i="132" s="1"/>
  <c r="R156" i="132" s="1"/>
  <c r="S156" i="132" s="1"/>
  <c r="T156" i="132" s="1"/>
  <c r="U156" i="132" s="1"/>
  <c r="V156" i="132" s="1"/>
  <c r="W156" i="132" s="1"/>
  <c r="X156" i="132" s="1"/>
  <c r="Y156" i="132" s="1"/>
  <c r="Z156" i="132" s="1"/>
  <c r="AA156" i="132" s="1"/>
  <c r="AB156" i="132" s="1"/>
  <c r="AC156" i="132" s="1"/>
  <c r="AD156" i="132" s="1"/>
  <c r="AE156" i="132" s="1"/>
  <c r="AF156" i="132" s="1"/>
  <c r="AG156" i="132" s="1"/>
  <c r="AH155" i="132"/>
  <c r="B155" i="132"/>
  <c r="AG151" i="132"/>
  <c r="AF151" i="132"/>
  <c r="AA151" i="132"/>
  <c r="V151" i="132"/>
  <c r="T151" i="132"/>
  <c r="R151" i="132"/>
  <c r="P151" i="132"/>
  <c r="L151" i="132"/>
  <c r="K151" i="132"/>
  <c r="J151" i="132"/>
  <c r="F151" i="132"/>
  <c r="E151" i="132"/>
  <c r="AF150" i="132"/>
  <c r="AC150" i="132"/>
  <c r="AB150" i="132"/>
  <c r="AA150" i="132"/>
  <c r="Y150" i="132"/>
  <c r="AE149" i="132"/>
  <c r="AD149" i="132"/>
  <c r="AD150" i="132" s="1"/>
  <c r="AC149" i="132"/>
  <c r="AB149" i="132"/>
  <c r="AA149" i="132"/>
  <c r="Z149" i="132"/>
  <c r="Z150" i="132" s="1"/>
  <c r="AD148" i="132"/>
  <c r="AD151" i="132" s="1"/>
  <c r="AC148" i="132"/>
  <c r="Z148" i="132"/>
  <c r="Y148" i="132"/>
  <c r="Y149" i="132" s="1"/>
  <c r="AC147" i="132"/>
  <c r="AC151" i="132" s="1"/>
  <c r="AB147" i="132"/>
  <c r="AB148" i="132" s="1"/>
  <c r="AA147" i="132"/>
  <c r="AA148" i="132" s="1"/>
  <c r="Z147" i="132"/>
  <c r="Y147" i="132"/>
  <c r="AB146" i="132"/>
  <c r="AB151" i="132" s="1"/>
  <c r="AA146" i="132"/>
  <c r="AA145" i="132"/>
  <c r="Z145" i="132"/>
  <c r="Z146" i="132" s="1"/>
  <c r="Z144" i="132"/>
  <c r="Z151" i="132" s="1"/>
  <c r="Y144" i="132"/>
  <c r="Y145" i="132" s="1"/>
  <c r="Y146" i="132" s="1"/>
  <c r="V144" i="132"/>
  <c r="V145" i="132" s="1"/>
  <c r="V146" i="132" s="1"/>
  <c r="V147" i="132" s="1"/>
  <c r="V148" i="132" s="1"/>
  <c r="V149" i="132" s="1"/>
  <c r="V150" i="132" s="1"/>
  <c r="Y143" i="132"/>
  <c r="Y151" i="132" s="1"/>
  <c r="V143" i="132"/>
  <c r="X142" i="132"/>
  <c r="V142" i="132"/>
  <c r="W141" i="132"/>
  <c r="V140" i="132"/>
  <c r="V141" i="132" s="1"/>
  <c r="U139" i="132"/>
  <c r="U140" i="132" s="1"/>
  <c r="U141" i="132" s="1"/>
  <c r="U142" i="132" s="1"/>
  <c r="U143" i="132" s="1"/>
  <c r="U144" i="132" s="1"/>
  <c r="U145" i="132" s="1"/>
  <c r="U146" i="132" s="1"/>
  <c r="U147" i="132" s="1"/>
  <c r="U148" i="132" s="1"/>
  <c r="U149" i="132" s="1"/>
  <c r="U150" i="132" s="1"/>
  <c r="T139" i="132"/>
  <c r="T140" i="132" s="1"/>
  <c r="T141" i="132" s="1"/>
  <c r="T142" i="132" s="1"/>
  <c r="T143" i="132" s="1"/>
  <c r="T144" i="132" s="1"/>
  <c r="T145" i="132" s="1"/>
  <c r="T146" i="132" s="1"/>
  <c r="T147" i="132" s="1"/>
  <c r="T148" i="132" s="1"/>
  <c r="T149" i="132" s="1"/>
  <c r="T150" i="132" s="1"/>
  <c r="S139" i="132"/>
  <c r="S140" i="132" s="1"/>
  <c r="S141" i="132" s="1"/>
  <c r="S142" i="132" s="1"/>
  <c r="S143" i="132" s="1"/>
  <c r="S144" i="132" s="1"/>
  <c r="S145" i="132" s="1"/>
  <c r="S146" i="132" s="1"/>
  <c r="S147" i="132" s="1"/>
  <c r="S148" i="132" s="1"/>
  <c r="S149" i="132" s="1"/>
  <c r="S150" i="132" s="1"/>
  <c r="R139" i="132"/>
  <c r="R140" i="132" s="1"/>
  <c r="R141" i="132" s="1"/>
  <c r="R142" i="132" s="1"/>
  <c r="R143" i="132" s="1"/>
  <c r="R144" i="132" s="1"/>
  <c r="R145" i="132" s="1"/>
  <c r="R146" i="132" s="1"/>
  <c r="R147" i="132" s="1"/>
  <c r="R148" i="132" s="1"/>
  <c r="R149" i="132" s="1"/>
  <c r="R150" i="132" s="1"/>
  <c r="AH150" i="132" s="1"/>
  <c r="T138" i="132"/>
  <c r="S138" i="132"/>
  <c r="O138" i="132"/>
  <c r="O139" i="132" s="1"/>
  <c r="O140" i="132" s="1"/>
  <c r="O141" i="132" s="1"/>
  <c r="O142" i="132" s="1"/>
  <c r="O143" i="132" s="1"/>
  <c r="O144" i="132" s="1"/>
  <c r="O145" i="132" s="1"/>
  <c r="O146" i="132" s="1"/>
  <c r="O147" i="132" s="1"/>
  <c r="AH147" i="132" s="1"/>
  <c r="S137" i="132"/>
  <c r="S151" i="132" s="1"/>
  <c r="R137" i="132"/>
  <c r="R138" i="132" s="1"/>
  <c r="P137" i="132"/>
  <c r="P138" i="132" s="1"/>
  <c r="P139" i="132" s="1"/>
  <c r="P140" i="132" s="1"/>
  <c r="P141" i="132" s="1"/>
  <c r="P142" i="132" s="1"/>
  <c r="P143" i="132" s="1"/>
  <c r="P144" i="132" s="1"/>
  <c r="P145" i="132" s="1"/>
  <c r="P146" i="132" s="1"/>
  <c r="P147" i="132" s="1"/>
  <c r="P148" i="132" s="1"/>
  <c r="AH148" i="132" s="1"/>
  <c r="R136" i="132"/>
  <c r="Q135" i="132"/>
  <c r="Q151" i="132" s="1"/>
  <c r="P135" i="132"/>
  <c r="P136" i="132" s="1"/>
  <c r="O135" i="132"/>
  <c r="O136" i="132" s="1"/>
  <c r="O137" i="132" s="1"/>
  <c r="P134" i="132"/>
  <c r="O134" i="132"/>
  <c r="N134" i="132"/>
  <c r="N135" i="132" s="1"/>
  <c r="N136" i="132" s="1"/>
  <c r="N137" i="132" s="1"/>
  <c r="N138" i="132" s="1"/>
  <c r="N139" i="132" s="1"/>
  <c r="N140" i="132" s="1"/>
  <c r="N141" i="132" s="1"/>
  <c r="N142" i="132" s="1"/>
  <c r="N143" i="132" s="1"/>
  <c r="N144" i="132" s="1"/>
  <c r="N145" i="132" s="1"/>
  <c r="N146" i="132" s="1"/>
  <c r="AH146" i="132" s="1"/>
  <c r="O133" i="132"/>
  <c r="O151" i="132" s="1"/>
  <c r="N133" i="132"/>
  <c r="N132" i="132"/>
  <c r="N151" i="132" s="1"/>
  <c r="M132" i="132"/>
  <c r="M133" i="132" s="1"/>
  <c r="M134" i="132" s="1"/>
  <c r="M135" i="132" s="1"/>
  <c r="M136" i="132" s="1"/>
  <c r="M137" i="132" s="1"/>
  <c r="M138" i="132" s="1"/>
  <c r="M139" i="132" s="1"/>
  <c r="M140" i="132" s="1"/>
  <c r="M141" i="132" s="1"/>
  <c r="M142" i="132" s="1"/>
  <c r="M143" i="132" s="1"/>
  <c r="M144" i="132" s="1"/>
  <c r="M145" i="132" s="1"/>
  <c r="AH145" i="132" s="1"/>
  <c r="M131" i="132"/>
  <c r="M151" i="132" s="1"/>
  <c r="L131" i="132"/>
  <c r="L132" i="132" s="1"/>
  <c r="L133" i="132" s="1"/>
  <c r="L134" i="132" s="1"/>
  <c r="L135" i="132" s="1"/>
  <c r="L136" i="132" s="1"/>
  <c r="L137" i="132" s="1"/>
  <c r="L138" i="132" s="1"/>
  <c r="L139" i="132" s="1"/>
  <c r="L140" i="132" s="1"/>
  <c r="L141" i="132" s="1"/>
  <c r="L142" i="132" s="1"/>
  <c r="L143" i="132" s="1"/>
  <c r="L144" i="132" s="1"/>
  <c r="AH144" i="132" s="1"/>
  <c r="K131" i="132"/>
  <c r="K132" i="132" s="1"/>
  <c r="K133" i="132" s="1"/>
  <c r="K134" i="132" s="1"/>
  <c r="K135" i="132" s="1"/>
  <c r="K136" i="132" s="1"/>
  <c r="K137" i="132" s="1"/>
  <c r="K138" i="132" s="1"/>
  <c r="K139" i="132" s="1"/>
  <c r="K140" i="132" s="1"/>
  <c r="K141" i="132" s="1"/>
  <c r="K142" i="132" s="1"/>
  <c r="K143" i="132" s="1"/>
  <c r="AH143" i="132" s="1"/>
  <c r="J131" i="132"/>
  <c r="J132" i="132" s="1"/>
  <c r="J133" i="132" s="1"/>
  <c r="J134" i="132" s="1"/>
  <c r="J135" i="132" s="1"/>
  <c r="J136" i="132" s="1"/>
  <c r="J137" i="132" s="1"/>
  <c r="J138" i="132" s="1"/>
  <c r="J139" i="132" s="1"/>
  <c r="J140" i="132" s="1"/>
  <c r="J141" i="132" s="1"/>
  <c r="J142" i="132" s="1"/>
  <c r="AH142" i="132" s="1"/>
  <c r="I131" i="132"/>
  <c r="I132" i="132" s="1"/>
  <c r="I133" i="132" s="1"/>
  <c r="I134" i="132" s="1"/>
  <c r="I135" i="132" s="1"/>
  <c r="I136" i="132" s="1"/>
  <c r="I137" i="132" s="1"/>
  <c r="I138" i="132" s="1"/>
  <c r="I139" i="132" s="1"/>
  <c r="I140" i="132" s="1"/>
  <c r="I141" i="132" s="1"/>
  <c r="AH141" i="132" s="1"/>
  <c r="L130" i="132"/>
  <c r="K130" i="132"/>
  <c r="I130" i="132"/>
  <c r="E130" i="132"/>
  <c r="E131" i="132" s="1"/>
  <c r="E132" i="132" s="1"/>
  <c r="E133" i="132" s="1"/>
  <c r="E134" i="132" s="1"/>
  <c r="E135" i="132" s="1"/>
  <c r="E136" i="132" s="1"/>
  <c r="E137" i="132" s="1"/>
  <c r="AH137" i="132" s="1"/>
  <c r="K129" i="132"/>
  <c r="J128" i="132"/>
  <c r="J129" i="132" s="1"/>
  <c r="J130" i="132" s="1"/>
  <c r="F128" i="132"/>
  <c r="F129" i="132" s="1"/>
  <c r="F130" i="132" s="1"/>
  <c r="F131" i="132" s="1"/>
  <c r="F132" i="132" s="1"/>
  <c r="F133" i="132" s="1"/>
  <c r="F134" i="132" s="1"/>
  <c r="F135" i="132" s="1"/>
  <c r="F136" i="132" s="1"/>
  <c r="F137" i="132" s="1"/>
  <c r="F138" i="132" s="1"/>
  <c r="AH138" i="132" s="1"/>
  <c r="I127" i="132"/>
  <c r="I128" i="132" s="1"/>
  <c r="I129" i="132" s="1"/>
  <c r="E127" i="132"/>
  <c r="E128" i="132" s="1"/>
  <c r="E129" i="132" s="1"/>
  <c r="H126" i="132"/>
  <c r="H151" i="132" s="1"/>
  <c r="G125" i="132"/>
  <c r="F125" i="132"/>
  <c r="F126" i="132" s="1"/>
  <c r="F127" i="132" s="1"/>
  <c r="F124" i="132"/>
  <c r="E124" i="132"/>
  <c r="E125" i="132" s="1"/>
  <c r="E126" i="132" s="1"/>
  <c r="E123" i="132"/>
  <c r="D122" i="132"/>
  <c r="C122" i="132"/>
  <c r="C123" i="132" s="1"/>
  <c r="C124" i="132" s="1"/>
  <c r="C125" i="132" s="1"/>
  <c r="C126" i="132" s="1"/>
  <c r="C127" i="132" s="1"/>
  <c r="C128" i="132" s="1"/>
  <c r="C129" i="132" s="1"/>
  <c r="C130" i="132" s="1"/>
  <c r="C131" i="132" s="1"/>
  <c r="C132" i="132" s="1"/>
  <c r="C133" i="132" s="1"/>
  <c r="C134" i="132" s="1"/>
  <c r="C135" i="132" s="1"/>
  <c r="C136" i="132" s="1"/>
  <c r="C137" i="132" s="1"/>
  <c r="C138" i="132" s="1"/>
  <c r="C139" i="132" s="1"/>
  <c r="C140" i="132" s="1"/>
  <c r="C141" i="132" s="1"/>
  <c r="C142" i="132" s="1"/>
  <c r="C143" i="132" s="1"/>
  <c r="C144" i="132" s="1"/>
  <c r="C145" i="132" s="1"/>
  <c r="C146" i="132" s="1"/>
  <c r="C147" i="132" s="1"/>
  <c r="C148" i="132" s="1"/>
  <c r="C149" i="132" s="1"/>
  <c r="C150" i="132" s="1"/>
  <c r="AH121" i="132"/>
  <c r="C121" i="132"/>
  <c r="AH120" i="132"/>
  <c r="E119" i="132"/>
  <c r="F119" i="132" s="1"/>
  <c r="G119" i="132" s="1"/>
  <c r="H119" i="132" s="1"/>
  <c r="I119" i="132" s="1"/>
  <c r="J119" i="132" s="1"/>
  <c r="K119" i="132" s="1"/>
  <c r="L119" i="132" s="1"/>
  <c r="M119" i="132" s="1"/>
  <c r="N119" i="132" s="1"/>
  <c r="O119" i="132" s="1"/>
  <c r="P119" i="132" s="1"/>
  <c r="Q119" i="132" s="1"/>
  <c r="R119" i="132" s="1"/>
  <c r="S119" i="132" s="1"/>
  <c r="T119" i="132" s="1"/>
  <c r="U119" i="132" s="1"/>
  <c r="V119" i="132" s="1"/>
  <c r="W119" i="132" s="1"/>
  <c r="X119" i="132" s="1"/>
  <c r="Y119" i="132" s="1"/>
  <c r="Z119" i="132" s="1"/>
  <c r="AA119" i="132" s="1"/>
  <c r="AB119" i="132" s="1"/>
  <c r="AC119" i="132" s="1"/>
  <c r="AD119" i="132" s="1"/>
  <c r="AE119" i="132" s="1"/>
  <c r="AF119" i="132" s="1"/>
  <c r="AG119" i="132" s="1"/>
  <c r="AH118" i="132"/>
  <c r="B118" i="132" s="1"/>
  <c r="AE114" i="132"/>
  <c r="AB114" i="132"/>
  <c r="AA114" i="132"/>
  <c r="Y114" i="132"/>
  <c r="X114" i="132"/>
  <c r="V114" i="132"/>
  <c r="R114" i="132"/>
  <c r="Q114" i="132"/>
  <c r="O114" i="132"/>
  <c r="N114" i="132"/>
  <c r="M114" i="132"/>
  <c r="L114" i="132"/>
  <c r="I114" i="132"/>
  <c r="G114" i="132"/>
  <c r="F114" i="132"/>
  <c r="AG113" i="132"/>
  <c r="AG114" i="132" s="1"/>
  <c r="AF113" i="132"/>
  <c r="AF114" i="132" s="1"/>
  <c r="Z113" i="132"/>
  <c r="AE112" i="132"/>
  <c r="AE113" i="132" s="1"/>
  <c r="Y112" i="132"/>
  <c r="Y113" i="132" s="1"/>
  <c r="AD111" i="132"/>
  <c r="AD112" i="132" s="1"/>
  <c r="AD113" i="132" s="1"/>
  <c r="AC111" i="132"/>
  <c r="AC112" i="132" s="1"/>
  <c r="AC113" i="132" s="1"/>
  <c r="AC110" i="132"/>
  <c r="AC114" i="132" s="1"/>
  <c r="AB109" i="132"/>
  <c r="AB110" i="132" s="1"/>
  <c r="AB111" i="132" s="1"/>
  <c r="AB112" i="132" s="1"/>
  <c r="AB113" i="132" s="1"/>
  <c r="AA109" i="132"/>
  <c r="AA110" i="132" s="1"/>
  <c r="AA111" i="132" s="1"/>
  <c r="AA112" i="132" s="1"/>
  <c r="AA113" i="132" s="1"/>
  <c r="AA108" i="132"/>
  <c r="Z107" i="132"/>
  <c r="Z108" i="132" s="1"/>
  <c r="Z109" i="132" s="1"/>
  <c r="Z110" i="132" s="1"/>
  <c r="Z111" i="132" s="1"/>
  <c r="Z112" i="132" s="1"/>
  <c r="Y107" i="132"/>
  <c r="Y108" i="132" s="1"/>
  <c r="Y109" i="132" s="1"/>
  <c r="Y110" i="132" s="1"/>
  <c r="Y111" i="132" s="1"/>
  <c r="Y106" i="132"/>
  <c r="X106" i="132"/>
  <c r="X107" i="132" s="1"/>
  <c r="X108" i="132" s="1"/>
  <c r="X109" i="132" s="1"/>
  <c r="X110" i="132" s="1"/>
  <c r="X111" i="132" s="1"/>
  <c r="X112" i="132" s="1"/>
  <c r="X113" i="132" s="1"/>
  <c r="W106" i="132"/>
  <c r="W107" i="132" s="1"/>
  <c r="W108" i="132" s="1"/>
  <c r="W109" i="132" s="1"/>
  <c r="W110" i="132" s="1"/>
  <c r="W111" i="132" s="1"/>
  <c r="W112" i="132" s="1"/>
  <c r="W113" i="132" s="1"/>
  <c r="X105" i="132"/>
  <c r="W105" i="132"/>
  <c r="W104" i="132"/>
  <c r="W114" i="132" s="1"/>
  <c r="V104" i="132"/>
  <c r="V105" i="132" s="1"/>
  <c r="V106" i="132" s="1"/>
  <c r="V107" i="132" s="1"/>
  <c r="V108" i="132" s="1"/>
  <c r="V109" i="132" s="1"/>
  <c r="V110" i="132" s="1"/>
  <c r="V111" i="132" s="1"/>
  <c r="V112" i="132" s="1"/>
  <c r="V113" i="132" s="1"/>
  <c r="I104" i="132"/>
  <c r="I105" i="132" s="1"/>
  <c r="I106" i="132" s="1"/>
  <c r="I107" i="132" s="1"/>
  <c r="I108" i="132" s="1"/>
  <c r="I109" i="132" s="1"/>
  <c r="AH109" i="132" s="1"/>
  <c r="H104" i="132"/>
  <c r="H105" i="132" s="1"/>
  <c r="H106" i="132" s="1"/>
  <c r="H107" i="132" s="1"/>
  <c r="H108" i="132" s="1"/>
  <c r="AH108" i="132" s="1"/>
  <c r="V103" i="132"/>
  <c r="U102" i="132"/>
  <c r="U103" i="132" s="1"/>
  <c r="U104" i="132" s="1"/>
  <c r="U105" i="132" s="1"/>
  <c r="U106" i="132" s="1"/>
  <c r="U107" i="132" s="1"/>
  <c r="U108" i="132" s="1"/>
  <c r="U109" i="132" s="1"/>
  <c r="U110" i="132" s="1"/>
  <c r="U111" i="132" s="1"/>
  <c r="U112" i="132" s="1"/>
  <c r="U113" i="132" s="1"/>
  <c r="R102" i="132"/>
  <c r="R103" i="132" s="1"/>
  <c r="R104" i="132" s="1"/>
  <c r="R105" i="132" s="1"/>
  <c r="R106" i="132" s="1"/>
  <c r="R107" i="132" s="1"/>
  <c r="R108" i="132" s="1"/>
  <c r="R109" i="132" s="1"/>
  <c r="R110" i="132" s="1"/>
  <c r="R111" i="132" s="1"/>
  <c r="R112" i="132" s="1"/>
  <c r="R113" i="132" s="1"/>
  <c r="T101" i="132"/>
  <c r="S101" i="132"/>
  <c r="S102" i="132" s="1"/>
  <c r="S103" i="132" s="1"/>
  <c r="S104" i="132" s="1"/>
  <c r="S105" i="132" s="1"/>
  <c r="S106" i="132" s="1"/>
  <c r="S107" i="132" s="1"/>
  <c r="S108" i="132" s="1"/>
  <c r="S109" i="132" s="1"/>
  <c r="S110" i="132" s="1"/>
  <c r="S111" i="132" s="1"/>
  <c r="S112" i="132" s="1"/>
  <c r="S113" i="132" s="1"/>
  <c r="N101" i="132"/>
  <c r="N102" i="132" s="1"/>
  <c r="N103" i="132" s="1"/>
  <c r="N104" i="132" s="1"/>
  <c r="N105" i="132" s="1"/>
  <c r="N106" i="132" s="1"/>
  <c r="N107" i="132" s="1"/>
  <c r="N108" i="132" s="1"/>
  <c r="N109" i="132" s="1"/>
  <c r="N110" i="132" s="1"/>
  <c r="N111" i="132" s="1"/>
  <c r="N112" i="132" s="1"/>
  <c r="N113" i="132" s="1"/>
  <c r="S100" i="132"/>
  <c r="S114" i="132" s="1"/>
  <c r="R100" i="132"/>
  <c r="R101" i="132" s="1"/>
  <c r="R99" i="132"/>
  <c r="Q99" i="132"/>
  <c r="Q100" i="132" s="1"/>
  <c r="Q101" i="132" s="1"/>
  <c r="Q102" i="132" s="1"/>
  <c r="Q103" i="132" s="1"/>
  <c r="Q104" i="132" s="1"/>
  <c r="Q105" i="132" s="1"/>
  <c r="Q106" i="132" s="1"/>
  <c r="Q107" i="132" s="1"/>
  <c r="Q108" i="132" s="1"/>
  <c r="Q109" i="132" s="1"/>
  <c r="Q110" i="132" s="1"/>
  <c r="Q111" i="132" s="1"/>
  <c r="Q112" i="132" s="1"/>
  <c r="Q113" i="132" s="1"/>
  <c r="P99" i="132"/>
  <c r="P100" i="132" s="1"/>
  <c r="P101" i="132" s="1"/>
  <c r="P102" i="132" s="1"/>
  <c r="P103" i="132" s="1"/>
  <c r="P104" i="132" s="1"/>
  <c r="P105" i="132" s="1"/>
  <c r="P106" i="132" s="1"/>
  <c r="P107" i="132" s="1"/>
  <c r="P108" i="132" s="1"/>
  <c r="P109" i="132" s="1"/>
  <c r="P110" i="132" s="1"/>
  <c r="P111" i="132" s="1"/>
  <c r="P112" i="132" s="1"/>
  <c r="P113" i="132" s="1"/>
  <c r="O99" i="132"/>
  <c r="O100" i="132" s="1"/>
  <c r="O101" i="132" s="1"/>
  <c r="O102" i="132" s="1"/>
  <c r="O103" i="132" s="1"/>
  <c r="O104" i="132" s="1"/>
  <c r="O105" i="132" s="1"/>
  <c r="O106" i="132" s="1"/>
  <c r="O107" i="132" s="1"/>
  <c r="O108" i="132" s="1"/>
  <c r="O109" i="132" s="1"/>
  <c r="O110" i="132" s="1"/>
  <c r="O111" i="132" s="1"/>
  <c r="O112" i="132" s="1"/>
  <c r="O113" i="132" s="1"/>
  <c r="M99" i="132"/>
  <c r="M100" i="132" s="1"/>
  <c r="M101" i="132" s="1"/>
  <c r="M102" i="132" s="1"/>
  <c r="M103" i="132" s="1"/>
  <c r="M104" i="132" s="1"/>
  <c r="M105" i="132" s="1"/>
  <c r="M106" i="132" s="1"/>
  <c r="M107" i="132" s="1"/>
  <c r="M108" i="132" s="1"/>
  <c r="M109" i="132" s="1"/>
  <c r="M110" i="132" s="1"/>
  <c r="M111" i="132" s="1"/>
  <c r="M112" i="132" s="1"/>
  <c r="M113" i="132" s="1"/>
  <c r="AH113" i="132" s="1"/>
  <c r="Q98" i="132"/>
  <c r="P98" i="132"/>
  <c r="O98" i="132"/>
  <c r="N98" i="132"/>
  <c r="N99" i="132" s="1"/>
  <c r="N100" i="132" s="1"/>
  <c r="I98" i="132"/>
  <c r="I99" i="132" s="1"/>
  <c r="I100" i="132" s="1"/>
  <c r="I101" i="132" s="1"/>
  <c r="I102" i="132" s="1"/>
  <c r="I103" i="132" s="1"/>
  <c r="P97" i="132"/>
  <c r="P114" i="132" s="1"/>
  <c r="O97" i="132"/>
  <c r="O96" i="132"/>
  <c r="N95" i="132"/>
  <c r="N96" i="132" s="1"/>
  <c r="N97" i="132" s="1"/>
  <c r="M94" i="132"/>
  <c r="M95" i="132" s="1"/>
  <c r="M96" i="132" s="1"/>
  <c r="M97" i="132" s="1"/>
  <c r="M98" i="132" s="1"/>
  <c r="L94" i="132"/>
  <c r="L95" i="132" s="1"/>
  <c r="L96" i="132" s="1"/>
  <c r="L97" i="132" s="1"/>
  <c r="L98" i="132" s="1"/>
  <c r="L99" i="132" s="1"/>
  <c r="L100" i="132" s="1"/>
  <c r="L101" i="132" s="1"/>
  <c r="L102" i="132" s="1"/>
  <c r="L103" i="132" s="1"/>
  <c r="L104" i="132" s="1"/>
  <c r="L105" i="132" s="1"/>
  <c r="L106" i="132" s="1"/>
  <c r="L107" i="132" s="1"/>
  <c r="L108" i="132" s="1"/>
  <c r="L109" i="132" s="1"/>
  <c r="L110" i="132" s="1"/>
  <c r="L111" i="132" s="1"/>
  <c r="L112" i="132" s="1"/>
  <c r="AH112" i="132" s="1"/>
  <c r="L93" i="132"/>
  <c r="K92" i="132"/>
  <c r="J91" i="132"/>
  <c r="J114" i="132" s="1"/>
  <c r="I91" i="132"/>
  <c r="I92" i="132" s="1"/>
  <c r="I93" i="132" s="1"/>
  <c r="I94" i="132" s="1"/>
  <c r="I95" i="132" s="1"/>
  <c r="I96" i="132" s="1"/>
  <c r="I97" i="132" s="1"/>
  <c r="I90" i="132"/>
  <c r="H89" i="132"/>
  <c r="H90" i="132" s="1"/>
  <c r="H91" i="132" s="1"/>
  <c r="H92" i="132" s="1"/>
  <c r="H93" i="132" s="1"/>
  <c r="H94" i="132" s="1"/>
  <c r="H95" i="132" s="1"/>
  <c r="H96" i="132" s="1"/>
  <c r="H97" i="132" s="1"/>
  <c r="H98" i="132" s="1"/>
  <c r="H99" i="132" s="1"/>
  <c r="H100" i="132" s="1"/>
  <c r="H101" i="132" s="1"/>
  <c r="H102" i="132" s="1"/>
  <c r="H103" i="132" s="1"/>
  <c r="F89" i="132"/>
  <c r="F90" i="132" s="1"/>
  <c r="F91" i="132" s="1"/>
  <c r="F92" i="132" s="1"/>
  <c r="F93" i="132" s="1"/>
  <c r="F94" i="132" s="1"/>
  <c r="F95" i="132" s="1"/>
  <c r="F96" i="132" s="1"/>
  <c r="F97" i="132" s="1"/>
  <c r="F98" i="132" s="1"/>
  <c r="F99" i="132" s="1"/>
  <c r="F100" i="132" s="1"/>
  <c r="F101" i="132" s="1"/>
  <c r="F102" i="132" s="1"/>
  <c r="F103" i="132" s="1"/>
  <c r="F104" i="132" s="1"/>
  <c r="F105" i="132" s="1"/>
  <c r="F106" i="132" s="1"/>
  <c r="AH106" i="132" s="1"/>
  <c r="E89" i="132"/>
  <c r="E90" i="132" s="1"/>
  <c r="E91" i="132" s="1"/>
  <c r="E92" i="132" s="1"/>
  <c r="E93" i="132" s="1"/>
  <c r="E94" i="132" s="1"/>
  <c r="E95" i="132" s="1"/>
  <c r="E96" i="132" s="1"/>
  <c r="E97" i="132" s="1"/>
  <c r="E98" i="132" s="1"/>
  <c r="E99" i="132" s="1"/>
  <c r="E100" i="132" s="1"/>
  <c r="E101" i="132" s="1"/>
  <c r="E102" i="132" s="1"/>
  <c r="E103" i="132" s="1"/>
  <c r="E104" i="132" s="1"/>
  <c r="E105" i="132" s="1"/>
  <c r="AH105" i="132" s="1"/>
  <c r="G88" i="132"/>
  <c r="G89" i="132" s="1"/>
  <c r="G90" i="132" s="1"/>
  <c r="G91" i="132" s="1"/>
  <c r="G92" i="132" s="1"/>
  <c r="G93" i="132" s="1"/>
  <c r="G94" i="132" s="1"/>
  <c r="G95" i="132" s="1"/>
  <c r="G96" i="132" s="1"/>
  <c r="G97" i="132" s="1"/>
  <c r="G98" i="132" s="1"/>
  <c r="G99" i="132" s="1"/>
  <c r="G100" i="132" s="1"/>
  <c r="G101" i="132" s="1"/>
  <c r="G102" i="132" s="1"/>
  <c r="G103" i="132" s="1"/>
  <c r="G104" i="132" s="1"/>
  <c r="G105" i="132" s="1"/>
  <c r="G106" i="132" s="1"/>
  <c r="G107" i="132" s="1"/>
  <c r="AH107" i="132" s="1"/>
  <c r="F88" i="132"/>
  <c r="F87" i="132"/>
  <c r="E87" i="132"/>
  <c r="E88" i="132" s="1"/>
  <c r="E86" i="132"/>
  <c r="E114" i="132" s="1"/>
  <c r="AH85" i="132"/>
  <c r="D85" i="132"/>
  <c r="AH84" i="132"/>
  <c r="AH83" i="132"/>
  <c r="C83" i="132"/>
  <c r="C84" i="132" s="1"/>
  <c r="C85" i="132" s="1"/>
  <c r="C86" i="132" s="1"/>
  <c r="C87" i="132" s="1"/>
  <c r="C88" i="132" s="1"/>
  <c r="C89" i="132" s="1"/>
  <c r="C90" i="132" s="1"/>
  <c r="C91" i="132" s="1"/>
  <c r="C92" i="132" s="1"/>
  <c r="C93" i="132" s="1"/>
  <c r="C94" i="132" s="1"/>
  <c r="C95" i="132" s="1"/>
  <c r="C96" i="132" s="1"/>
  <c r="C97" i="132" s="1"/>
  <c r="C98" i="132" s="1"/>
  <c r="C99" i="132" s="1"/>
  <c r="C100" i="132" s="1"/>
  <c r="C101" i="132" s="1"/>
  <c r="C102" i="132" s="1"/>
  <c r="C103" i="132" s="1"/>
  <c r="C104" i="132" s="1"/>
  <c r="C105" i="132" s="1"/>
  <c r="C106" i="132" s="1"/>
  <c r="C107" i="132" s="1"/>
  <c r="C108" i="132" s="1"/>
  <c r="C109" i="132" s="1"/>
  <c r="C110" i="132" s="1"/>
  <c r="C111" i="132" s="1"/>
  <c r="C112" i="132" s="1"/>
  <c r="C113" i="132" s="1"/>
  <c r="G82" i="132"/>
  <c r="H82" i="132" s="1"/>
  <c r="I82" i="132" s="1"/>
  <c r="J82" i="132" s="1"/>
  <c r="K82" i="132" s="1"/>
  <c r="L82" i="132" s="1"/>
  <c r="M82" i="132" s="1"/>
  <c r="N82" i="132" s="1"/>
  <c r="O82" i="132" s="1"/>
  <c r="P82" i="132" s="1"/>
  <c r="Q82" i="132" s="1"/>
  <c r="R82" i="132" s="1"/>
  <c r="S82" i="132" s="1"/>
  <c r="T82" i="132" s="1"/>
  <c r="U82" i="132" s="1"/>
  <c r="V82" i="132" s="1"/>
  <c r="W82" i="132" s="1"/>
  <c r="X82" i="132" s="1"/>
  <c r="Y82" i="132" s="1"/>
  <c r="Z82" i="132" s="1"/>
  <c r="AA82" i="132" s="1"/>
  <c r="AB82" i="132" s="1"/>
  <c r="AC82" i="132" s="1"/>
  <c r="AD82" i="132" s="1"/>
  <c r="AE82" i="132" s="1"/>
  <c r="AF82" i="132" s="1"/>
  <c r="AG82" i="132" s="1"/>
  <c r="F82" i="132"/>
  <c r="E82" i="132"/>
  <c r="AH81" i="132"/>
  <c r="B81" i="132"/>
  <c r="AG77" i="132"/>
  <c r="AE77" i="132"/>
  <c r="AD77" i="132"/>
  <c r="AC77" i="132"/>
  <c r="AB77" i="132"/>
  <c r="AA77" i="132"/>
  <c r="Z77" i="132"/>
  <c r="Y77" i="132"/>
  <c r="W77" i="132"/>
  <c r="U77" i="132"/>
  <c r="S77" i="132"/>
  <c r="R77" i="132"/>
  <c r="Q77" i="132"/>
  <c r="P77" i="132"/>
  <c r="O77" i="132"/>
  <c r="N77" i="132"/>
  <c r="M77" i="132"/>
  <c r="L77" i="132"/>
  <c r="G77" i="132"/>
  <c r="AG76" i="132"/>
  <c r="AF76" i="132"/>
  <c r="AF77" i="132" s="1"/>
  <c r="AE76" i="132"/>
  <c r="AE75" i="132"/>
  <c r="AD74" i="132"/>
  <c r="AD75" i="132" s="1"/>
  <c r="AD76" i="132" s="1"/>
  <c r="AC74" i="132"/>
  <c r="AC75" i="132" s="1"/>
  <c r="AC76" i="132" s="1"/>
  <c r="Y74" i="132"/>
  <c r="Y75" i="132" s="1"/>
  <c r="Y76" i="132" s="1"/>
  <c r="AC73" i="132"/>
  <c r="AB72" i="132"/>
  <c r="AB73" i="132" s="1"/>
  <c r="AB74" i="132" s="1"/>
  <c r="AB75" i="132" s="1"/>
  <c r="AB76" i="132" s="1"/>
  <c r="Y72" i="132"/>
  <c r="Y73" i="132" s="1"/>
  <c r="AA71" i="132"/>
  <c r="AA72" i="132" s="1"/>
  <c r="AA73" i="132" s="1"/>
  <c r="AA74" i="132" s="1"/>
  <c r="AA75" i="132" s="1"/>
  <c r="AA76" i="132" s="1"/>
  <c r="Z71" i="132"/>
  <c r="Z72" i="132" s="1"/>
  <c r="Z73" i="132" s="1"/>
  <c r="Z74" i="132" s="1"/>
  <c r="Z75" i="132" s="1"/>
  <c r="Z76" i="132" s="1"/>
  <c r="W71" i="132"/>
  <c r="W72" i="132" s="1"/>
  <c r="W73" i="132" s="1"/>
  <c r="W74" i="132" s="1"/>
  <c r="W75" i="132" s="1"/>
  <c r="W76" i="132" s="1"/>
  <c r="Z70" i="132"/>
  <c r="Y70" i="132"/>
  <c r="Y71" i="132" s="1"/>
  <c r="W70" i="132"/>
  <c r="P70" i="132"/>
  <c r="P71" i="132" s="1"/>
  <c r="P72" i="132" s="1"/>
  <c r="P73" i="132" s="1"/>
  <c r="P74" i="132" s="1"/>
  <c r="P75" i="132" s="1"/>
  <c r="P76" i="132" s="1"/>
  <c r="Y69" i="132"/>
  <c r="X68" i="132"/>
  <c r="W68" i="132"/>
  <c r="W69" i="132" s="1"/>
  <c r="L68" i="132"/>
  <c r="L69" i="132" s="1"/>
  <c r="L70" i="132" s="1"/>
  <c r="L71" i="132" s="1"/>
  <c r="L72" i="132" s="1"/>
  <c r="L73" i="132" s="1"/>
  <c r="L74" i="132" s="1"/>
  <c r="L75" i="132" s="1"/>
  <c r="L76" i="132" s="1"/>
  <c r="W67" i="132"/>
  <c r="P67" i="132"/>
  <c r="P68" i="132" s="1"/>
  <c r="P69" i="132" s="1"/>
  <c r="O67" i="132"/>
  <c r="O68" i="132" s="1"/>
  <c r="O69" i="132" s="1"/>
  <c r="O70" i="132" s="1"/>
  <c r="O71" i="132" s="1"/>
  <c r="O72" i="132" s="1"/>
  <c r="O73" i="132" s="1"/>
  <c r="O74" i="132" s="1"/>
  <c r="O75" i="132" s="1"/>
  <c r="O76" i="132" s="1"/>
  <c r="V66" i="132"/>
  <c r="V77" i="132" s="1"/>
  <c r="U66" i="132"/>
  <c r="U67" i="132" s="1"/>
  <c r="U68" i="132" s="1"/>
  <c r="U69" i="132" s="1"/>
  <c r="U70" i="132" s="1"/>
  <c r="U71" i="132" s="1"/>
  <c r="U72" i="132" s="1"/>
  <c r="U73" i="132" s="1"/>
  <c r="U74" i="132" s="1"/>
  <c r="U75" i="132" s="1"/>
  <c r="U76" i="132" s="1"/>
  <c r="S66" i="132"/>
  <c r="S67" i="132" s="1"/>
  <c r="S68" i="132" s="1"/>
  <c r="S69" i="132" s="1"/>
  <c r="S70" i="132" s="1"/>
  <c r="S71" i="132" s="1"/>
  <c r="S72" i="132" s="1"/>
  <c r="S73" i="132" s="1"/>
  <c r="S74" i="132" s="1"/>
  <c r="S75" i="132" s="1"/>
  <c r="S76" i="132" s="1"/>
  <c r="R66" i="132"/>
  <c r="R67" i="132" s="1"/>
  <c r="R68" i="132" s="1"/>
  <c r="R69" i="132" s="1"/>
  <c r="R70" i="132" s="1"/>
  <c r="R71" i="132" s="1"/>
  <c r="R72" i="132" s="1"/>
  <c r="R73" i="132" s="1"/>
  <c r="R74" i="132" s="1"/>
  <c r="R75" i="132" s="1"/>
  <c r="R76" i="132" s="1"/>
  <c r="U65" i="132"/>
  <c r="T64" i="132"/>
  <c r="S64" i="132"/>
  <c r="S65" i="132" s="1"/>
  <c r="S63" i="132"/>
  <c r="R62" i="132"/>
  <c r="R63" i="132" s="1"/>
  <c r="R64" i="132" s="1"/>
  <c r="R65" i="132" s="1"/>
  <c r="M62" i="132"/>
  <c r="M63" i="132" s="1"/>
  <c r="M64" i="132" s="1"/>
  <c r="M65" i="132" s="1"/>
  <c r="M66" i="132" s="1"/>
  <c r="M67" i="132" s="1"/>
  <c r="M68" i="132" s="1"/>
  <c r="M69" i="132" s="1"/>
  <c r="M70" i="132" s="1"/>
  <c r="M71" i="132" s="1"/>
  <c r="M72" i="132" s="1"/>
  <c r="M73" i="132" s="1"/>
  <c r="M74" i="132" s="1"/>
  <c r="M75" i="132" s="1"/>
  <c r="M76" i="132" s="1"/>
  <c r="L62" i="132"/>
  <c r="L63" i="132" s="1"/>
  <c r="L64" i="132" s="1"/>
  <c r="L65" i="132" s="1"/>
  <c r="L66" i="132" s="1"/>
  <c r="L67" i="132" s="1"/>
  <c r="Q61" i="132"/>
  <c r="Q62" i="132" s="1"/>
  <c r="Q63" i="132" s="1"/>
  <c r="Q64" i="132" s="1"/>
  <c r="Q65" i="132" s="1"/>
  <c r="Q66" i="132" s="1"/>
  <c r="Q67" i="132" s="1"/>
  <c r="Q68" i="132" s="1"/>
  <c r="Q69" i="132" s="1"/>
  <c r="Q70" i="132" s="1"/>
  <c r="Q71" i="132" s="1"/>
  <c r="Q72" i="132" s="1"/>
  <c r="Q73" i="132" s="1"/>
  <c r="Q74" i="132" s="1"/>
  <c r="Q75" i="132" s="1"/>
  <c r="Q76" i="132" s="1"/>
  <c r="P61" i="132"/>
  <c r="P62" i="132" s="1"/>
  <c r="P63" i="132" s="1"/>
  <c r="P64" i="132" s="1"/>
  <c r="P65" i="132" s="1"/>
  <c r="P66" i="132" s="1"/>
  <c r="O61" i="132"/>
  <c r="O62" i="132" s="1"/>
  <c r="O63" i="132" s="1"/>
  <c r="O64" i="132" s="1"/>
  <c r="O65" i="132" s="1"/>
  <c r="O66" i="132" s="1"/>
  <c r="M61" i="132"/>
  <c r="P60" i="132"/>
  <c r="O60" i="132"/>
  <c r="O59" i="132"/>
  <c r="L59" i="132"/>
  <c r="L60" i="132" s="1"/>
  <c r="L61" i="132" s="1"/>
  <c r="N58" i="132"/>
  <c r="N59" i="132" s="1"/>
  <c r="N60" i="132" s="1"/>
  <c r="N61" i="132" s="1"/>
  <c r="N62" i="132" s="1"/>
  <c r="N63" i="132" s="1"/>
  <c r="N64" i="132" s="1"/>
  <c r="N65" i="132" s="1"/>
  <c r="N66" i="132" s="1"/>
  <c r="N67" i="132" s="1"/>
  <c r="N68" i="132" s="1"/>
  <c r="N69" i="132" s="1"/>
  <c r="N70" i="132" s="1"/>
  <c r="N71" i="132" s="1"/>
  <c r="N72" i="132" s="1"/>
  <c r="N73" i="132" s="1"/>
  <c r="N74" i="132" s="1"/>
  <c r="N75" i="132" s="1"/>
  <c r="N76" i="132" s="1"/>
  <c r="M58" i="132"/>
  <c r="M59" i="132" s="1"/>
  <c r="M60" i="132" s="1"/>
  <c r="L58" i="132"/>
  <c r="M57" i="132"/>
  <c r="L57" i="132"/>
  <c r="L56" i="132"/>
  <c r="H56" i="132"/>
  <c r="H57" i="132" s="1"/>
  <c r="H58" i="132" s="1"/>
  <c r="H59" i="132" s="1"/>
  <c r="H60" i="132" s="1"/>
  <c r="H61" i="132" s="1"/>
  <c r="H62" i="132" s="1"/>
  <c r="H63" i="132" s="1"/>
  <c r="H64" i="132" s="1"/>
  <c r="H65" i="132" s="1"/>
  <c r="H66" i="132" s="1"/>
  <c r="H67" i="132" s="1"/>
  <c r="H68" i="132" s="1"/>
  <c r="H69" i="132" s="1"/>
  <c r="H70" i="132" s="1"/>
  <c r="H71" i="132" s="1"/>
  <c r="H72" i="132" s="1"/>
  <c r="H73" i="132" s="1"/>
  <c r="H74" i="132" s="1"/>
  <c r="H75" i="132" s="1"/>
  <c r="H76" i="132" s="1"/>
  <c r="AH76" i="132" s="1"/>
  <c r="K55" i="132"/>
  <c r="C55" i="132"/>
  <c r="C56" i="132" s="1"/>
  <c r="C57" i="132" s="1"/>
  <c r="C58" i="132" s="1"/>
  <c r="C59" i="132" s="1"/>
  <c r="C60" i="132" s="1"/>
  <c r="C61" i="132" s="1"/>
  <c r="C62" i="132" s="1"/>
  <c r="C63" i="132" s="1"/>
  <c r="C64" i="132" s="1"/>
  <c r="C65" i="132" s="1"/>
  <c r="C66" i="132" s="1"/>
  <c r="C67" i="132" s="1"/>
  <c r="C68" i="132" s="1"/>
  <c r="C69" i="132" s="1"/>
  <c r="C70" i="132" s="1"/>
  <c r="C71" i="132" s="1"/>
  <c r="C72" i="132" s="1"/>
  <c r="C73" i="132" s="1"/>
  <c r="C74" i="132" s="1"/>
  <c r="C75" i="132" s="1"/>
  <c r="C76" i="132" s="1"/>
  <c r="J54" i="132"/>
  <c r="I53" i="132"/>
  <c r="I77" i="132" s="1"/>
  <c r="H53" i="132"/>
  <c r="H54" i="132" s="1"/>
  <c r="H55" i="132" s="1"/>
  <c r="G53" i="132"/>
  <c r="G54" i="132" s="1"/>
  <c r="G55" i="132" s="1"/>
  <c r="G56" i="132" s="1"/>
  <c r="G57" i="132" s="1"/>
  <c r="G58" i="132" s="1"/>
  <c r="G59" i="132" s="1"/>
  <c r="G60" i="132" s="1"/>
  <c r="G61" i="132" s="1"/>
  <c r="G62" i="132" s="1"/>
  <c r="G63" i="132" s="1"/>
  <c r="G64" i="132" s="1"/>
  <c r="G65" i="132" s="1"/>
  <c r="G66" i="132" s="1"/>
  <c r="G67" i="132" s="1"/>
  <c r="G68" i="132" s="1"/>
  <c r="G69" i="132" s="1"/>
  <c r="G70" i="132" s="1"/>
  <c r="G71" i="132" s="1"/>
  <c r="G72" i="132" s="1"/>
  <c r="G73" i="132" s="1"/>
  <c r="G74" i="132" s="1"/>
  <c r="G75" i="132" s="1"/>
  <c r="AH75" i="132" s="1"/>
  <c r="C53" i="132"/>
  <c r="C54" i="132" s="1"/>
  <c r="H52" i="132"/>
  <c r="H77" i="132" s="1"/>
  <c r="G51" i="132"/>
  <c r="G52" i="132" s="1"/>
  <c r="F50" i="132"/>
  <c r="E49" i="132"/>
  <c r="D49" i="132"/>
  <c r="D48" i="132"/>
  <c r="AH48" i="132" s="1"/>
  <c r="AH47" i="132"/>
  <c r="C47" i="132"/>
  <c r="C48" i="132" s="1"/>
  <c r="C49" i="132" s="1"/>
  <c r="C50" i="132" s="1"/>
  <c r="C51" i="132" s="1"/>
  <c r="C52" i="132" s="1"/>
  <c r="AH46" i="132"/>
  <c r="AH77" i="132" s="1"/>
  <c r="E45" i="132"/>
  <c r="E46" i="132" s="1"/>
  <c r="AH44" i="132"/>
  <c r="B44" i="132"/>
  <c r="K22" i="132"/>
  <c r="K23" i="132" s="1"/>
  <c r="K24" i="132" s="1"/>
  <c r="K25" i="132" s="1"/>
  <c r="K26" i="132" s="1"/>
  <c r="K27" i="132" s="1"/>
  <c r="K28" i="132" s="1"/>
  <c r="K29" i="132" s="1"/>
  <c r="K30" i="132" s="1"/>
  <c r="K31" i="132" s="1"/>
  <c r="K32" i="132" s="1"/>
  <c r="K33" i="132" s="1"/>
  <c r="K34" i="132" s="1"/>
  <c r="K35" i="132" s="1"/>
  <c r="K36" i="132" s="1"/>
  <c r="K37" i="132" s="1"/>
  <c r="K38" i="132" s="1"/>
  <c r="K39" i="132" s="1"/>
  <c r="I16" i="132"/>
  <c r="I17" i="132" s="1"/>
  <c r="I18" i="132" s="1"/>
  <c r="I19" i="132" s="1"/>
  <c r="I20" i="132" s="1"/>
  <c r="I21" i="132" s="1"/>
  <c r="I22" i="132" s="1"/>
  <c r="I23" i="132" s="1"/>
  <c r="I24" i="132" s="1"/>
  <c r="I25" i="132" s="1"/>
  <c r="I26" i="132" s="1"/>
  <c r="I27" i="132" s="1"/>
  <c r="I28" i="132" s="1"/>
  <c r="I29" i="132" s="1"/>
  <c r="I30" i="132" s="1"/>
  <c r="I31" i="132" s="1"/>
  <c r="I32" i="132" s="1"/>
  <c r="I33" i="132" s="1"/>
  <c r="I34" i="132" s="1"/>
  <c r="I35" i="132" s="1"/>
  <c r="I36" i="132" s="1"/>
  <c r="I37" i="132" s="1"/>
  <c r="I38" i="132" s="1"/>
  <c r="I39" i="132" s="1"/>
  <c r="H15" i="132"/>
  <c r="H16" i="132" s="1"/>
  <c r="H17" i="132" s="1"/>
  <c r="H18" i="132" s="1"/>
  <c r="H19" i="132" s="1"/>
  <c r="H20" i="132" s="1"/>
  <c r="H21" i="132" s="1"/>
  <c r="H22" i="132" s="1"/>
  <c r="H23" i="132" s="1"/>
  <c r="H24" i="132" s="1"/>
  <c r="H25" i="132" s="1"/>
  <c r="H26" i="132" s="1"/>
  <c r="H27" i="132" s="1"/>
  <c r="H28" i="132" s="1"/>
  <c r="H29" i="132" s="1"/>
  <c r="H30" i="132" s="1"/>
  <c r="H31" i="132" s="1"/>
  <c r="H32" i="132" s="1"/>
  <c r="H33" i="132" s="1"/>
  <c r="H34" i="132" s="1"/>
  <c r="H35" i="132" s="1"/>
  <c r="H36" i="132" s="1"/>
  <c r="H37" i="132" s="1"/>
  <c r="H38" i="132" s="1"/>
  <c r="H39" i="132" s="1"/>
  <c r="F13" i="132"/>
  <c r="F14" i="132" s="1"/>
  <c r="F15" i="132" s="1"/>
  <c r="F16" i="132" s="1"/>
  <c r="F17" i="132" s="1"/>
  <c r="F18" i="132" s="1"/>
  <c r="F19" i="132" s="1"/>
  <c r="F20" i="132" s="1"/>
  <c r="F21" i="132" s="1"/>
  <c r="F22" i="132" s="1"/>
  <c r="F23" i="132" s="1"/>
  <c r="F24" i="132" s="1"/>
  <c r="F25" i="132" s="1"/>
  <c r="F26" i="132" s="1"/>
  <c r="F27" i="132" s="1"/>
  <c r="F28" i="132" s="1"/>
  <c r="F29" i="132" s="1"/>
  <c r="F30" i="132" s="1"/>
  <c r="F31" i="132" s="1"/>
  <c r="F32" i="132" s="1"/>
  <c r="F33" i="132" s="1"/>
  <c r="F34" i="132" s="1"/>
  <c r="F35" i="132" s="1"/>
  <c r="F36" i="132" s="1"/>
  <c r="F37" i="132" s="1"/>
  <c r="F38" i="132" s="1"/>
  <c r="F39" i="132" s="1"/>
  <c r="D11" i="132"/>
  <c r="D12" i="132" s="1"/>
  <c r="C10" i="132"/>
  <c r="D9" i="132"/>
  <c r="E8" i="132"/>
  <c r="F8" i="132" s="1"/>
  <c r="K18" i="132"/>
  <c r="K19" i="132" s="1"/>
  <c r="K20" i="132" s="1"/>
  <c r="K21" i="132" s="1"/>
  <c r="J17" i="132"/>
  <c r="J18" i="132" s="1"/>
  <c r="J19" i="132" s="1"/>
  <c r="J20" i="132" s="1"/>
  <c r="J21" i="132" s="1"/>
  <c r="J22" i="132" s="1"/>
  <c r="J23" i="132" s="1"/>
  <c r="J24" i="132" s="1"/>
  <c r="J25" i="132" s="1"/>
  <c r="J26" i="132" s="1"/>
  <c r="J27" i="132" s="1"/>
  <c r="J28" i="132" s="1"/>
  <c r="J29" i="132" s="1"/>
  <c r="J30" i="132" s="1"/>
  <c r="J31" i="132" s="1"/>
  <c r="J32" i="132" s="1"/>
  <c r="J33" i="132" s="1"/>
  <c r="J34" i="132" s="1"/>
  <c r="J35" i="132" s="1"/>
  <c r="J36" i="132" s="1"/>
  <c r="J37" i="132" s="1"/>
  <c r="J38" i="132" s="1"/>
  <c r="J39" i="132" s="1"/>
  <c r="G14" i="132"/>
  <c r="G15" i="132" s="1"/>
  <c r="G16" i="132" s="1"/>
  <c r="G17" i="132" s="1"/>
  <c r="G18" i="132" s="1"/>
  <c r="G19" i="132" s="1"/>
  <c r="G20" i="132" s="1"/>
  <c r="G21" i="132" s="1"/>
  <c r="G22" i="132" s="1"/>
  <c r="G23" i="132" s="1"/>
  <c r="G24" i="132" s="1"/>
  <c r="G25" i="132" s="1"/>
  <c r="G26" i="132" s="1"/>
  <c r="G27" i="132" s="1"/>
  <c r="G28" i="132" s="1"/>
  <c r="G29" i="132" s="1"/>
  <c r="G30" i="132" s="1"/>
  <c r="G31" i="132" s="1"/>
  <c r="G32" i="132" s="1"/>
  <c r="G33" i="132" s="1"/>
  <c r="G34" i="132" s="1"/>
  <c r="G35" i="132" s="1"/>
  <c r="G36" i="132" s="1"/>
  <c r="G37" i="132" s="1"/>
  <c r="G38" i="132" s="1"/>
  <c r="G39" i="132" s="1"/>
  <c r="K4" i="132"/>
  <c r="J4" i="132"/>
  <c r="I4" i="132"/>
  <c r="H4" i="132"/>
  <c r="F4" i="132"/>
  <c r="D4" i="132"/>
  <c r="AH4" i="132" s="1"/>
  <c r="B4" i="132" s="1"/>
  <c r="E3" i="132"/>
  <c r="F3" i="132" s="1"/>
  <c r="G3" i="132" s="1"/>
  <c r="H3" i="132" s="1"/>
  <c r="I3" i="132" s="1"/>
  <c r="J3" i="132" s="1"/>
  <c r="K3" i="132" s="1"/>
  <c r="L3" i="132" s="1"/>
  <c r="M3" i="132" s="1"/>
  <c r="N3" i="132" s="1"/>
  <c r="O3" i="132" s="1"/>
  <c r="P3" i="132" s="1"/>
  <c r="Q3" i="132" s="1"/>
  <c r="R3" i="132" s="1"/>
  <c r="S3" i="132" s="1"/>
  <c r="T3" i="132" s="1"/>
  <c r="U3" i="132" s="1"/>
  <c r="V3" i="132" s="1"/>
  <c r="W3" i="132" s="1"/>
  <c r="X3" i="132" s="1"/>
  <c r="Y3" i="132" s="1"/>
  <c r="Z3" i="132" s="1"/>
  <c r="AA3" i="132" s="1"/>
  <c r="AB3" i="132" s="1"/>
  <c r="AC3" i="132" s="1"/>
  <c r="AD3" i="132" s="1"/>
  <c r="AE3" i="132" s="1"/>
  <c r="AF3" i="132" s="1"/>
  <c r="AG3" i="132" s="1"/>
  <c r="B3" i="132"/>
  <c r="E2" i="132"/>
  <c r="F2" i="132" s="1"/>
  <c r="G2" i="132" s="1"/>
  <c r="H2" i="132" s="1"/>
  <c r="I2" i="132" s="1"/>
  <c r="J2" i="132" s="1"/>
  <c r="K2" i="132" s="1"/>
  <c r="L2" i="132" s="1"/>
  <c r="M2" i="132" s="1"/>
  <c r="N2" i="132" s="1"/>
  <c r="O2" i="132" s="1"/>
  <c r="P2" i="132" s="1"/>
  <c r="Q2" i="132" s="1"/>
  <c r="R2" i="132" s="1"/>
  <c r="S2" i="132" s="1"/>
  <c r="T2" i="132" s="1"/>
  <c r="U2" i="132" s="1"/>
  <c r="V2" i="132" s="1"/>
  <c r="W2" i="132" s="1"/>
  <c r="X2" i="132" s="1"/>
  <c r="Y2" i="132" s="1"/>
  <c r="Z2" i="132" s="1"/>
  <c r="AA2" i="132" s="1"/>
  <c r="AB2" i="132" s="1"/>
  <c r="AC2" i="132" s="1"/>
  <c r="AD2" i="132" s="1"/>
  <c r="AE2" i="132" s="1"/>
  <c r="AF2" i="132" s="1"/>
  <c r="AG2" i="132" s="1"/>
  <c r="AD50" i="110" l="1"/>
  <c r="AD50" i="135"/>
  <c r="AC50" i="110"/>
  <c r="AC50" i="135"/>
  <c r="AC48" i="135" s="1"/>
  <c r="Z50" i="135"/>
  <c r="Z48" i="135" s="1"/>
  <c r="Z50" i="110"/>
  <c r="X50" i="135"/>
  <c r="X48" i="135" s="1"/>
  <c r="X50" i="110"/>
  <c r="AE50" i="110"/>
  <c r="AE50" i="135"/>
  <c r="AE48" i="135" s="1"/>
  <c r="Y50" i="135"/>
  <c r="Y48" i="135" s="1"/>
  <c r="Y50" i="110"/>
  <c r="W50" i="110"/>
  <c r="W50" i="135"/>
  <c r="AB50" i="110"/>
  <c r="AB50" i="135"/>
  <c r="AB48" i="135" s="1"/>
  <c r="V50" i="110"/>
  <c r="V50" i="135"/>
  <c r="V48" i="135" s="1"/>
  <c r="U50" i="110"/>
  <c r="U50" i="135"/>
  <c r="U48" i="135" s="1"/>
  <c r="AA50" i="135"/>
  <c r="AA48" i="135" s="1"/>
  <c r="AA50" i="110"/>
  <c r="AF50" i="135"/>
  <c r="AF48" i="135" s="1"/>
  <c r="AF50" i="110"/>
  <c r="T50" i="110"/>
  <c r="T50" i="135"/>
  <c r="T48" i="135" s="1"/>
  <c r="W48" i="135"/>
  <c r="AD48" i="135"/>
  <c r="D45" i="135"/>
  <c r="F45" i="135"/>
  <c r="C17" i="135"/>
  <c r="E45" i="135"/>
  <c r="C47" i="135"/>
  <c r="F45" i="134"/>
  <c r="H26" i="134"/>
  <c r="H27" i="134" s="1"/>
  <c r="D45" i="134"/>
  <c r="C48" i="134"/>
  <c r="AG49" i="134"/>
  <c r="I26" i="134"/>
  <c r="I27" i="134"/>
  <c r="AG51" i="134"/>
  <c r="C45" i="134"/>
  <c r="G13" i="134"/>
  <c r="E45" i="134"/>
  <c r="X48" i="134"/>
  <c r="AD48" i="134"/>
  <c r="AE48" i="134"/>
  <c r="J14" i="134"/>
  <c r="J15" i="134"/>
  <c r="G18" i="133"/>
  <c r="L49" i="133"/>
  <c r="M49" i="133"/>
  <c r="N49" i="133"/>
  <c r="U49" i="133"/>
  <c r="F18" i="133"/>
  <c r="V49" i="133"/>
  <c r="H18" i="133"/>
  <c r="I18" i="133"/>
  <c r="E51" i="133"/>
  <c r="D9" i="133"/>
  <c r="D17" i="133" s="1"/>
  <c r="J18" i="133"/>
  <c r="I49" i="133"/>
  <c r="F51" i="133"/>
  <c r="E9" i="133"/>
  <c r="E17" i="133" s="1"/>
  <c r="J49" i="133"/>
  <c r="J51" i="133"/>
  <c r="E21" i="133"/>
  <c r="P51" i="133"/>
  <c r="T51" i="133"/>
  <c r="U51" i="133"/>
  <c r="AB51" i="133"/>
  <c r="D18" i="133"/>
  <c r="I21" i="133"/>
  <c r="AE51" i="133"/>
  <c r="E18" i="133"/>
  <c r="AA49" i="133"/>
  <c r="H9" i="133"/>
  <c r="H15" i="133" s="1"/>
  <c r="I9" i="133"/>
  <c r="I15" i="133" s="1"/>
  <c r="J9" i="133"/>
  <c r="J14" i="133" s="1"/>
  <c r="C18" i="133"/>
  <c r="W49" i="133"/>
  <c r="G51" i="133"/>
  <c r="V51" i="133"/>
  <c r="F9" i="133"/>
  <c r="F17" i="133" s="1"/>
  <c r="G21" i="133"/>
  <c r="Y49" i="133"/>
  <c r="H51" i="133"/>
  <c r="W51" i="133"/>
  <c r="H21" i="133"/>
  <c r="C49" i="133"/>
  <c r="Z49" i="133"/>
  <c r="Z48" i="133" s="1"/>
  <c r="AA7" i="132" s="1"/>
  <c r="AA4" i="132" s="1"/>
  <c r="I51" i="133"/>
  <c r="AA51" i="133"/>
  <c r="K51" i="133"/>
  <c r="AC51" i="133"/>
  <c r="K49" i="133"/>
  <c r="O51" i="133"/>
  <c r="AD51" i="133"/>
  <c r="F21" i="133"/>
  <c r="Q51" i="133"/>
  <c r="AF51" i="133"/>
  <c r="J21" i="133"/>
  <c r="C51" i="133"/>
  <c r="R51" i="133"/>
  <c r="G9" i="133"/>
  <c r="G15" i="133" s="1"/>
  <c r="D51" i="133"/>
  <c r="S51" i="133"/>
  <c r="D26" i="133"/>
  <c r="C52" i="133"/>
  <c r="AG12" i="133"/>
  <c r="C9" i="133"/>
  <c r="AG10" i="133"/>
  <c r="E26" i="133"/>
  <c r="E27" i="133" s="1"/>
  <c r="C21" i="133"/>
  <c r="V48" i="133"/>
  <c r="W7" i="132" s="1"/>
  <c r="J48" i="133"/>
  <c r="U48" i="133"/>
  <c r="V7" i="132" s="1"/>
  <c r="AG16" i="133"/>
  <c r="AF49" i="133"/>
  <c r="T49" i="133"/>
  <c r="T48" i="133" s="1"/>
  <c r="U7" i="132" s="1"/>
  <c r="H49" i="133"/>
  <c r="AE49" i="133"/>
  <c r="AE48" i="133" s="1"/>
  <c r="AF7" i="132" s="1"/>
  <c r="S49" i="133"/>
  <c r="S48" i="133" s="1"/>
  <c r="T7" i="132" s="1"/>
  <c r="G49" i="133"/>
  <c r="G48" i="133" s="1"/>
  <c r="AD49" i="133"/>
  <c r="R49" i="133"/>
  <c r="F49" i="133"/>
  <c r="P49" i="133"/>
  <c r="AC49" i="133"/>
  <c r="Q49" i="133"/>
  <c r="E49" i="133"/>
  <c r="AB49" i="133"/>
  <c r="D49" i="133"/>
  <c r="X49" i="133"/>
  <c r="L51" i="133"/>
  <c r="X51" i="133"/>
  <c r="M51" i="133"/>
  <c r="Y51" i="133"/>
  <c r="N51" i="133"/>
  <c r="E4" i="132"/>
  <c r="F77" i="132"/>
  <c r="F51" i="132"/>
  <c r="F52" i="132" s="1"/>
  <c r="F53" i="132" s="1"/>
  <c r="F54" i="132" s="1"/>
  <c r="F55" i="132" s="1"/>
  <c r="F56" i="132" s="1"/>
  <c r="F57" i="132" s="1"/>
  <c r="F58" i="132" s="1"/>
  <c r="F59" i="132" s="1"/>
  <c r="F60" i="132" s="1"/>
  <c r="F61" i="132" s="1"/>
  <c r="F62" i="132" s="1"/>
  <c r="F63" i="132" s="1"/>
  <c r="F64" i="132" s="1"/>
  <c r="F65" i="132" s="1"/>
  <c r="F66" i="132" s="1"/>
  <c r="F67" i="132" s="1"/>
  <c r="F68" i="132" s="1"/>
  <c r="F69" i="132" s="1"/>
  <c r="F70" i="132" s="1"/>
  <c r="F71" i="132" s="1"/>
  <c r="F72" i="132" s="1"/>
  <c r="F73" i="132" s="1"/>
  <c r="F74" i="132" s="1"/>
  <c r="AH74" i="132" s="1"/>
  <c r="K114" i="132"/>
  <c r="K93" i="132"/>
  <c r="K94" i="132" s="1"/>
  <c r="K95" i="132" s="1"/>
  <c r="K96" i="132" s="1"/>
  <c r="K97" i="132" s="1"/>
  <c r="K98" i="132" s="1"/>
  <c r="K99" i="132" s="1"/>
  <c r="K100" i="132" s="1"/>
  <c r="K101" i="132" s="1"/>
  <c r="K102" i="132" s="1"/>
  <c r="K103" i="132" s="1"/>
  <c r="K104" i="132" s="1"/>
  <c r="K105" i="132" s="1"/>
  <c r="K106" i="132" s="1"/>
  <c r="K107" i="132" s="1"/>
  <c r="K108" i="132" s="1"/>
  <c r="K109" i="132" s="1"/>
  <c r="K110" i="132" s="1"/>
  <c r="K111" i="132" s="1"/>
  <c r="AH111" i="132" s="1"/>
  <c r="AD114" i="132"/>
  <c r="AC188" i="132"/>
  <c r="AC185" i="132"/>
  <c r="AC186" i="132" s="1"/>
  <c r="AC187" i="132" s="1"/>
  <c r="K167" i="132"/>
  <c r="K168" i="132" s="1"/>
  <c r="K169" i="132" s="1"/>
  <c r="K170" i="132" s="1"/>
  <c r="K171" i="132" s="1"/>
  <c r="K172" i="132" s="1"/>
  <c r="K173" i="132" s="1"/>
  <c r="K174" i="132" s="1"/>
  <c r="K175" i="132" s="1"/>
  <c r="K176" i="132" s="1"/>
  <c r="K177" i="132" s="1"/>
  <c r="AH177" i="132" s="1"/>
  <c r="K188" i="132"/>
  <c r="R188" i="132"/>
  <c r="R174" i="132"/>
  <c r="R175" i="132" s="1"/>
  <c r="R176" i="132" s="1"/>
  <c r="R177" i="132" s="1"/>
  <c r="R178" i="132" s="1"/>
  <c r="R179" i="132" s="1"/>
  <c r="R180" i="132" s="1"/>
  <c r="R181" i="132" s="1"/>
  <c r="R182" i="132" s="1"/>
  <c r="R183" i="132" s="1"/>
  <c r="R184" i="132" s="1"/>
  <c r="AH184" i="132" s="1"/>
  <c r="V178" i="132"/>
  <c r="V179" i="132" s="1"/>
  <c r="V180" i="132" s="1"/>
  <c r="V181" i="132" s="1"/>
  <c r="V182" i="132" s="1"/>
  <c r="V183" i="132" s="1"/>
  <c r="V184" i="132" s="1"/>
  <c r="V185" i="132" s="1"/>
  <c r="V186" i="132" s="1"/>
  <c r="V187" i="132" s="1"/>
  <c r="V188" i="132"/>
  <c r="W290" i="132"/>
  <c r="W291" i="132" s="1"/>
  <c r="W292" i="132" s="1"/>
  <c r="W293" i="132" s="1"/>
  <c r="AH293" i="132" s="1"/>
  <c r="W299" i="132"/>
  <c r="P321" i="132"/>
  <c r="P322" i="132" s="1"/>
  <c r="AH322" i="132" s="1"/>
  <c r="P337" i="132"/>
  <c r="G4" i="132"/>
  <c r="F9" i="132"/>
  <c r="G8" i="132"/>
  <c r="O208" i="132"/>
  <c r="O209" i="132" s="1"/>
  <c r="O210" i="132" s="1"/>
  <c r="O211" i="132" s="1"/>
  <c r="O212" i="132" s="1"/>
  <c r="O213" i="132" s="1"/>
  <c r="O214" i="132" s="1"/>
  <c r="O215" i="132" s="1"/>
  <c r="O216" i="132" s="1"/>
  <c r="AH216" i="132" s="1"/>
  <c r="O225" i="132"/>
  <c r="D271" i="132"/>
  <c r="AH270" i="132"/>
  <c r="AH299" i="132" s="1"/>
  <c r="D299" i="132"/>
  <c r="AB299" i="132"/>
  <c r="C348" i="132"/>
  <c r="G151" i="132"/>
  <c r="G126" i="132"/>
  <c r="G127" i="132" s="1"/>
  <c r="G128" i="132" s="1"/>
  <c r="G129" i="132" s="1"/>
  <c r="G130" i="132" s="1"/>
  <c r="G131" i="132" s="1"/>
  <c r="G132" i="132" s="1"/>
  <c r="G133" i="132" s="1"/>
  <c r="G134" i="132" s="1"/>
  <c r="G135" i="132" s="1"/>
  <c r="G136" i="132" s="1"/>
  <c r="G137" i="132" s="1"/>
  <c r="G138" i="132" s="1"/>
  <c r="G139" i="132" s="1"/>
  <c r="AH139" i="132" s="1"/>
  <c r="Z188" i="132"/>
  <c r="Z182" i="132"/>
  <c r="Z183" i="132" s="1"/>
  <c r="Z184" i="132" s="1"/>
  <c r="Z185" i="132" s="1"/>
  <c r="Z186" i="132" s="1"/>
  <c r="Z187" i="132" s="1"/>
  <c r="T261" i="132"/>
  <c r="T249" i="132"/>
  <c r="T250" i="132" s="1"/>
  <c r="T251" i="132" s="1"/>
  <c r="T252" i="132" s="1"/>
  <c r="T253" i="132" s="1"/>
  <c r="T254" i="132" s="1"/>
  <c r="AH254" i="132" s="1"/>
  <c r="S299" i="132"/>
  <c r="S286" i="132"/>
  <c r="S287" i="132" s="1"/>
  <c r="S288" i="132" s="1"/>
  <c r="S289" i="132" s="1"/>
  <c r="AH289" i="132" s="1"/>
  <c r="W142" i="132"/>
  <c r="W143" i="132" s="1"/>
  <c r="W144" i="132" s="1"/>
  <c r="W145" i="132" s="1"/>
  <c r="W146" i="132" s="1"/>
  <c r="W147" i="132" s="1"/>
  <c r="W148" i="132" s="1"/>
  <c r="W149" i="132" s="1"/>
  <c r="W150" i="132" s="1"/>
  <c r="W151" i="132"/>
  <c r="AH188" i="132"/>
  <c r="K299" i="132"/>
  <c r="E12" i="132"/>
  <c r="E13" i="132" s="1"/>
  <c r="E14" i="132" s="1"/>
  <c r="E15" i="132" s="1"/>
  <c r="E16" i="132" s="1"/>
  <c r="E17" i="132" s="1"/>
  <c r="E18" i="132" s="1"/>
  <c r="E19" i="132" s="1"/>
  <c r="E20" i="132" s="1"/>
  <c r="E21" i="132" s="1"/>
  <c r="E22" i="132" s="1"/>
  <c r="E23" i="132" s="1"/>
  <c r="E24" i="132" s="1"/>
  <c r="E25" i="132" s="1"/>
  <c r="E26" i="132" s="1"/>
  <c r="E27" i="132" s="1"/>
  <c r="E28" i="132" s="1"/>
  <c r="E29" i="132" s="1"/>
  <c r="E30" i="132" s="1"/>
  <c r="E31" i="132" s="1"/>
  <c r="E32" i="132" s="1"/>
  <c r="E33" i="132" s="1"/>
  <c r="E34" i="132" s="1"/>
  <c r="E35" i="132" s="1"/>
  <c r="E36" i="132" s="1"/>
  <c r="E37" i="132" s="1"/>
  <c r="E38" i="132" s="1"/>
  <c r="E39" i="132" s="1"/>
  <c r="Q210" i="132"/>
  <c r="Q211" i="132" s="1"/>
  <c r="Q212" i="132" s="1"/>
  <c r="Q213" i="132" s="1"/>
  <c r="Q214" i="132" s="1"/>
  <c r="Q215" i="132" s="1"/>
  <c r="Q216" i="132" s="1"/>
  <c r="Q217" i="132" s="1"/>
  <c r="Q218" i="132" s="1"/>
  <c r="AH218" i="132" s="1"/>
  <c r="Q225" i="132"/>
  <c r="M337" i="132"/>
  <c r="M318" i="132"/>
  <c r="M319" i="132" s="1"/>
  <c r="AH319" i="132" s="1"/>
  <c r="D13" i="132"/>
  <c r="D50" i="132"/>
  <c r="AH49" i="132"/>
  <c r="Z225" i="132"/>
  <c r="Z219" i="132"/>
  <c r="Z220" i="132" s="1"/>
  <c r="Z221" i="132" s="1"/>
  <c r="Z222" i="132" s="1"/>
  <c r="Z223" i="132" s="1"/>
  <c r="Z224" i="132" s="1"/>
  <c r="V251" i="132"/>
  <c r="V252" i="132" s="1"/>
  <c r="V253" i="132" s="1"/>
  <c r="V254" i="132" s="1"/>
  <c r="V255" i="132" s="1"/>
  <c r="V256" i="132" s="1"/>
  <c r="AH256" i="132" s="1"/>
  <c r="V261" i="132"/>
  <c r="E50" i="132"/>
  <c r="E51" i="132" s="1"/>
  <c r="E52" i="132" s="1"/>
  <c r="E53" i="132" s="1"/>
  <c r="E54" i="132" s="1"/>
  <c r="E55" i="132" s="1"/>
  <c r="E56" i="132" s="1"/>
  <c r="E57" i="132" s="1"/>
  <c r="E58" i="132" s="1"/>
  <c r="E59" i="132" s="1"/>
  <c r="E60" i="132" s="1"/>
  <c r="E61" i="132" s="1"/>
  <c r="E62" i="132" s="1"/>
  <c r="E63" i="132" s="1"/>
  <c r="E64" i="132" s="1"/>
  <c r="E65" i="132" s="1"/>
  <c r="E66" i="132" s="1"/>
  <c r="E67" i="132" s="1"/>
  <c r="E68" i="132" s="1"/>
  <c r="E69" i="132" s="1"/>
  <c r="E70" i="132" s="1"/>
  <c r="E71" i="132" s="1"/>
  <c r="E72" i="132" s="1"/>
  <c r="E73" i="132" s="1"/>
  <c r="AH73" i="132" s="1"/>
  <c r="E77" i="132"/>
  <c r="J77" i="132"/>
  <c r="J55" i="132"/>
  <c r="J56" i="132" s="1"/>
  <c r="J57" i="132" s="1"/>
  <c r="J58" i="132" s="1"/>
  <c r="J59" i="132" s="1"/>
  <c r="J60" i="132" s="1"/>
  <c r="J61" i="132" s="1"/>
  <c r="J62" i="132" s="1"/>
  <c r="J63" i="132" s="1"/>
  <c r="J64" i="132" s="1"/>
  <c r="J65" i="132" s="1"/>
  <c r="J66" i="132" s="1"/>
  <c r="J67" i="132" s="1"/>
  <c r="J68" i="132" s="1"/>
  <c r="J69" i="132" s="1"/>
  <c r="J70" i="132" s="1"/>
  <c r="J71" i="132" s="1"/>
  <c r="J72" i="132" s="1"/>
  <c r="J73" i="132" s="1"/>
  <c r="J74" i="132" s="1"/>
  <c r="J75" i="132" s="1"/>
  <c r="J76" i="132" s="1"/>
  <c r="X143" i="132"/>
  <c r="X144" i="132" s="1"/>
  <c r="X145" i="132" s="1"/>
  <c r="X146" i="132" s="1"/>
  <c r="X147" i="132" s="1"/>
  <c r="X148" i="132" s="1"/>
  <c r="X149" i="132" s="1"/>
  <c r="X150" i="132" s="1"/>
  <c r="X151" i="132"/>
  <c r="L261" i="132"/>
  <c r="L241" i="132"/>
  <c r="L242" i="132" s="1"/>
  <c r="L243" i="132" s="1"/>
  <c r="L244" i="132" s="1"/>
  <c r="L245" i="132" s="1"/>
  <c r="L246" i="132" s="1"/>
  <c r="AH246" i="132" s="1"/>
  <c r="Q261" i="132"/>
  <c r="Q246" i="132"/>
  <c r="Q247" i="132" s="1"/>
  <c r="Q248" i="132" s="1"/>
  <c r="Q249" i="132" s="1"/>
  <c r="Q250" i="132" s="1"/>
  <c r="Q251" i="132" s="1"/>
  <c r="AH251" i="132" s="1"/>
  <c r="AH122" i="132"/>
  <c r="AH151" i="132" s="1"/>
  <c r="D151" i="132"/>
  <c r="D188" i="132"/>
  <c r="D160" i="132"/>
  <c r="AH159" i="132"/>
  <c r="L225" i="132"/>
  <c r="L205" i="132"/>
  <c r="L206" i="132" s="1"/>
  <c r="L207" i="132" s="1"/>
  <c r="L208" i="132" s="1"/>
  <c r="L209" i="132" s="1"/>
  <c r="L210" i="132" s="1"/>
  <c r="L211" i="132" s="1"/>
  <c r="L212" i="132" s="1"/>
  <c r="L213" i="132" s="1"/>
  <c r="AH213" i="132" s="1"/>
  <c r="U225" i="132"/>
  <c r="U214" i="132"/>
  <c r="U215" i="132" s="1"/>
  <c r="U216" i="132" s="1"/>
  <c r="U217" i="132" s="1"/>
  <c r="U218" i="132" s="1"/>
  <c r="U219" i="132" s="1"/>
  <c r="U220" i="132" s="1"/>
  <c r="U221" i="132" s="1"/>
  <c r="U222" i="132" s="1"/>
  <c r="AH222" i="132" s="1"/>
  <c r="Y254" i="132"/>
  <c r="Y255" i="132" s="1"/>
  <c r="Y256" i="132" s="1"/>
  <c r="Y257" i="132" s="1"/>
  <c r="Y258" i="132" s="1"/>
  <c r="Y259" i="132" s="1"/>
  <c r="AH259" i="132" s="1"/>
  <c r="Y261" i="132"/>
  <c r="AE299" i="132"/>
  <c r="AE298" i="132"/>
  <c r="T102" i="132"/>
  <c r="T103" i="132" s="1"/>
  <c r="T104" i="132" s="1"/>
  <c r="T105" i="132" s="1"/>
  <c r="T106" i="132" s="1"/>
  <c r="T107" i="132" s="1"/>
  <c r="T108" i="132" s="1"/>
  <c r="T109" i="132" s="1"/>
  <c r="T110" i="132" s="1"/>
  <c r="T111" i="132" s="1"/>
  <c r="T112" i="132" s="1"/>
  <c r="T113" i="132" s="1"/>
  <c r="T114" i="132"/>
  <c r="AA225" i="132"/>
  <c r="AA220" i="132"/>
  <c r="AA221" i="132" s="1"/>
  <c r="AA222" i="132" s="1"/>
  <c r="AA223" i="132" s="1"/>
  <c r="AA224" i="132" s="1"/>
  <c r="N299" i="132"/>
  <c r="E310" i="132"/>
  <c r="E311" i="132" s="1"/>
  <c r="AH311" i="132" s="1"/>
  <c r="D123" i="132"/>
  <c r="AH232" i="132"/>
  <c r="AH261" i="132" s="1"/>
  <c r="D233" i="132"/>
  <c r="O261" i="132"/>
  <c r="E9" i="132"/>
  <c r="E10" i="132"/>
  <c r="D10" i="132"/>
  <c r="C11" i="132"/>
  <c r="K77" i="132"/>
  <c r="K56" i="132"/>
  <c r="K57" i="132" s="1"/>
  <c r="K58" i="132" s="1"/>
  <c r="K59" i="132" s="1"/>
  <c r="K60" i="132" s="1"/>
  <c r="K61" i="132" s="1"/>
  <c r="K62" i="132" s="1"/>
  <c r="K63" i="132" s="1"/>
  <c r="K64" i="132" s="1"/>
  <c r="K65" i="132" s="1"/>
  <c r="K66" i="132" s="1"/>
  <c r="K67" i="132" s="1"/>
  <c r="K68" i="132" s="1"/>
  <c r="K69" i="132" s="1"/>
  <c r="K70" i="132" s="1"/>
  <c r="K71" i="132" s="1"/>
  <c r="K72" i="132" s="1"/>
  <c r="K73" i="132" s="1"/>
  <c r="K74" i="132" s="1"/>
  <c r="K75" i="132" s="1"/>
  <c r="K76" i="132" s="1"/>
  <c r="V67" i="132"/>
  <c r="V68" i="132" s="1"/>
  <c r="V69" i="132" s="1"/>
  <c r="V70" i="132" s="1"/>
  <c r="V71" i="132" s="1"/>
  <c r="V72" i="132" s="1"/>
  <c r="V73" i="132" s="1"/>
  <c r="V74" i="132" s="1"/>
  <c r="V75" i="132" s="1"/>
  <c r="V76" i="132" s="1"/>
  <c r="U114" i="132"/>
  <c r="L188" i="132"/>
  <c r="L168" i="132"/>
  <c r="L169" i="132" s="1"/>
  <c r="L170" i="132" s="1"/>
  <c r="L171" i="132" s="1"/>
  <c r="L172" i="132" s="1"/>
  <c r="L173" i="132" s="1"/>
  <c r="L174" i="132" s="1"/>
  <c r="L175" i="132" s="1"/>
  <c r="L176" i="132" s="1"/>
  <c r="L177" i="132" s="1"/>
  <c r="L178" i="132" s="1"/>
  <c r="AH178" i="132" s="1"/>
  <c r="J337" i="132"/>
  <c r="J315" i="132"/>
  <c r="J316" i="132" s="1"/>
  <c r="AH316" i="132" s="1"/>
  <c r="F10" i="132"/>
  <c r="AE151" i="132"/>
  <c r="AE150" i="132"/>
  <c r="U151" i="132"/>
  <c r="H188" i="132"/>
  <c r="D198" i="132"/>
  <c r="AH197" i="132"/>
  <c r="R285" i="132"/>
  <c r="R286" i="132" s="1"/>
  <c r="R287" i="132" s="1"/>
  <c r="R288" i="132" s="1"/>
  <c r="AH288" i="132" s="1"/>
  <c r="R299" i="132"/>
  <c r="G10" i="132"/>
  <c r="AH11" i="132"/>
  <c r="AH114" i="132"/>
  <c r="U299" i="132"/>
  <c r="U288" i="132"/>
  <c r="U289" i="132" s="1"/>
  <c r="U290" i="132" s="1"/>
  <c r="U291" i="132" s="1"/>
  <c r="AH291" i="132" s="1"/>
  <c r="F311" i="132"/>
  <c r="F312" i="132" s="1"/>
  <c r="AH312" i="132" s="1"/>
  <c r="Y337" i="132"/>
  <c r="Y330" i="132"/>
  <c r="Y331" i="132" s="1"/>
  <c r="AH331" i="132" s="1"/>
  <c r="D77" i="132"/>
  <c r="H114" i="132"/>
  <c r="F225" i="132"/>
  <c r="F199" i="132"/>
  <c r="F200" i="132" s="1"/>
  <c r="F201" i="132" s="1"/>
  <c r="F202" i="132" s="1"/>
  <c r="F203" i="132" s="1"/>
  <c r="F204" i="132" s="1"/>
  <c r="F205" i="132" s="1"/>
  <c r="F206" i="132" s="1"/>
  <c r="F207" i="132" s="1"/>
  <c r="AH207" i="132" s="1"/>
  <c r="D261" i="132"/>
  <c r="W261" i="132"/>
  <c r="Z293" i="132"/>
  <c r="Z294" i="132" s="1"/>
  <c r="Z295" i="132" s="1"/>
  <c r="Z296" i="132" s="1"/>
  <c r="AH296" i="132" s="1"/>
  <c r="AD297" i="132"/>
  <c r="AD298" i="132" s="1"/>
  <c r="AD299" i="132"/>
  <c r="Z114" i="132"/>
  <c r="H127" i="132"/>
  <c r="H128" i="132" s="1"/>
  <c r="H129" i="132" s="1"/>
  <c r="H130" i="132" s="1"/>
  <c r="H131" i="132" s="1"/>
  <c r="H132" i="132" s="1"/>
  <c r="H133" i="132" s="1"/>
  <c r="H134" i="132" s="1"/>
  <c r="H135" i="132" s="1"/>
  <c r="H136" i="132" s="1"/>
  <c r="H137" i="132" s="1"/>
  <c r="H138" i="132" s="1"/>
  <c r="H139" i="132" s="1"/>
  <c r="H140" i="132" s="1"/>
  <c r="AH140" i="132" s="1"/>
  <c r="AA183" i="132"/>
  <c r="AA184" i="132" s="1"/>
  <c r="AA185" i="132" s="1"/>
  <c r="AA186" i="132" s="1"/>
  <c r="AA187" i="132" s="1"/>
  <c r="AA188" i="132"/>
  <c r="AD225" i="132"/>
  <c r="AD223" i="132"/>
  <c r="AD224" i="132" s="1"/>
  <c r="F299" i="132"/>
  <c r="S337" i="132"/>
  <c r="S324" i="132"/>
  <c r="S325" i="132" s="1"/>
  <c r="AH325" i="132" s="1"/>
  <c r="V337" i="132"/>
  <c r="I54" i="132"/>
  <c r="I55" i="132" s="1"/>
  <c r="I56" i="132" s="1"/>
  <c r="I57" i="132" s="1"/>
  <c r="I58" i="132" s="1"/>
  <c r="I59" i="132" s="1"/>
  <c r="I60" i="132" s="1"/>
  <c r="I61" i="132" s="1"/>
  <c r="I62" i="132" s="1"/>
  <c r="I63" i="132" s="1"/>
  <c r="I64" i="132" s="1"/>
  <c r="I65" i="132" s="1"/>
  <c r="I66" i="132" s="1"/>
  <c r="I67" i="132" s="1"/>
  <c r="I68" i="132" s="1"/>
  <c r="I69" i="132" s="1"/>
  <c r="I70" i="132" s="1"/>
  <c r="I71" i="132" s="1"/>
  <c r="I72" i="132" s="1"/>
  <c r="I73" i="132" s="1"/>
  <c r="I74" i="132" s="1"/>
  <c r="I75" i="132" s="1"/>
  <c r="I76" i="132" s="1"/>
  <c r="T77" i="132"/>
  <c r="T65" i="132"/>
  <c r="T66" i="132" s="1"/>
  <c r="T67" i="132" s="1"/>
  <c r="T68" i="132" s="1"/>
  <c r="T69" i="132" s="1"/>
  <c r="T70" i="132" s="1"/>
  <c r="T71" i="132" s="1"/>
  <c r="T72" i="132" s="1"/>
  <c r="T73" i="132" s="1"/>
  <c r="T74" i="132" s="1"/>
  <c r="T75" i="132" s="1"/>
  <c r="T76" i="132" s="1"/>
  <c r="X77" i="132"/>
  <c r="X69" i="132"/>
  <c r="X70" i="132" s="1"/>
  <c r="X71" i="132" s="1"/>
  <c r="X72" i="132" s="1"/>
  <c r="X73" i="132" s="1"/>
  <c r="X74" i="132" s="1"/>
  <c r="X75" i="132" s="1"/>
  <c r="X76" i="132" s="1"/>
  <c r="D114" i="132"/>
  <c r="D86" i="132"/>
  <c r="J92" i="132"/>
  <c r="J93" i="132" s="1"/>
  <c r="J94" i="132" s="1"/>
  <c r="J95" i="132" s="1"/>
  <c r="J96" i="132" s="1"/>
  <c r="J97" i="132" s="1"/>
  <c r="J98" i="132" s="1"/>
  <c r="J99" i="132" s="1"/>
  <c r="J100" i="132" s="1"/>
  <c r="J101" i="132" s="1"/>
  <c r="J102" i="132" s="1"/>
  <c r="J103" i="132" s="1"/>
  <c r="J104" i="132" s="1"/>
  <c r="J105" i="132" s="1"/>
  <c r="J106" i="132" s="1"/>
  <c r="J107" i="132" s="1"/>
  <c r="J108" i="132" s="1"/>
  <c r="J109" i="132" s="1"/>
  <c r="J110" i="132" s="1"/>
  <c r="AH110" i="132" s="1"/>
  <c r="I151" i="132"/>
  <c r="J166" i="132"/>
  <c r="J167" i="132" s="1"/>
  <c r="J168" i="132" s="1"/>
  <c r="J169" i="132" s="1"/>
  <c r="J170" i="132" s="1"/>
  <c r="J171" i="132" s="1"/>
  <c r="J172" i="132" s="1"/>
  <c r="J173" i="132" s="1"/>
  <c r="J174" i="132" s="1"/>
  <c r="J175" i="132" s="1"/>
  <c r="J176" i="132" s="1"/>
  <c r="AH176" i="132" s="1"/>
  <c r="K225" i="132"/>
  <c r="K204" i="132"/>
  <c r="K205" i="132" s="1"/>
  <c r="K206" i="132" s="1"/>
  <c r="K207" i="132" s="1"/>
  <c r="K208" i="132" s="1"/>
  <c r="K209" i="132" s="1"/>
  <c r="K210" i="132" s="1"/>
  <c r="K211" i="132" s="1"/>
  <c r="K212" i="132" s="1"/>
  <c r="AH212" i="132" s="1"/>
  <c r="G299" i="132"/>
  <c r="G337" i="132"/>
  <c r="O171" i="132"/>
  <c r="O172" i="132" s="1"/>
  <c r="O173" i="132" s="1"/>
  <c r="O174" i="132" s="1"/>
  <c r="O175" i="132" s="1"/>
  <c r="O176" i="132" s="1"/>
  <c r="O177" i="132" s="1"/>
  <c r="O178" i="132" s="1"/>
  <c r="O179" i="132" s="1"/>
  <c r="O180" i="132" s="1"/>
  <c r="O181" i="132" s="1"/>
  <c r="AH181" i="132" s="1"/>
  <c r="O188" i="132"/>
  <c r="E234" i="132"/>
  <c r="E235" i="132" s="1"/>
  <c r="E236" i="132" s="1"/>
  <c r="E237" i="132" s="1"/>
  <c r="E238" i="132" s="1"/>
  <c r="E239" i="132" s="1"/>
  <c r="AH239" i="132" s="1"/>
  <c r="E261" i="132"/>
  <c r="J277" i="132"/>
  <c r="J278" i="132" s="1"/>
  <c r="J279" i="132" s="1"/>
  <c r="J280" i="132" s="1"/>
  <c r="AH280" i="132" s="1"/>
  <c r="J299" i="132"/>
  <c r="F45" i="132"/>
  <c r="G45" i="132" s="1"/>
  <c r="H45" i="132" s="1"/>
  <c r="I45" i="132" s="1"/>
  <c r="J45" i="132" s="1"/>
  <c r="K45" i="132" s="1"/>
  <c r="L45" i="132" s="1"/>
  <c r="M45" i="132" s="1"/>
  <c r="N45" i="132" s="1"/>
  <c r="O45" i="132" s="1"/>
  <c r="P45" i="132" s="1"/>
  <c r="Q45" i="132" s="1"/>
  <c r="R45" i="132" s="1"/>
  <c r="S45" i="132" s="1"/>
  <c r="T45" i="132" s="1"/>
  <c r="U45" i="132" s="1"/>
  <c r="V45" i="132" s="1"/>
  <c r="W45" i="132" s="1"/>
  <c r="X45" i="132" s="1"/>
  <c r="Y45" i="132" s="1"/>
  <c r="Z45" i="132" s="1"/>
  <c r="AA45" i="132" s="1"/>
  <c r="AB45" i="132" s="1"/>
  <c r="AC45" i="132" s="1"/>
  <c r="AD45" i="132" s="1"/>
  <c r="AE45" i="132" s="1"/>
  <c r="AF45" i="132" s="1"/>
  <c r="AG45" i="132" s="1"/>
  <c r="D310" i="132"/>
  <c r="AH310" i="132" s="1"/>
  <c r="AH309" i="132"/>
  <c r="Q136" i="132"/>
  <c r="Q137" i="132" s="1"/>
  <c r="Q138" i="132" s="1"/>
  <c r="Q139" i="132" s="1"/>
  <c r="Q140" i="132" s="1"/>
  <c r="Q141" i="132" s="1"/>
  <c r="Q142" i="132" s="1"/>
  <c r="Q143" i="132" s="1"/>
  <c r="Q144" i="132" s="1"/>
  <c r="Q145" i="132" s="1"/>
  <c r="Q146" i="132" s="1"/>
  <c r="Q147" i="132" s="1"/>
  <c r="Q148" i="132" s="1"/>
  <c r="Q149" i="132" s="1"/>
  <c r="AH149" i="132" s="1"/>
  <c r="V225" i="132"/>
  <c r="AE260" i="132"/>
  <c r="AE261" i="132"/>
  <c r="AH308" i="132"/>
  <c r="AH337" i="132" s="1"/>
  <c r="X329" i="132"/>
  <c r="X330" i="132" s="1"/>
  <c r="AH330" i="132" s="1"/>
  <c r="X337" i="132"/>
  <c r="R225" i="132"/>
  <c r="R211" i="132"/>
  <c r="R212" i="132" s="1"/>
  <c r="R213" i="132" s="1"/>
  <c r="R214" i="132" s="1"/>
  <c r="R215" i="132" s="1"/>
  <c r="R216" i="132" s="1"/>
  <c r="R217" i="132" s="1"/>
  <c r="R218" i="132" s="1"/>
  <c r="R219" i="132" s="1"/>
  <c r="AH219" i="132" s="1"/>
  <c r="E11" i="131"/>
  <c r="E12" i="131"/>
  <c r="C41" i="131" s="1"/>
  <c r="E13" i="131"/>
  <c r="F41" i="131" s="1"/>
  <c r="E14" i="131"/>
  <c r="D41" i="131" s="1"/>
  <c r="E10" i="131"/>
  <c r="C30" i="131"/>
  <c r="C21" i="131"/>
  <c r="D21" i="131" s="1"/>
  <c r="E21" i="131" s="1"/>
  <c r="F21" i="131" s="1"/>
  <c r="G21" i="131" s="1"/>
  <c r="H21" i="131" s="1"/>
  <c r="H20" i="131"/>
  <c r="G20" i="131"/>
  <c r="F20" i="131"/>
  <c r="E20" i="131"/>
  <c r="D20" i="131"/>
  <c r="C20" i="131"/>
  <c r="E41" i="131" l="1"/>
  <c r="I41" i="131"/>
  <c r="O50" i="133"/>
  <c r="O48" i="133" s="1"/>
  <c r="P7" i="132" s="1"/>
  <c r="O50" i="134"/>
  <c r="O48" i="134" s="1"/>
  <c r="J50" i="109"/>
  <c r="J47" i="109" s="1"/>
  <c r="B55" i="131"/>
  <c r="B41" i="131"/>
  <c r="K50" i="134" s="1"/>
  <c r="T27" i="132"/>
  <c r="T28" i="132" s="1"/>
  <c r="T29" i="132" s="1"/>
  <c r="T30" i="132" s="1"/>
  <c r="T31" i="132" s="1"/>
  <c r="T32" i="132" s="1"/>
  <c r="T33" i="132" s="1"/>
  <c r="T34" i="132" s="1"/>
  <c r="T35" i="132" s="1"/>
  <c r="T36" i="132" s="1"/>
  <c r="T37" i="132" s="1"/>
  <c r="T38" i="132" s="1"/>
  <c r="T39" i="132" s="1"/>
  <c r="T4" i="132"/>
  <c r="AF4" i="132"/>
  <c r="AF39" i="132"/>
  <c r="W4" i="132"/>
  <c r="W30" i="132"/>
  <c r="W31" i="132" s="1"/>
  <c r="W32" i="132" s="1"/>
  <c r="W33" i="132" s="1"/>
  <c r="W34" i="132" s="1"/>
  <c r="W35" i="132" s="1"/>
  <c r="W36" i="132" s="1"/>
  <c r="W37" i="132" s="1"/>
  <c r="W38" i="132" s="1"/>
  <c r="W39" i="132" s="1"/>
  <c r="U28" i="132"/>
  <c r="U29" i="132" s="1"/>
  <c r="U30" i="132" s="1"/>
  <c r="U31" i="132" s="1"/>
  <c r="U32" i="132" s="1"/>
  <c r="U33" i="132" s="1"/>
  <c r="U34" i="132" s="1"/>
  <c r="U35" i="132" s="1"/>
  <c r="U36" i="132" s="1"/>
  <c r="U37" i="132" s="1"/>
  <c r="U38" i="132" s="1"/>
  <c r="U39" i="132" s="1"/>
  <c r="U4" i="132"/>
  <c r="AA34" i="132"/>
  <c r="AA35" i="132" s="1"/>
  <c r="AA36" i="132" s="1"/>
  <c r="AA37" i="132" s="1"/>
  <c r="AA38" i="132" s="1"/>
  <c r="AA39" i="132" s="1"/>
  <c r="V4" i="132"/>
  <c r="V29" i="132"/>
  <c r="V30" i="132" s="1"/>
  <c r="V31" i="132" s="1"/>
  <c r="V32" i="132" s="1"/>
  <c r="V33" i="132" s="1"/>
  <c r="V34" i="132" s="1"/>
  <c r="V35" i="132" s="1"/>
  <c r="V36" i="132" s="1"/>
  <c r="V37" i="132" s="1"/>
  <c r="V38" i="132" s="1"/>
  <c r="V39" i="132" s="1"/>
  <c r="N50" i="109"/>
  <c r="H41" i="131"/>
  <c r="Q50" i="133" s="1"/>
  <c r="Q48" i="133" s="1"/>
  <c r="R7" i="132" s="1"/>
  <c r="L50" i="133"/>
  <c r="L48" i="133" s="1"/>
  <c r="M7" i="132" s="1"/>
  <c r="L50" i="134"/>
  <c r="L48" i="134" s="1"/>
  <c r="G50" i="109"/>
  <c r="G47" i="109" s="1"/>
  <c r="K50" i="133"/>
  <c r="K48" i="133" s="1"/>
  <c r="L7" i="132" s="1"/>
  <c r="M50" i="134"/>
  <c r="M48" i="134" s="1"/>
  <c r="M50" i="133"/>
  <c r="M48" i="133" s="1"/>
  <c r="N7" i="132" s="1"/>
  <c r="H50" i="109"/>
  <c r="H47" i="109" s="1"/>
  <c r="C26" i="135"/>
  <c r="C27" i="135" s="1"/>
  <c r="H45" i="134"/>
  <c r="G17" i="134"/>
  <c r="J13" i="134"/>
  <c r="J17" i="134" s="1"/>
  <c r="I45" i="134"/>
  <c r="C47" i="134"/>
  <c r="Y48" i="133"/>
  <c r="Z7" i="132" s="1"/>
  <c r="AD48" i="133"/>
  <c r="AE7" i="132" s="1"/>
  <c r="F48" i="133"/>
  <c r="J15" i="133"/>
  <c r="AA48" i="133"/>
  <c r="AB7" i="132" s="1"/>
  <c r="G14" i="133"/>
  <c r="H48" i="133"/>
  <c r="C48" i="133"/>
  <c r="C47" i="133" s="1"/>
  <c r="H14" i="133"/>
  <c r="H13" i="133" s="1"/>
  <c r="H17" i="133" s="1"/>
  <c r="H26" i="133" s="1"/>
  <c r="H27" i="133" s="1"/>
  <c r="D27" i="133"/>
  <c r="D45" i="133" s="1"/>
  <c r="AB48" i="133"/>
  <c r="AC7" i="132" s="1"/>
  <c r="AF48" i="133"/>
  <c r="AG7" i="132" s="1"/>
  <c r="W48" i="133"/>
  <c r="X7" i="132" s="1"/>
  <c r="I14" i="133"/>
  <c r="I13" i="133" s="1"/>
  <c r="I17" i="133" s="1"/>
  <c r="E48" i="133"/>
  <c r="I48" i="133"/>
  <c r="E45" i="133"/>
  <c r="I26" i="133"/>
  <c r="I27" i="133"/>
  <c r="G13" i="133"/>
  <c r="AG51" i="133"/>
  <c r="F26" i="133"/>
  <c r="F27" i="133" s="1"/>
  <c r="X48" i="133"/>
  <c r="Y7" i="132" s="1"/>
  <c r="D48" i="133"/>
  <c r="J13" i="133"/>
  <c r="J17" i="133" s="1"/>
  <c r="C17" i="133"/>
  <c r="AG49" i="133"/>
  <c r="AC48" i="133"/>
  <c r="AD7" i="132" s="1"/>
  <c r="AH123" i="132"/>
  <c r="D124" i="132"/>
  <c r="D51" i="132"/>
  <c r="AH50" i="132"/>
  <c r="C349" i="132"/>
  <c r="D14" i="132"/>
  <c r="AH13" i="132"/>
  <c r="D161" i="132"/>
  <c r="AH160" i="132"/>
  <c r="D199" i="132"/>
  <c r="AH198" i="132"/>
  <c r="AH271" i="132"/>
  <c r="D272" i="132"/>
  <c r="AH86" i="132"/>
  <c r="D87" i="132"/>
  <c r="E40" i="132"/>
  <c r="C12" i="132"/>
  <c r="H8" i="132"/>
  <c r="G9" i="132"/>
  <c r="AH233" i="132"/>
  <c r="D234" i="132"/>
  <c r="AH12" i="132"/>
  <c r="F40" i="132"/>
  <c r="G22" i="131"/>
  <c r="H22" i="131"/>
  <c r="F22" i="131"/>
  <c r="E22" i="131"/>
  <c r="C22" i="131"/>
  <c r="D22" i="131"/>
  <c r="C32" i="131"/>
  <c r="D42" i="131" l="1"/>
  <c r="E56" i="131"/>
  <c r="C56" i="131"/>
  <c r="G42" i="131"/>
  <c r="F42" i="131"/>
  <c r="C42" i="131"/>
  <c r="D56" i="131"/>
  <c r="G56" i="131"/>
  <c r="E42" i="131"/>
  <c r="F56" i="131"/>
  <c r="B56" i="131"/>
  <c r="B42" i="131"/>
  <c r="E59" i="131"/>
  <c r="F45" i="131"/>
  <c r="D59" i="131"/>
  <c r="E45" i="131"/>
  <c r="G59" i="131"/>
  <c r="G45" i="131"/>
  <c r="C59" i="131"/>
  <c r="F59" i="131"/>
  <c r="B59" i="131"/>
  <c r="B45" i="131"/>
  <c r="C45" i="131"/>
  <c r="D45" i="131"/>
  <c r="C58" i="131"/>
  <c r="B58" i="131"/>
  <c r="G44" i="131"/>
  <c r="E58" i="131"/>
  <c r="C44" i="131"/>
  <c r="D58" i="131"/>
  <c r="G58" i="131"/>
  <c r="F44" i="131"/>
  <c r="F58" i="131"/>
  <c r="D44" i="131"/>
  <c r="E44" i="131"/>
  <c r="B44" i="131"/>
  <c r="H49" i="131"/>
  <c r="Q11" i="134" s="1"/>
  <c r="G63" i="131"/>
  <c r="B63" i="131"/>
  <c r="F63" i="131"/>
  <c r="C63" i="131"/>
  <c r="D49" i="131"/>
  <c r="M11" i="134" s="1"/>
  <c r="M9" i="134" s="1"/>
  <c r="E63" i="131"/>
  <c r="C49" i="131"/>
  <c r="L11" i="134" s="1"/>
  <c r="F49" i="131"/>
  <c r="O11" i="134" s="1"/>
  <c r="D63" i="131"/>
  <c r="G49" i="131"/>
  <c r="P11" i="134" s="1"/>
  <c r="P9" i="134" s="1"/>
  <c r="E49" i="131"/>
  <c r="N11" i="134" s="1"/>
  <c r="N9" i="134" s="1"/>
  <c r="B49" i="131"/>
  <c r="F61" i="131"/>
  <c r="F47" i="131"/>
  <c r="G61" i="131"/>
  <c r="E61" i="131"/>
  <c r="D61" i="131"/>
  <c r="G47" i="131"/>
  <c r="C61" i="131"/>
  <c r="E47" i="131"/>
  <c r="B61" i="131"/>
  <c r="B47" i="131"/>
  <c r="C47" i="131"/>
  <c r="D47" i="131"/>
  <c r="F50" i="109"/>
  <c r="D57" i="131"/>
  <c r="F43" i="131"/>
  <c r="F57" i="131"/>
  <c r="C57" i="131"/>
  <c r="G57" i="131"/>
  <c r="E57" i="131"/>
  <c r="G43" i="131"/>
  <c r="E43" i="131"/>
  <c r="B57" i="131"/>
  <c r="B43" i="131"/>
  <c r="D43" i="131"/>
  <c r="C43" i="131"/>
  <c r="F60" i="131"/>
  <c r="E60" i="131"/>
  <c r="C60" i="131"/>
  <c r="B60" i="131"/>
  <c r="G46" i="131"/>
  <c r="F46" i="131"/>
  <c r="D46" i="131"/>
  <c r="C46" i="131"/>
  <c r="G60" i="131"/>
  <c r="D60" i="131"/>
  <c r="E46" i="131"/>
  <c r="B46" i="131"/>
  <c r="O50" i="135"/>
  <c r="O48" i="135" s="1"/>
  <c r="O50" i="110"/>
  <c r="L50" i="109"/>
  <c r="L47" i="109" s="1"/>
  <c r="Q50" i="135" s="1"/>
  <c r="Q48" i="135" s="1"/>
  <c r="AD4" i="132"/>
  <c r="AD37" i="132"/>
  <c r="AD38" i="132" s="1"/>
  <c r="AD39" i="132" s="1"/>
  <c r="P23" i="132"/>
  <c r="P24" i="132" s="1"/>
  <c r="P25" i="132" s="1"/>
  <c r="P26" i="132" s="1"/>
  <c r="P27" i="132" s="1"/>
  <c r="P28" i="132" s="1"/>
  <c r="P29" i="132" s="1"/>
  <c r="P30" i="132" s="1"/>
  <c r="P31" i="132" s="1"/>
  <c r="P32" i="132" s="1"/>
  <c r="P33" i="132" s="1"/>
  <c r="P34" i="132" s="1"/>
  <c r="P35" i="132" s="1"/>
  <c r="P36" i="132" s="1"/>
  <c r="P37" i="132" s="1"/>
  <c r="P38" i="132" s="1"/>
  <c r="P39" i="132" s="1"/>
  <c r="P4" i="132"/>
  <c r="X31" i="132"/>
  <c r="X32" i="132" s="1"/>
  <c r="X33" i="132" s="1"/>
  <c r="X34" i="132" s="1"/>
  <c r="X35" i="132" s="1"/>
  <c r="X36" i="132" s="1"/>
  <c r="X37" i="132" s="1"/>
  <c r="X38" i="132" s="1"/>
  <c r="X39" i="132" s="1"/>
  <c r="X4" i="132"/>
  <c r="Q50" i="110"/>
  <c r="L50" i="135"/>
  <c r="L50" i="110"/>
  <c r="AG39" i="132"/>
  <c r="AG4" i="132"/>
  <c r="AC4" i="132"/>
  <c r="AC36" i="132"/>
  <c r="AC37" i="132" s="1"/>
  <c r="AC38" i="132" s="1"/>
  <c r="AC39" i="132" s="1"/>
  <c r="M50" i="135"/>
  <c r="M50" i="110"/>
  <c r="AB35" i="132"/>
  <c r="AB36" i="132" s="1"/>
  <c r="AB37" i="132" s="1"/>
  <c r="AB38" i="132" s="1"/>
  <c r="AB39" i="132" s="1"/>
  <c r="AB4" i="132"/>
  <c r="AE4" i="132"/>
  <c r="AE38" i="132"/>
  <c r="AE39" i="132" s="1"/>
  <c r="Z33" i="132"/>
  <c r="Z34" i="132" s="1"/>
  <c r="Z35" i="132" s="1"/>
  <c r="Z36" i="132" s="1"/>
  <c r="Z37" i="132" s="1"/>
  <c r="Z38" i="132" s="1"/>
  <c r="Z39" i="132" s="1"/>
  <c r="Z4" i="132"/>
  <c r="Y4" i="132"/>
  <c r="Y32" i="132"/>
  <c r="Y33" i="132" s="1"/>
  <c r="Y34" i="132" s="1"/>
  <c r="Y35" i="132" s="1"/>
  <c r="Y36" i="132" s="1"/>
  <c r="Y37" i="132" s="1"/>
  <c r="Y38" i="132" s="1"/>
  <c r="Y39" i="132" s="1"/>
  <c r="N47" i="109"/>
  <c r="Q50" i="134"/>
  <c r="Q48" i="134" s="1"/>
  <c r="K11" i="134"/>
  <c r="N50" i="134"/>
  <c r="N48" i="134" s="1"/>
  <c r="N50" i="133"/>
  <c r="N48" i="133" s="1"/>
  <c r="O7" i="132" s="1"/>
  <c r="I50" i="109"/>
  <c r="I47" i="109" s="1"/>
  <c r="N21" i="132"/>
  <c r="N22" i="132" s="1"/>
  <c r="N23" i="132" s="1"/>
  <c r="N24" i="132" s="1"/>
  <c r="N25" i="132" s="1"/>
  <c r="N26" i="132" s="1"/>
  <c r="N27" i="132" s="1"/>
  <c r="N28" i="132" s="1"/>
  <c r="N29" i="132" s="1"/>
  <c r="N30" i="132" s="1"/>
  <c r="N31" i="132" s="1"/>
  <c r="N32" i="132" s="1"/>
  <c r="N33" i="132" s="1"/>
  <c r="N34" i="132" s="1"/>
  <c r="N35" i="132" s="1"/>
  <c r="N36" i="132" s="1"/>
  <c r="N37" i="132" s="1"/>
  <c r="N38" i="132" s="1"/>
  <c r="N39" i="132" s="1"/>
  <c r="N4" i="132"/>
  <c r="P50" i="133"/>
  <c r="P48" i="133" s="1"/>
  <c r="Q7" i="132" s="1"/>
  <c r="P50" i="134"/>
  <c r="P48" i="134" s="1"/>
  <c r="K50" i="109"/>
  <c r="K47" i="109" s="1"/>
  <c r="H69" i="131"/>
  <c r="K48" i="134"/>
  <c r="L19" i="132"/>
  <c r="L20" i="132" s="1"/>
  <c r="L21" i="132" s="1"/>
  <c r="L22" i="132" s="1"/>
  <c r="L23" i="132" s="1"/>
  <c r="L24" i="132" s="1"/>
  <c r="L25" i="132" s="1"/>
  <c r="L26" i="132" s="1"/>
  <c r="L27" i="132" s="1"/>
  <c r="L28" i="132" s="1"/>
  <c r="L29" i="132" s="1"/>
  <c r="L30" i="132" s="1"/>
  <c r="L31" i="132" s="1"/>
  <c r="L32" i="132" s="1"/>
  <c r="L33" i="132" s="1"/>
  <c r="L34" i="132" s="1"/>
  <c r="L35" i="132" s="1"/>
  <c r="L36" i="132" s="1"/>
  <c r="L37" i="132" s="1"/>
  <c r="L38" i="132" s="1"/>
  <c r="L39" i="132" s="1"/>
  <c r="L4" i="132"/>
  <c r="R50" i="134"/>
  <c r="R48" i="134" s="1"/>
  <c r="R50" i="133"/>
  <c r="R48" i="133" s="1"/>
  <c r="S7" i="132" s="1"/>
  <c r="M50" i="109"/>
  <c r="M47" i="109" s="1"/>
  <c r="R25" i="132"/>
  <c r="R26" i="132" s="1"/>
  <c r="R27" i="132" s="1"/>
  <c r="R28" i="132" s="1"/>
  <c r="R29" i="132" s="1"/>
  <c r="R30" i="132" s="1"/>
  <c r="R31" i="132" s="1"/>
  <c r="R32" i="132" s="1"/>
  <c r="R33" i="132" s="1"/>
  <c r="R34" i="132" s="1"/>
  <c r="R35" i="132" s="1"/>
  <c r="R36" i="132" s="1"/>
  <c r="R37" i="132" s="1"/>
  <c r="R38" i="132" s="1"/>
  <c r="R39" i="132" s="1"/>
  <c r="R4" i="132"/>
  <c r="M4" i="132"/>
  <c r="M20" i="132"/>
  <c r="M21" i="132" s="1"/>
  <c r="M22" i="132" s="1"/>
  <c r="M23" i="132" s="1"/>
  <c r="M24" i="132" s="1"/>
  <c r="M25" i="132" s="1"/>
  <c r="M26" i="132" s="1"/>
  <c r="M27" i="132" s="1"/>
  <c r="M28" i="132" s="1"/>
  <c r="M29" i="132" s="1"/>
  <c r="M30" i="132" s="1"/>
  <c r="M31" i="132" s="1"/>
  <c r="M32" i="132" s="1"/>
  <c r="M33" i="132" s="1"/>
  <c r="M34" i="132" s="1"/>
  <c r="M35" i="132" s="1"/>
  <c r="M36" i="132" s="1"/>
  <c r="M37" i="132" s="1"/>
  <c r="M38" i="132" s="1"/>
  <c r="M39" i="132" s="1"/>
  <c r="C45" i="135"/>
  <c r="Q9" i="134"/>
  <c r="Q11" i="133"/>
  <c r="Q9" i="133" s="1"/>
  <c r="L13" i="109"/>
  <c r="L10" i="109" s="1"/>
  <c r="J26" i="134"/>
  <c r="J27" i="134" s="1"/>
  <c r="G26" i="134"/>
  <c r="C55" i="134"/>
  <c r="F45" i="133"/>
  <c r="H45" i="133"/>
  <c r="G17" i="133"/>
  <c r="C26" i="133"/>
  <c r="C27" i="133"/>
  <c r="I45" i="133"/>
  <c r="J26" i="133"/>
  <c r="J27" i="133"/>
  <c r="G40" i="132"/>
  <c r="D200" i="132"/>
  <c r="AH199" i="132"/>
  <c r="I8" i="132"/>
  <c r="H9" i="132"/>
  <c r="H10" i="132"/>
  <c r="D162" i="132"/>
  <c r="AH161" i="132"/>
  <c r="C13" i="132"/>
  <c r="AH14" i="132"/>
  <c r="D15" i="132"/>
  <c r="C350" i="132"/>
  <c r="D88" i="132"/>
  <c r="AH87" i="132"/>
  <c r="D52" i="132"/>
  <c r="AH51" i="132"/>
  <c r="AH272" i="132"/>
  <c r="D273" i="132"/>
  <c r="D125" i="132"/>
  <c r="AH124" i="132"/>
  <c r="D235" i="132"/>
  <c r="AH234" i="132"/>
  <c r="H45" i="131"/>
  <c r="H46" i="131"/>
  <c r="H43" i="131"/>
  <c r="H44" i="131"/>
  <c r="H48" i="131"/>
  <c r="H42" i="131"/>
  <c r="H47" i="131"/>
  <c r="K13" i="109" l="1"/>
  <c r="K10" i="109" s="1"/>
  <c r="O11" i="133"/>
  <c r="O9" i="133" s="1"/>
  <c r="P11" i="133"/>
  <c r="P9" i="133" s="1"/>
  <c r="Q11" i="135"/>
  <c r="Q9" i="135" s="1"/>
  <c r="Q11" i="110"/>
  <c r="Q9" i="110" s="1"/>
  <c r="P50" i="135"/>
  <c r="P50" i="110"/>
  <c r="R50" i="135"/>
  <c r="R48" i="135" s="1"/>
  <c r="R50" i="110"/>
  <c r="N50" i="110"/>
  <c r="N50" i="135"/>
  <c r="S50" i="135"/>
  <c r="S48" i="135" s="1"/>
  <c r="S50" i="110"/>
  <c r="P11" i="110"/>
  <c r="P9" i="110" s="1"/>
  <c r="P11" i="135"/>
  <c r="P9" i="135" s="1"/>
  <c r="N11" i="133"/>
  <c r="N9" i="133" s="1"/>
  <c r="N14" i="133" s="1"/>
  <c r="M11" i="133"/>
  <c r="M9" i="133" s="1"/>
  <c r="M14" i="133" s="1"/>
  <c r="AG48" i="134"/>
  <c r="AG50" i="134"/>
  <c r="K11" i="133"/>
  <c r="K9" i="133" s="1"/>
  <c r="F13" i="109"/>
  <c r="F10" i="109" s="1"/>
  <c r="I13" i="109"/>
  <c r="I10" i="109" s="1"/>
  <c r="J13" i="109"/>
  <c r="J10" i="109" s="1"/>
  <c r="AG48" i="133"/>
  <c r="O9" i="134"/>
  <c r="O14" i="134" s="1"/>
  <c r="Q4" i="132"/>
  <c r="Q24" i="132"/>
  <c r="Q25" i="132" s="1"/>
  <c r="Q26" i="132" s="1"/>
  <c r="Q27" i="132" s="1"/>
  <c r="Q28" i="132" s="1"/>
  <c r="Q29" i="132" s="1"/>
  <c r="Q30" i="132" s="1"/>
  <c r="Q31" i="132" s="1"/>
  <c r="Q32" i="132" s="1"/>
  <c r="Q33" i="132" s="1"/>
  <c r="Q34" i="132" s="1"/>
  <c r="Q35" i="132" s="1"/>
  <c r="Q36" i="132" s="1"/>
  <c r="Q37" i="132" s="1"/>
  <c r="Q38" i="132" s="1"/>
  <c r="Q39" i="132" s="1"/>
  <c r="AH7" i="132"/>
  <c r="B7" i="132" s="1"/>
  <c r="O4" i="132"/>
  <c r="O22" i="132"/>
  <c r="O23" i="132" s="1"/>
  <c r="O24" i="132" s="1"/>
  <c r="O25" i="132" s="1"/>
  <c r="O26" i="132" s="1"/>
  <c r="O27" i="132" s="1"/>
  <c r="O28" i="132" s="1"/>
  <c r="O29" i="132" s="1"/>
  <c r="O30" i="132" s="1"/>
  <c r="O31" i="132" s="1"/>
  <c r="O32" i="132" s="1"/>
  <c r="O33" i="132" s="1"/>
  <c r="O34" i="132" s="1"/>
  <c r="O35" i="132" s="1"/>
  <c r="O36" i="132" s="1"/>
  <c r="O37" i="132" s="1"/>
  <c r="O38" i="132" s="1"/>
  <c r="O39" i="132" s="1"/>
  <c r="AB50" i="109"/>
  <c r="S4" i="132"/>
  <c r="S26" i="132"/>
  <c r="S27" i="132" s="1"/>
  <c r="S28" i="132" s="1"/>
  <c r="S29" i="132" s="1"/>
  <c r="S30" i="132" s="1"/>
  <c r="S31" i="132" s="1"/>
  <c r="S32" i="132" s="1"/>
  <c r="S33" i="132" s="1"/>
  <c r="S34" i="132" s="1"/>
  <c r="S35" i="132" s="1"/>
  <c r="S36" i="132" s="1"/>
  <c r="S37" i="132" s="1"/>
  <c r="S38" i="132" s="1"/>
  <c r="S39" i="132" s="1"/>
  <c r="H13" i="109"/>
  <c r="H10" i="109" s="1"/>
  <c r="P48" i="135"/>
  <c r="AG50" i="133"/>
  <c r="O22" i="134"/>
  <c r="O22" i="133"/>
  <c r="J28" i="109"/>
  <c r="O24" i="134"/>
  <c r="O24" i="133"/>
  <c r="J37" i="109"/>
  <c r="J34" i="109" s="1"/>
  <c r="O24" i="135" s="1"/>
  <c r="O19" i="134"/>
  <c r="O19" i="133"/>
  <c r="J19" i="109"/>
  <c r="J16" i="109" s="1"/>
  <c r="O19" i="135" s="1"/>
  <c r="O25" i="134"/>
  <c r="O25" i="133"/>
  <c r="J41" i="109"/>
  <c r="J38" i="109" s="1"/>
  <c r="O25" i="135" s="1"/>
  <c r="O20" i="134"/>
  <c r="O20" i="133"/>
  <c r="J23" i="109"/>
  <c r="J20" i="109" s="1"/>
  <c r="O20" i="135" s="1"/>
  <c r="O23" i="134"/>
  <c r="J33" i="109"/>
  <c r="O23" i="133"/>
  <c r="O14" i="133"/>
  <c r="O15" i="133"/>
  <c r="C55" i="135"/>
  <c r="M15" i="134"/>
  <c r="M14" i="134"/>
  <c r="P25" i="134"/>
  <c r="K41" i="109"/>
  <c r="K38" i="109" s="1"/>
  <c r="P25" i="135" s="1"/>
  <c r="P25" i="133"/>
  <c r="P20" i="134"/>
  <c r="P20" i="133"/>
  <c r="K23" i="109"/>
  <c r="K20" i="109" s="1"/>
  <c r="P20" i="135" s="1"/>
  <c r="M19" i="134"/>
  <c r="H19" i="109"/>
  <c r="H16" i="109" s="1"/>
  <c r="M19" i="135" s="1"/>
  <c r="M19" i="133"/>
  <c r="P23" i="134"/>
  <c r="K33" i="109"/>
  <c r="P23" i="133"/>
  <c r="P15" i="134"/>
  <c r="P14" i="134"/>
  <c r="M24" i="134"/>
  <c r="H37" i="109"/>
  <c r="H34" i="109" s="1"/>
  <c r="M24" i="135" s="1"/>
  <c r="M24" i="133"/>
  <c r="M22" i="134"/>
  <c r="H28" i="109"/>
  <c r="M22" i="133"/>
  <c r="P19" i="134"/>
  <c r="K19" i="109"/>
  <c r="K16" i="109" s="1"/>
  <c r="P19" i="135" s="1"/>
  <c r="P19" i="133"/>
  <c r="M25" i="134"/>
  <c r="H41" i="109"/>
  <c r="H38" i="109" s="1"/>
  <c r="M25" i="135" s="1"/>
  <c r="M25" i="133"/>
  <c r="M23" i="134"/>
  <c r="H33" i="109"/>
  <c r="M23" i="133"/>
  <c r="P24" i="134"/>
  <c r="P24" i="133"/>
  <c r="K37" i="109"/>
  <c r="K34" i="109" s="1"/>
  <c r="P24" i="135" s="1"/>
  <c r="P22" i="134"/>
  <c r="K28" i="109"/>
  <c r="P22" i="133"/>
  <c r="M20" i="134"/>
  <c r="H23" i="109"/>
  <c r="H20" i="109" s="1"/>
  <c r="M20" i="135" s="1"/>
  <c r="M20" i="133"/>
  <c r="P15" i="133"/>
  <c r="P14" i="133"/>
  <c r="L24" i="134"/>
  <c r="G37" i="109"/>
  <c r="G34" i="109" s="1"/>
  <c r="L24" i="135" s="1"/>
  <c r="L24" i="133"/>
  <c r="Q23" i="134"/>
  <c r="Q23" i="133"/>
  <c r="L33" i="109"/>
  <c r="L20" i="134"/>
  <c r="G23" i="109"/>
  <c r="G20" i="109" s="1"/>
  <c r="L20" i="135" s="1"/>
  <c r="L20" i="133"/>
  <c r="L9" i="134"/>
  <c r="G13" i="109"/>
  <c r="G10" i="109" s="1"/>
  <c r="L11" i="133"/>
  <c r="L9" i="133" s="1"/>
  <c r="L19" i="134"/>
  <c r="L19" i="133"/>
  <c r="G19" i="109"/>
  <c r="G16" i="109" s="1"/>
  <c r="L19" i="135" s="1"/>
  <c r="Q19" i="134"/>
  <c r="L19" i="109"/>
  <c r="L16" i="109" s="1"/>
  <c r="Q19" i="135" s="1"/>
  <c r="Q19" i="133"/>
  <c r="Q25" i="134"/>
  <c r="L41" i="109"/>
  <c r="L38" i="109" s="1"/>
  <c r="Q25" i="135" s="1"/>
  <c r="Q25" i="133"/>
  <c r="Q24" i="134"/>
  <c r="L37" i="109"/>
  <c r="L34" i="109" s="1"/>
  <c r="Q24" i="135" s="1"/>
  <c r="Q24" i="133"/>
  <c r="L23" i="134"/>
  <c r="G33" i="109"/>
  <c r="L23" i="133"/>
  <c r="Q20" i="134"/>
  <c r="L23" i="109"/>
  <c r="L20" i="109" s="1"/>
  <c r="Q20" i="135" s="1"/>
  <c r="Q20" i="133"/>
  <c r="Q22" i="134"/>
  <c r="L28" i="109"/>
  <c r="Q22" i="133"/>
  <c r="L22" i="134"/>
  <c r="L22" i="133"/>
  <c r="G28" i="109"/>
  <c r="L25" i="134"/>
  <c r="G41" i="109"/>
  <c r="G38" i="109" s="1"/>
  <c r="L25" i="135" s="1"/>
  <c r="L25" i="133"/>
  <c r="Q14" i="133"/>
  <c r="Q15" i="133"/>
  <c r="Q14" i="134"/>
  <c r="Q15" i="134"/>
  <c r="N23" i="134"/>
  <c r="I33" i="109"/>
  <c r="N23" i="133"/>
  <c r="I43" i="131"/>
  <c r="I49" i="131"/>
  <c r="R11" i="134" s="1"/>
  <c r="N22" i="134"/>
  <c r="I28" i="109"/>
  <c r="N22" i="133"/>
  <c r="N25" i="134"/>
  <c r="I41" i="109"/>
  <c r="I38" i="109" s="1"/>
  <c r="N25" i="135" s="1"/>
  <c r="N25" i="133"/>
  <c r="N19" i="134"/>
  <c r="I19" i="109"/>
  <c r="I16" i="109" s="1"/>
  <c r="N19" i="135" s="1"/>
  <c r="N19" i="133"/>
  <c r="N15" i="134"/>
  <c r="N14" i="134"/>
  <c r="N24" i="134"/>
  <c r="I37" i="109"/>
  <c r="I34" i="109" s="1"/>
  <c r="N24" i="135" s="1"/>
  <c r="N24" i="133"/>
  <c r="N20" i="134"/>
  <c r="I23" i="109"/>
  <c r="I20" i="109" s="1"/>
  <c r="N20" i="135" s="1"/>
  <c r="N20" i="133"/>
  <c r="N15" i="133"/>
  <c r="K22" i="134"/>
  <c r="K22" i="133"/>
  <c r="F28" i="109"/>
  <c r="K19" i="134"/>
  <c r="K19" i="133"/>
  <c r="F19" i="109"/>
  <c r="K20" i="134"/>
  <c r="F23" i="109"/>
  <c r="K20" i="133"/>
  <c r="K25" i="134"/>
  <c r="K25" i="133"/>
  <c r="F41" i="109"/>
  <c r="K24" i="134"/>
  <c r="F37" i="109"/>
  <c r="K24" i="133"/>
  <c r="K23" i="134"/>
  <c r="K23" i="133"/>
  <c r="F33" i="109"/>
  <c r="K9" i="134"/>
  <c r="J45" i="134"/>
  <c r="G27" i="134"/>
  <c r="C45" i="133"/>
  <c r="G26" i="133"/>
  <c r="J45" i="133"/>
  <c r="AH88" i="132"/>
  <c r="D89" i="132"/>
  <c r="C351" i="132"/>
  <c r="AH162" i="132"/>
  <c r="D163" i="132"/>
  <c r="H40" i="132"/>
  <c r="AH235" i="132"/>
  <c r="D236" i="132"/>
  <c r="J8" i="132"/>
  <c r="I9" i="132"/>
  <c r="I10" i="132"/>
  <c r="D126" i="132"/>
  <c r="AH125" i="132"/>
  <c r="AH200" i="132"/>
  <c r="D201" i="132"/>
  <c r="AH273" i="132"/>
  <c r="D274" i="132"/>
  <c r="AH274" i="132" s="1"/>
  <c r="D16" i="132"/>
  <c r="AH15" i="132"/>
  <c r="D53" i="132"/>
  <c r="AH52" i="132"/>
  <c r="C14" i="132"/>
  <c r="I44" i="131"/>
  <c r="I42" i="131"/>
  <c r="I46" i="131"/>
  <c r="I47" i="131"/>
  <c r="I48" i="131"/>
  <c r="I45" i="131"/>
  <c r="Q15" i="135" l="1"/>
  <c r="Q14" i="135"/>
  <c r="P13" i="133"/>
  <c r="P17" i="133" s="1"/>
  <c r="P26" i="133" s="1"/>
  <c r="I40" i="132"/>
  <c r="P14" i="135"/>
  <c r="P15" i="135"/>
  <c r="M11" i="110"/>
  <c r="M9" i="110" s="1"/>
  <c r="M11" i="135"/>
  <c r="M9" i="135" s="1"/>
  <c r="O11" i="110"/>
  <c r="O9" i="110" s="1"/>
  <c r="O11" i="135"/>
  <c r="O9" i="135" s="1"/>
  <c r="K11" i="135"/>
  <c r="K9" i="135" s="1"/>
  <c r="K11" i="110"/>
  <c r="K9" i="110" s="1"/>
  <c r="L11" i="110"/>
  <c r="L9" i="110" s="1"/>
  <c r="L11" i="135"/>
  <c r="L9" i="135" s="1"/>
  <c r="N11" i="135"/>
  <c r="N9" i="135" s="1"/>
  <c r="N11" i="110"/>
  <c r="N9" i="110" s="1"/>
  <c r="Q13" i="133"/>
  <c r="Q17" i="133" s="1"/>
  <c r="Q26" i="133" s="1"/>
  <c r="M21" i="134"/>
  <c r="M15" i="133"/>
  <c r="M13" i="133" s="1"/>
  <c r="M17" i="133" s="1"/>
  <c r="M26" i="133" s="1"/>
  <c r="M13" i="134"/>
  <c r="M17" i="134" s="1"/>
  <c r="M26" i="134" s="1"/>
  <c r="P18" i="135"/>
  <c r="O15" i="134"/>
  <c r="O13" i="134" s="1"/>
  <c r="O17" i="134" s="1"/>
  <c r="O18" i="135"/>
  <c r="O18" i="133"/>
  <c r="M21" i="133"/>
  <c r="M18" i="135"/>
  <c r="N18" i="135"/>
  <c r="O21" i="134"/>
  <c r="O21" i="133"/>
  <c r="O18" i="134"/>
  <c r="O13" i="133"/>
  <c r="O17" i="133" s="1"/>
  <c r="O26" i="133" s="1"/>
  <c r="Q18" i="135"/>
  <c r="P18" i="133"/>
  <c r="N13" i="133"/>
  <c r="N17" i="133" s="1"/>
  <c r="N26" i="133" s="1"/>
  <c r="P13" i="134"/>
  <c r="P17" i="134" s="1"/>
  <c r="P26" i="134" s="1"/>
  <c r="P18" i="134"/>
  <c r="L18" i="135"/>
  <c r="L21" i="133"/>
  <c r="Q13" i="134"/>
  <c r="Q17" i="134" s="1"/>
  <c r="Q26" i="134" s="1"/>
  <c r="M18" i="134"/>
  <c r="P21" i="133"/>
  <c r="P21" i="134"/>
  <c r="M18" i="133"/>
  <c r="Q21" i="133"/>
  <c r="Q21" i="134"/>
  <c r="Q18" i="133"/>
  <c r="Q18" i="134"/>
  <c r="L15" i="133"/>
  <c r="L14" i="133"/>
  <c r="L15" i="134"/>
  <c r="L14" i="134"/>
  <c r="L18" i="134"/>
  <c r="L18" i="133"/>
  <c r="L21" i="134"/>
  <c r="N21" i="133"/>
  <c r="N21" i="134"/>
  <c r="R25" i="134"/>
  <c r="R25" i="133"/>
  <c r="M41" i="109"/>
  <c r="M38" i="109" s="1"/>
  <c r="R25" i="135" s="1"/>
  <c r="R9" i="134"/>
  <c r="M13" i="109"/>
  <c r="M10" i="109" s="1"/>
  <c r="R11" i="133"/>
  <c r="R9" i="133" s="1"/>
  <c r="R24" i="134"/>
  <c r="M37" i="109"/>
  <c r="M34" i="109" s="1"/>
  <c r="R24" i="135" s="1"/>
  <c r="R24" i="133"/>
  <c r="N13" i="134"/>
  <c r="N17" i="134" s="1"/>
  <c r="N26" i="134" s="1"/>
  <c r="R20" i="134"/>
  <c r="M23" i="109"/>
  <c r="M20" i="109" s="1"/>
  <c r="R20" i="135" s="1"/>
  <c r="R20" i="133"/>
  <c r="N18" i="134"/>
  <c r="R23" i="134"/>
  <c r="M33" i="109"/>
  <c r="R23" i="133"/>
  <c r="R19" i="134"/>
  <c r="M19" i="109"/>
  <c r="M16" i="109" s="1"/>
  <c r="R19" i="135" s="1"/>
  <c r="R19" i="133"/>
  <c r="R22" i="134"/>
  <c r="M28" i="109"/>
  <c r="R22" i="133"/>
  <c r="N18" i="133"/>
  <c r="F34" i="109"/>
  <c r="K24" i="135" s="1"/>
  <c r="K18" i="134"/>
  <c r="K15" i="134"/>
  <c r="K14" i="134"/>
  <c r="K18" i="133"/>
  <c r="F16" i="109"/>
  <c r="K19" i="135" s="1"/>
  <c r="F38" i="109"/>
  <c r="K25" i="135" s="1"/>
  <c r="K21" i="133"/>
  <c r="K15" i="133"/>
  <c r="K14" i="133"/>
  <c r="F20" i="109"/>
  <c r="K20" i="135" s="1"/>
  <c r="K21" i="134"/>
  <c r="G45" i="134"/>
  <c r="G27" i="133"/>
  <c r="C55" i="133"/>
  <c r="AH53" i="132"/>
  <c r="D54" i="132"/>
  <c r="J9" i="132"/>
  <c r="K8" i="132"/>
  <c r="J10" i="132"/>
  <c r="D237" i="132"/>
  <c r="AH236" i="132"/>
  <c r="AH16" i="132"/>
  <c r="D17" i="132"/>
  <c r="AH201" i="132"/>
  <c r="D202" i="132"/>
  <c r="D164" i="132"/>
  <c r="AH163" i="132"/>
  <c r="D127" i="132"/>
  <c r="AH126" i="132"/>
  <c r="C352" i="132"/>
  <c r="D90" i="132"/>
  <c r="AH89" i="132"/>
  <c r="C15" i="132"/>
  <c r="Q13" i="135" l="1"/>
  <c r="Q17" i="135" s="1"/>
  <c r="Q26" i="135" s="1"/>
  <c r="R11" i="110"/>
  <c r="R9" i="110" s="1"/>
  <c r="R11" i="135"/>
  <c r="R9" i="135" s="1"/>
  <c r="R15" i="135" s="1"/>
  <c r="O27" i="133"/>
  <c r="O45" i="133" s="1"/>
  <c r="P13" i="135"/>
  <c r="P17" i="135" s="1"/>
  <c r="P26" i="135" s="1"/>
  <c r="L14" i="135"/>
  <c r="L15" i="135"/>
  <c r="N15" i="135"/>
  <c r="N14" i="135"/>
  <c r="O14" i="135"/>
  <c r="O15" i="135"/>
  <c r="M15" i="135"/>
  <c r="M14" i="135"/>
  <c r="M27" i="134"/>
  <c r="M45" i="134" s="1"/>
  <c r="P27" i="133"/>
  <c r="P45" i="133" s="1"/>
  <c r="L13" i="133"/>
  <c r="L17" i="133" s="1"/>
  <c r="L26" i="133" s="1"/>
  <c r="T9" i="134"/>
  <c r="O13" i="109"/>
  <c r="O10" i="109" s="1"/>
  <c r="T11" i="133"/>
  <c r="T9" i="133" s="1"/>
  <c r="O26" i="134"/>
  <c r="O27" i="134" s="1"/>
  <c r="O45" i="134" s="1"/>
  <c r="M27" i="133"/>
  <c r="M45" i="133" s="1"/>
  <c r="P27" i="134"/>
  <c r="P45" i="134" s="1"/>
  <c r="Q27" i="133"/>
  <c r="Q45" i="133" s="1"/>
  <c r="R21" i="134"/>
  <c r="R18" i="135"/>
  <c r="R18" i="133"/>
  <c r="K18" i="135"/>
  <c r="K15" i="135"/>
  <c r="K14" i="135"/>
  <c r="Q27" i="134"/>
  <c r="Q45" i="134" s="1"/>
  <c r="L13" i="134"/>
  <c r="L17" i="134" s="1"/>
  <c r="L26" i="134" s="1"/>
  <c r="N27" i="133"/>
  <c r="N45" i="133" s="1"/>
  <c r="R14" i="133"/>
  <c r="R15" i="133"/>
  <c r="N27" i="134"/>
  <c r="R18" i="134"/>
  <c r="R15" i="134"/>
  <c r="R14" i="134"/>
  <c r="R21" i="133"/>
  <c r="S23" i="134"/>
  <c r="S23" i="133"/>
  <c r="N33" i="109"/>
  <c r="K13" i="134"/>
  <c r="S24" i="134"/>
  <c r="S24" i="133"/>
  <c r="N37" i="109"/>
  <c r="K13" i="133"/>
  <c r="S20" i="134"/>
  <c r="S20" i="133"/>
  <c r="N23" i="109"/>
  <c r="S25" i="134"/>
  <c r="S25" i="133"/>
  <c r="N41" i="109"/>
  <c r="S11" i="133"/>
  <c r="N13" i="109"/>
  <c r="S19" i="134"/>
  <c r="S19" i="133"/>
  <c r="N19" i="109"/>
  <c r="S22" i="134"/>
  <c r="S22" i="133"/>
  <c r="N28" i="109"/>
  <c r="G45" i="133"/>
  <c r="D203" i="132"/>
  <c r="AH202" i="132"/>
  <c r="C16" i="132"/>
  <c r="AH17" i="132"/>
  <c r="D18" i="132"/>
  <c r="D91" i="132"/>
  <c r="AH90" i="132"/>
  <c r="D238" i="132"/>
  <c r="AH238" i="132" s="1"/>
  <c r="AH237" i="132"/>
  <c r="C353" i="132"/>
  <c r="K9" i="132"/>
  <c r="K10" i="132"/>
  <c r="D128" i="132"/>
  <c r="AH127" i="132"/>
  <c r="J40" i="132"/>
  <c r="D55" i="132"/>
  <c r="AH54" i="132"/>
  <c r="AH164" i="132"/>
  <c r="D165" i="132"/>
  <c r="N13" i="135" l="1"/>
  <c r="N17" i="135" s="1"/>
  <c r="N26" i="135" s="1"/>
  <c r="R13" i="133"/>
  <c r="R17" i="133" s="1"/>
  <c r="R26" i="133" s="1"/>
  <c r="O13" i="135"/>
  <c r="O17" i="135" s="1"/>
  <c r="O26" i="135" s="1"/>
  <c r="M13" i="135"/>
  <c r="M17" i="135" s="1"/>
  <c r="M26" i="135" s="1"/>
  <c r="R14" i="135"/>
  <c r="R13" i="135" s="1"/>
  <c r="R17" i="135" s="1"/>
  <c r="R26" i="135" s="1"/>
  <c r="L13" i="135"/>
  <c r="L17" i="135" s="1"/>
  <c r="L26" i="135" s="1"/>
  <c r="T11" i="135"/>
  <c r="T9" i="135" s="1"/>
  <c r="T11" i="110"/>
  <c r="T9" i="110" s="1"/>
  <c r="L27" i="133"/>
  <c r="L45" i="133" s="1"/>
  <c r="T23" i="134"/>
  <c r="T23" i="133"/>
  <c r="O33" i="109"/>
  <c r="T24" i="134"/>
  <c r="T24" i="133"/>
  <c r="O37" i="109"/>
  <c r="O34" i="109" s="1"/>
  <c r="T24" i="135" s="1"/>
  <c r="T25" i="134"/>
  <c r="O41" i="109"/>
  <c r="O38" i="109" s="1"/>
  <c r="T25" i="135" s="1"/>
  <c r="T25" i="133"/>
  <c r="U11" i="133"/>
  <c r="U9" i="133" s="1"/>
  <c r="U9" i="134"/>
  <c r="P13" i="109"/>
  <c r="P10" i="109" s="1"/>
  <c r="T14" i="133"/>
  <c r="T15" i="133"/>
  <c r="T19" i="134"/>
  <c r="O19" i="109"/>
  <c r="O16" i="109" s="1"/>
  <c r="T19" i="135" s="1"/>
  <c r="T18" i="135" s="1"/>
  <c r="T19" i="133"/>
  <c r="T15" i="134"/>
  <c r="T14" i="134"/>
  <c r="T22" i="134"/>
  <c r="T22" i="133"/>
  <c r="O28" i="109"/>
  <c r="T20" i="134"/>
  <c r="T20" i="133"/>
  <c r="O23" i="109"/>
  <c r="O20" i="109" s="1"/>
  <c r="T20" i="135" s="1"/>
  <c r="R27" i="133"/>
  <c r="R45" i="133" s="1"/>
  <c r="K13" i="135"/>
  <c r="L27" i="134"/>
  <c r="L45" i="134" s="1"/>
  <c r="R13" i="134"/>
  <c r="R17" i="134" s="1"/>
  <c r="R26" i="134" s="1"/>
  <c r="R27" i="134" s="1"/>
  <c r="N45" i="134"/>
  <c r="S9" i="134"/>
  <c r="S21" i="134"/>
  <c r="S21" i="133"/>
  <c r="N34" i="109"/>
  <c r="S24" i="135" s="1"/>
  <c r="S9" i="133"/>
  <c r="K17" i="133"/>
  <c r="N38" i="109"/>
  <c r="S25" i="135" s="1"/>
  <c r="N16" i="109"/>
  <c r="S19" i="135" s="1"/>
  <c r="S18" i="133"/>
  <c r="S18" i="134"/>
  <c r="N20" i="109"/>
  <c r="S20" i="135" s="1"/>
  <c r="K17" i="134"/>
  <c r="N10" i="109"/>
  <c r="K40" i="132"/>
  <c r="AH165" i="132"/>
  <c r="D166" i="132"/>
  <c r="M8" i="132"/>
  <c r="D92" i="132"/>
  <c r="AH91" i="132"/>
  <c r="D19" i="132"/>
  <c r="AH18" i="132"/>
  <c r="D56" i="132"/>
  <c r="AH55" i="132"/>
  <c r="C354" i="132"/>
  <c r="D129" i="132"/>
  <c r="AH128" i="132"/>
  <c r="C17" i="132"/>
  <c r="AH203" i="132"/>
  <c r="D204" i="132"/>
  <c r="T18" i="133" l="1"/>
  <c r="T14" i="135"/>
  <c r="T15" i="135"/>
  <c r="U11" i="135"/>
  <c r="U9" i="135" s="1"/>
  <c r="U11" i="110"/>
  <c r="U9" i="110" s="1"/>
  <c r="S11" i="135"/>
  <c r="S9" i="135" s="1"/>
  <c r="S11" i="110"/>
  <c r="S9" i="110" s="1"/>
  <c r="T21" i="133"/>
  <c r="T21" i="134"/>
  <c r="T13" i="134"/>
  <c r="T17" i="134" s="1"/>
  <c r="T26" i="134" s="1"/>
  <c r="T18" i="134"/>
  <c r="T13" i="133"/>
  <c r="T17" i="133" s="1"/>
  <c r="T26" i="133" s="1"/>
  <c r="U25" i="134"/>
  <c r="U25" i="133"/>
  <c r="P41" i="109"/>
  <c r="P38" i="109" s="1"/>
  <c r="U25" i="135" s="1"/>
  <c r="U24" i="134"/>
  <c r="U24" i="133"/>
  <c r="P37" i="109"/>
  <c r="V9" i="134"/>
  <c r="Q13" i="109"/>
  <c r="Q10" i="109" s="1"/>
  <c r="V11" i="133"/>
  <c r="U20" i="134"/>
  <c r="U20" i="133"/>
  <c r="P23" i="109"/>
  <c r="P20" i="109" s="1"/>
  <c r="U20" i="135" s="1"/>
  <c r="U19" i="134"/>
  <c r="P19" i="109"/>
  <c r="U19" i="133"/>
  <c r="U14" i="134"/>
  <c r="U15" i="134"/>
  <c r="U22" i="134"/>
  <c r="U22" i="133"/>
  <c r="P28" i="109"/>
  <c r="U14" i="133"/>
  <c r="U15" i="133"/>
  <c r="U23" i="134"/>
  <c r="U23" i="133"/>
  <c r="P33" i="109"/>
  <c r="S18" i="135"/>
  <c r="K17" i="135"/>
  <c r="R45" i="134"/>
  <c r="S14" i="134"/>
  <c r="S15" i="134"/>
  <c r="S14" i="133"/>
  <c r="S15" i="133"/>
  <c r="K26" i="134"/>
  <c r="K27" i="134" s="1"/>
  <c r="K26" i="133"/>
  <c r="D20" i="132"/>
  <c r="AH19" i="132"/>
  <c r="C18" i="132"/>
  <c r="D93" i="132"/>
  <c r="AH92" i="132"/>
  <c r="M9" i="132"/>
  <c r="N8" i="132"/>
  <c r="M10" i="132"/>
  <c r="AH129" i="132"/>
  <c r="D130" i="132"/>
  <c r="D167" i="132"/>
  <c r="AH166" i="132"/>
  <c r="C355" i="132"/>
  <c r="D205" i="132"/>
  <c r="AH205" i="132" s="1"/>
  <c r="AH204" i="132"/>
  <c r="D57" i="132"/>
  <c r="AH56" i="132"/>
  <c r="T13" i="135" l="1"/>
  <c r="T17" i="135" s="1"/>
  <c r="T26" i="135" s="1"/>
  <c r="U14" i="135"/>
  <c r="U15" i="135"/>
  <c r="V11" i="135"/>
  <c r="V9" i="135" s="1"/>
  <c r="V11" i="110"/>
  <c r="V9" i="110" s="1"/>
  <c r="T27" i="133"/>
  <c r="T45" i="133" s="1"/>
  <c r="T27" i="134"/>
  <c r="T45" i="134" s="1"/>
  <c r="U13" i="134"/>
  <c r="U17" i="134" s="1"/>
  <c r="U26" i="134" s="1"/>
  <c r="V23" i="134"/>
  <c r="V23" i="133"/>
  <c r="Q33" i="109"/>
  <c r="P34" i="109"/>
  <c r="U24" i="135" s="1"/>
  <c r="V25" i="134"/>
  <c r="V25" i="133"/>
  <c r="Q41" i="109"/>
  <c r="Q38" i="109" s="1"/>
  <c r="V25" i="135" s="1"/>
  <c r="U18" i="133"/>
  <c r="V9" i="133"/>
  <c r="P16" i="109"/>
  <c r="U19" i="135" s="1"/>
  <c r="U18" i="135" s="1"/>
  <c r="U18" i="134"/>
  <c r="V14" i="134"/>
  <c r="V15" i="134"/>
  <c r="U21" i="133"/>
  <c r="V22" i="134"/>
  <c r="V22" i="133"/>
  <c r="Q28" i="109"/>
  <c r="U21" i="134"/>
  <c r="V20" i="134"/>
  <c r="V20" i="133"/>
  <c r="Q23" i="109"/>
  <c r="V19" i="134"/>
  <c r="Q19" i="109"/>
  <c r="Q16" i="109" s="1"/>
  <c r="V19" i="135" s="1"/>
  <c r="V19" i="133"/>
  <c r="V24" i="134"/>
  <c r="V24" i="133"/>
  <c r="Q37" i="109"/>
  <c r="Q34" i="109" s="1"/>
  <c r="V24" i="135" s="1"/>
  <c r="U13" i="133"/>
  <c r="U17" i="133" s="1"/>
  <c r="U26" i="133" s="1"/>
  <c r="K26" i="135"/>
  <c r="S14" i="135"/>
  <c r="S15" i="135"/>
  <c r="S13" i="134"/>
  <c r="S13" i="133"/>
  <c r="K27" i="133"/>
  <c r="K45" i="134"/>
  <c r="D168" i="132"/>
  <c r="AH167" i="132"/>
  <c r="AH130" i="132"/>
  <c r="D131" i="132"/>
  <c r="O8" i="132"/>
  <c r="N9" i="132"/>
  <c r="N10" i="132"/>
  <c r="AH57" i="132"/>
  <c r="D58" i="132"/>
  <c r="M40" i="132"/>
  <c r="C19" i="132"/>
  <c r="D94" i="132"/>
  <c r="AH93" i="132"/>
  <c r="C356" i="132"/>
  <c r="D21" i="132"/>
  <c r="AH20" i="132"/>
  <c r="U13" i="135" l="1"/>
  <c r="U17" i="135" s="1"/>
  <c r="U26" i="135" s="1"/>
  <c r="V14" i="135"/>
  <c r="V15" i="135"/>
  <c r="V21" i="133"/>
  <c r="V18" i="133"/>
  <c r="V18" i="134"/>
  <c r="W23" i="134"/>
  <c r="W23" i="133"/>
  <c r="R33" i="109"/>
  <c r="X9" i="134"/>
  <c r="X11" i="133"/>
  <c r="X9" i="133" s="1"/>
  <c r="S13" i="109"/>
  <c r="S10" i="109" s="1"/>
  <c r="V21" i="134"/>
  <c r="R13" i="109"/>
  <c r="W11" i="133"/>
  <c r="U27" i="134"/>
  <c r="U45" i="134" s="1"/>
  <c r="V14" i="133"/>
  <c r="V15" i="133"/>
  <c r="W22" i="134"/>
  <c r="W22" i="133"/>
  <c r="R28" i="109"/>
  <c r="V13" i="134"/>
  <c r="V17" i="134" s="1"/>
  <c r="V26" i="134" s="1"/>
  <c r="W20" i="134"/>
  <c r="R23" i="109"/>
  <c r="R20" i="109" s="1"/>
  <c r="W20" i="135" s="1"/>
  <c r="W20" i="133"/>
  <c r="W19" i="134"/>
  <c r="W19" i="133"/>
  <c r="R19" i="109"/>
  <c r="U27" i="133"/>
  <c r="U45" i="133" s="1"/>
  <c r="Q20" i="109"/>
  <c r="V20" i="135" s="1"/>
  <c r="W25" i="134"/>
  <c r="W25" i="133"/>
  <c r="R41" i="109"/>
  <c r="W24" i="134"/>
  <c r="W24" i="133"/>
  <c r="R37" i="109"/>
  <c r="S13" i="135"/>
  <c r="S17" i="134"/>
  <c r="K45" i="133"/>
  <c r="S17" i="133"/>
  <c r="C357" i="132"/>
  <c r="C20" i="132"/>
  <c r="AH58" i="132"/>
  <c r="D59" i="132"/>
  <c r="D95" i="132"/>
  <c r="AH94" i="132"/>
  <c r="N40" i="132"/>
  <c r="P8" i="132"/>
  <c r="O9" i="132"/>
  <c r="O10" i="132"/>
  <c r="AH131" i="132"/>
  <c r="D132" i="132"/>
  <c r="D22" i="132"/>
  <c r="AH21" i="132"/>
  <c r="AH168" i="132"/>
  <c r="D169" i="132"/>
  <c r="H63" i="131"/>
  <c r="V13" i="135" l="1"/>
  <c r="V17" i="135" s="1"/>
  <c r="V26" i="135" s="1"/>
  <c r="X11" i="110"/>
  <c r="X9" i="110" s="1"/>
  <c r="X11" i="135"/>
  <c r="X9" i="135" s="1"/>
  <c r="W18" i="133"/>
  <c r="W18" i="134"/>
  <c r="R34" i="109"/>
  <c r="W24" i="135" s="1"/>
  <c r="R16" i="109"/>
  <c r="W19" i="135" s="1"/>
  <c r="W21" i="133"/>
  <c r="X19" i="134"/>
  <c r="X19" i="133"/>
  <c r="X18" i="133" s="1"/>
  <c r="S19" i="109"/>
  <c r="S16" i="109" s="1"/>
  <c r="X19" i="135" s="1"/>
  <c r="W21" i="134"/>
  <c r="X22" i="134"/>
  <c r="S28" i="109"/>
  <c r="X22" i="133"/>
  <c r="X20" i="134"/>
  <c r="S23" i="109"/>
  <c r="S20" i="109" s="1"/>
  <c r="X20" i="135" s="1"/>
  <c r="X20" i="133"/>
  <c r="R38" i="109"/>
  <c r="W25" i="135" s="1"/>
  <c r="V13" i="133"/>
  <c r="X25" i="134"/>
  <c r="X25" i="133"/>
  <c r="S41" i="109"/>
  <c r="S38" i="109" s="1"/>
  <c r="X25" i="135" s="1"/>
  <c r="X24" i="134"/>
  <c r="X24" i="133"/>
  <c r="S37" i="109"/>
  <c r="S34" i="109" s="1"/>
  <c r="X24" i="135" s="1"/>
  <c r="X23" i="134"/>
  <c r="X23" i="133"/>
  <c r="S33" i="109"/>
  <c r="Y11" i="133"/>
  <c r="Y9" i="133" s="1"/>
  <c r="Y9" i="134"/>
  <c r="T13" i="109"/>
  <c r="T10" i="109" s="1"/>
  <c r="W9" i="133"/>
  <c r="X14" i="133"/>
  <c r="X15" i="133"/>
  <c r="V18" i="135"/>
  <c r="V27" i="134"/>
  <c r="V45" i="134" s="1"/>
  <c r="R10" i="109"/>
  <c r="X15" i="134"/>
  <c r="X14" i="134"/>
  <c r="W9" i="134"/>
  <c r="S17" i="135"/>
  <c r="S26" i="134"/>
  <c r="S26" i="133"/>
  <c r="O40" i="132"/>
  <c r="D170" i="132"/>
  <c r="AH170" i="132" s="1"/>
  <c r="AH169" i="132"/>
  <c r="P10" i="132"/>
  <c r="Q8" i="132"/>
  <c r="P9" i="132"/>
  <c r="AH59" i="132"/>
  <c r="D60" i="132"/>
  <c r="AH95" i="132"/>
  <c r="D96" i="132"/>
  <c r="AH22" i="132"/>
  <c r="D23" i="132"/>
  <c r="D133" i="132"/>
  <c r="AH132" i="132"/>
  <c r="C21" i="132"/>
  <c r="C358" i="132"/>
  <c r="H60" i="131"/>
  <c r="H61" i="131"/>
  <c r="H59" i="131"/>
  <c r="H62" i="131"/>
  <c r="H57" i="131"/>
  <c r="H56" i="131"/>
  <c r="H58" i="131"/>
  <c r="Y11" i="110" l="1"/>
  <c r="Y9" i="110" s="1"/>
  <c r="Y11" i="135"/>
  <c r="Y9" i="135" s="1"/>
  <c r="X13" i="134"/>
  <c r="X17" i="134" s="1"/>
  <c r="X26" i="134" s="1"/>
  <c r="X14" i="135"/>
  <c r="X15" i="135"/>
  <c r="W11" i="135"/>
  <c r="W9" i="135" s="1"/>
  <c r="W11" i="110"/>
  <c r="W9" i="110" s="1"/>
  <c r="X18" i="134"/>
  <c r="P40" i="132"/>
  <c r="X18" i="135"/>
  <c r="V17" i="133"/>
  <c r="Y23" i="134"/>
  <c r="Y23" i="133"/>
  <c r="T33" i="109"/>
  <c r="Y25" i="134"/>
  <c r="Y25" i="133"/>
  <c r="T41" i="109"/>
  <c r="Y24" i="134"/>
  <c r="Y24" i="133"/>
  <c r="T37" i="109"/>
  <c r="X13" i="133"/>
  <c r="X17" i="133" s="1"/>
  <c r="W18" i="135"/>
  <c r="I63" i="131"/>
  <c r="W15" i="134"/>
  <c r="W14" i="134"/>
  <c r="W15" i="133"/>
  <c r="W14" i="133"/>
  <c r="X21" i="133"/>
  <c r="Y22" i="134"/>
  <c r="T28" i="109"/>
  <c r="Y22" i="133"/>
  <c r="X21" i="134"/>
  <c r="Y19" i="134"/>
  <c r="Y19" i="133"/>
  <c r="T19" i="109"/>
  <c r="Y14" i="134"/>
  <c r="Y15" i="134"/>
  <c r="Y20" i="134"/>
  <c r="Y20" i="133"/>
  <c r="T23" i="109"/>
  <c r="T20" i="109" s="1"/>
  <c r="Y20" i="135" s="1"/>
  <c r="Y15" i="133"/>
  <c r="Y14" i="133"/>
  <c r="S26" i="135"/>
  <c r="S27" i="134"/>
  <c r="S27" i="133"/>
  <c r="C359" i="132"/>
  <c r="AH60" i="132"/>
  <c r="D61" i="132"/>
  <c r="R8" i="132"/>
  <c r="Q9" i="132"/>
  <c r="Q10" i="132"/>
  <c r="C22" i="132"/>
  <c r="D97" i="132"/>
  <c r="AH96" i="132"/>
  <c r="D134" i="132"/>
  <c r="AH133" i="132"/>
  <c r="D24" i="132"/>
  <c r="AH23" i="132"/>
  <c r="B77" i="131"/>
  <c r="I60" i="131"/>
  <c r="I61" i="131"/>
  <c r="I59" i="131"/>
  <c r="I62" i="131"/>
  <c r="I57" i="131"/>
  <c r="I58" i="131"/>
  <c r="I56" i="131"/>
  <c r="Y13" i="133" l="1"/>
  <c r="Y17" i="133" s="1"/>
  <c r="Y14" i="135"/>
  <c r="Y15" i="135"/>
  <c r="X27" i="134"/>
  <c r="X45" i="134" s="1"/>
  <c r="Y13" i="134"/>
  <c r="Y17" i="134" s="1"/>
  <c r="Y26" i="134" s="1"/>
  <c r="X13" i="135"/>
  <c r="X17" i="135" s="1"/>
  <c r="X26" i="135" s="1"/>
  <c r="AA11" i="133"/>
  <c r="AA9" i="133" s="1"/>
  <c r="AA9" i="134"/>
  <c r="V13" i="109"/>
  <c r="V10" i="109" s="1"/>
  <c r="Y13" i="135"/>
  <c r="Y17" i="135" s="1"/>
  <c r="Y26" i="135" s="1"/>
  <c r="X26" i="133"/>
  <c r="X27" i="133" s="1"/>
  <c r="X45" i="133" s="1"/>
  <c r="Y21" i="133"/>
  <c r="T34" i="109"/>
  <c r="Y24" i="135" s="1"/>
  <c r="Z19" i="134"/>
  <c r="Z19" i="133"/>
  <c r="U19" i="109"/>
  <c r="U16" i="109" s="1"/>
  <c r="Z19" i="135" s="1"/>
  <c r="Y21" i="134"/>
  <c r="W13" i="133"/>
  <c r="Z22" i="134"/>
  <c r="U28" i="109"/>
  <c r="Z22" i="133"/>
  <c r="Z20" i="134"/>
  <c r="Z20" i="133"/>
  <c r="U23" i="109"/>
  <c r="U20" i="109" s="1"/>
  <c r="Z20" i="135" s="1"/>
  <c r="Y26" i="133"/>
  <c r="T16" i="109"/>
  <c r="Y19" i="135" s="1"/>
  <c r="W13" i="134"/>
  <c r="V26" i="133"/>
  <c r="Z23" i="134"/>
  <c r="Z23" i="133"/>
  <c r="U33" i="109"/>
  <c r="Y18" i="133"/>
  <c r="Z25" i="134"/>
  <c r="Z25" i="133"/>
  <c r="U41" i="109"/>
  <c r="U38" i="109" s="1"/>
  <c r="Z25" i="135" s="1"/>
  <c r="Y18" i="134"/>
  <c r="T38" i="109"/>
  <c r="Y25" i="135" s="1"/>
  <c r="Z24" i="134"/>
  <c r="Z24" i="133"/>
  <c r="U37" i="109"/>
  <c r="U34" i="109" s="1"/>
  <c r="Z24" i="135" s="1"/>
  <c r="W15" i="135"/>
  <c r="W14" i="135"/>
  <c r="Z11" i="133"/>
  <c r="U13" i="109"/>
  <c r="S45" i="134"/>
  <c r="S45" i="133"/>
  <c r="D135" i="132"/>
  <c r="AH134" i="132"/>
  <c r="D98" i="132"/>
  <c r="AH97" i="132"/>
  <c r="C23" i="132"/>
  <c r="R9" i="132"/>
  <c r="S8" i="132"/>
  <c r="R10" i="132"/>
  <c r="D62" i="132"/>
  <c r="AH61" i="132"/>
  <c r="Q40" i="132"/>
  <c r="D25" i="132"/>
  <c r="AH24" i="132"/>
  <c r="C360" i="132"/>
  <c r="B74" i="131"/>
  <c r="B73" i="131"/>
  <c r="B75" i="131"/>
  <c r="B76" i="131"/>
  <c r="B72" i="131"/>
  <c r="B70" i="131"/>
  <c r="B71" i="131"/>
  <c r="C77" i="131"/>
  <c r="AA11" i="135" l="1"/>
  <c r="AA9" i="135" s="1"/>
  <c r="AA11" i="110"/>
  <c r="AA9" i="110" s="1"/>
  <c r="Y27" i="134"/>
  <c r="Y45" i="134" s="1"/>
  <c r="Y27" i="133"/>
  <c r="Y45" i="133" s="1"/>
  <c r="Z18" i="135"/>
  <c r="Y18" i="135"/>
  <c r="Z21" i="134"/>
  <c r="AB9" i="134"/>
  <c r="W13" i="109"/>
  <c r="W10" i="109" s="1"/>
  <c r="AB11" i="133"/>
  <c r="AB9" i="133" s="1"/>
  <c r="W13" i="135"/>
  <c r="W17" i="133"/>
  <c r="AA20" i="134"/>
  <c r="AA20" i="133"/>
  <c r="V23" i="109"/>
  <c r="V20" i="109" s="1"/>
  <c r="AA20" i="135" s="1"/>
  <c r="AA19" i="134"/>
  <c r="AA19" i="133"/>
  <c r="V19" i="109"/>
  <c r="V16" i="109" s="1"/>
  <c r="AA19" i="135" s="1"/>
  <c r="AA22" i="134"/>
  <c r="AA22" i="133"/>
  <c r="V28" i="109"/>
  <c r="Z18" i="133"/>
  <c r="V27" i="133"/>
  <c r="Z18" i="134"/>
  <c r="AA25" i="134"/>
  <c r="V41" i="109"/>
  <c r="AA25" i="133"/>
  <c r="U10" i="109"/>
  <c r="AA14" i="134"/>
  <c r="AA15" i="134"/>
  <c r="AA23" i="134"/>
  <c r="AA23" i="133"/>
  <c r="V33" i="109"/>
  <c r="Z9" i="133"/>
  <c r="W17" i="134"/>
  <c r="AA15" i="133"/>
  <c r="AA14" i="133"/>
  <c r="AA24" i="134"/>
  <c r="AA24" i="133"/>
  <c r="V37" i="109"/>
  <c r="V34" i="109" s="1"/>
  <c r="AA24" i="135" s="1"/>
  <c r="Z9" i="134"/>
  <c r="Z21" i="133"/>
  <c r="D63" i="132"/>
  <c r="AH62" i="132"/>
  <c r="T8" i="132"/>
  <c r="S10" i="132"/>
  <c r="S9" i="132"/>
  <c r="C24" i="132"/>
  <c r="C361" i="132"/>
  <c r="R40" i="132"/>
  <c r="AH98" i="132"/>
  <c r="D99" i="132"/>
  <c r="D26" i="132"/>
  <c r="AH25" i="132"/>
  <c r="D136" i="132"/>
  <c r="AH136" i="132" s="1"/>
  <c r="AH135" i="132"/>
  <c r="C76" i="131"/>
  <c r="C74" i="131"/>
  <c r="C73" i="131"/>
  <c r="C75" i="131"/>
  <c r="C72" i="131"/>
  <c r="C71" i="131"/>
  <c r="C70" i="131"/>
  <c r="D77" i="131"/>
  <c r="AA14" i="135" l="1"/>
  <c r="AA15" i="135"/>
  <c r="AB11" i="135"/>
  <c r="AB9" i="135" s="1"/>
  <c r="AB11" i="110"/>
  <c r="AB9" i="110" s="1"/>
  <c r="Z11" i="110"/>
  <c r="Z9" i="110" s="1"/>
  <c r="Z11" i="135"/>
  <c r="Z9" i="135" s="1"/>
  <c r="AA18" i="135"/>
  <c r="AA18" i="133"/>
  <c r="AA13" i="133"/>
  <c r="AA17" i="133" s="1"/>
  <c r="AA26" i="133" s="1"/>
  <c r="AA13" i="135"/>
  <c r="AA17" i="135" s="1"/>
  <c r="AA26" i="135" s="1"/>
  <c r="AA18" i="134"/>
  <c r="AB24" i="134"/>
  <c r="AB24" i="133"/>
  <c r="W37" i="109"/>
  <c r="W34" i="109" s="1"/>
  <c r="AB24" i="135" s="1"/>
  <c r="Z15" i="133"/>
  <c r="Z14" i="133"/>
  <c r="Z15" i="134"/>
  <c r="Z14" i="134"/>
  <c r="W17" i="135"/>
  <c r="AA21" i="134"/>
  <c r="AB14" i="133"/>
  <c r="AB15" i="133"/>
  <c r="AC11" i="133"/>
  <c r="AC9" i="133" s="1"/>
  <c r="X13" i="109"/>
  <c r="X10" i="109" s="1"/>
  <c r="AA13" i="134"/>
  <c r="AA17" i="134" s="1"/>
  <c r="AA26" i="134" s="1"/>
  <c r="V45" i="133"/>
  <c r="AB14" i="134"/>
  <c r="AB15" i="134"/>
  <c r="AB19" i="134"/>
  <c r="AB19" i="133"/>
  <c r="W19" i="109"/>
  <c r="W16" i="109" s="1"/>
  <c r="AB19" i="135" s="1"/>
  <c r="AB20" i="134"/>
  <c r="AB20" i="133"/>
  <c r="W23" i="109"/>
  <c r="W20" i="109" s="1"/>
  <c r="AB20" i="135" s="1"/>
  <c r="AB22" i="134"/>
  <c r="W28" i="109"/>
  <c r="AB22" i="133"/>
  <c r="AB25" i="134"/>
  <c r="AB25" i="133"/>
  <c r="W41" i="109"/>
  <c r="W38" i="109" s="1"/>
  <c r="AB25" i="135" s="1"/>
  <c r="W26" i="134"/>
  <c r="AB23" i="134"/>
  <c r="W33" i="109"/>
  <c r="AB23" i="133"/>
  <c r="V38" i="109"/>
  <c r="AA25" i="135" s="1"/>
  <c r="AA21" i="133"/>
  <c r="W26" i="133"/>
  <c r="S40" i="132"/>
  <c r="D27" i="132"/>
  <c r="AH26" i="132"/>
  <c r="C25" i="132"/>
  <c r="D100" i="132"/>
  <c r="AH99" i="132"/>
  <c r="U8" i="132"/>
  <c r="T9" i="132"/>
  <c r="T10" i="132"/>
  <c r="C362" i="132"/>
  <c r="D64" i="132"/>
  <c r="AH63" i="132"/>
  <c r="D76" i="131"/>
  <c r="D74" i="131"/>
  <c r="D75" i="131"/>
  <c r="D73" i="131"/>
  <c r="D71" i="131"/>
  <c r="D70" i="131"/>
  <c r="D72" i="131"/>
  <c r="E77" i="131"/>
  <c r="AB14" i="135" l="1"/>
  <c r="AB15" i="135"/>
  <c r="AA27" i="133"/>
  <c r="AA45" i="133" s="1"/>
  <c r="AC11" i="110"/>
  <c r="AC9" i="110" s="1"/>
  <c r="AC11" i="135"/>
  <c r="AC9" i="135" s="1"/>
  <c r="AA27" i="134"/>
  <c r="AA45" i="134" s="1"/>
  <c r="W27" i="133"/>
  <c r="Z13" i="134"/>
  <c r="AD11" i="133"/>
  <c r="AD9" i="134"/>
  <c r="Y13" i="109"/>
  <c r="Y10" i="109" s="1"/>
  <c r="AC22" i="134"/>
  <c r="AC22" i="133"/>
  <c r="X28" i="109"/>
  <c r="Z14" i="135"/>
  <c r="Z15" i="135"/>
  <c r="AC9" i="134"/>
  <c r="AC19" i="134"/>
  <c r="AC19" i="133"/>
  <c r="X19" i="109"/>
  <c r="X16" i="109" s="1"/>
  <c r="AC19" i="135" s="1"/>
  <c r="AB18" i="133"/>
  <c r="AC15" i="133"/>
  <c r="AC14" i="133"/>
  <c r="Z13" i="133"/>
  <c r="AC20" i="134"/>
  <c r="AC20" i="133"/>
  <c r="X23" i="109"/>
  <c r="X20" i="109" s="1"/>
  <c r="AC20" i="135" s="1"/>
  <c r="AB21" i="133"/>
  <c r="AB18" i="134"/>
  <c r="AC23" i="134"/>
  <c r="X33" i="109"/>
  <c r="AC23" i="133"/>
  <c r="AB13" i="133"/>
  <c r="AB17" i="133" s="1"/>
  <c r="AB26" i="133" s="1"/>
  <c r="AC25" i="134"/>
  <c r="AC25" i="133"/>
  <c r="X41" i="109"/>
  <c r="X38" i="109" s="1"/>
  <c r="AC25" i="135" s="1"/>
  <c r="AB21" i="134"/>
  <c r="AB13" i="134"/>
  <c r="AB17" i="134" s="1"/>
  <c r="AB26" i="134" s="1"/>
  <c r="AC24" i="134"/>
  <c r="AC24" i="133"/>
  <c r="X37" i="109"/>
  <c r="X34" i="109" s="1"/>
  <c r="AC24" i="135" s="1"/>
  <c r="W27" i="134"/>
  <c r="AB18" i="135"/>
  <c r="W26" i="135"/>
  <c r="T40" i="132"/>
  <c r="D101" i="132"/>
  <c r="AH100" i="132"/>
  <c r="C26" i="132"/>
  <c r="D65" i="132"/>
  <c r="AH64" i="132"/>
  <c r="C363" i="132"/>
  <c r="D28" i="132"/>
  <c r="AH27" i="132"/>
  <c r="V8" i="132"/>
  <c r="U9" i="132"/>
  <c r="U10" i="132"/>
  <c r="E74" i="131"/>
  <c r="E73" i="131"/>
  <c r="E76" i="131"/>
  <c r="E75" i="131"/>
  <c r="E70" i="131"/>
  <c r="E72" i="131"/>
  <c r="E71" i="131"/>
  <c r="F77" i="131"/>
  <c r="AB13" i="135" l="1"/>
  <c r="AB17" i="135" s="1"/>
  <c r="AB26" i="135" s="1"/>
  <c r="AC15" i="135"/>
  <c r="AC14" i="135"/>
  <c r="AD11" i="135"/>
  <c r="AD9" i="135" s="1"/>
  <c r="AD11" i="110"/>
  <c r="AD9" i="110" s="1"/>
  <c r="AC13" i="133"/>
  <c r="AC17" i="133" s="1"/>
  <c r="AC26" i="133" s="1"/>
  <c r="AC13" i="135"/>
  <c r="AC17" i="135" s="1"/>
  <c r="AC26" i="135" s="1"/>
  <c r="AC18" i="135"/>
  <c r="AC18" i="133"/>
  <c r="AC18" i="134"/>
  <c r="AB27" i="134"/>
  <c r="AB45" i="134" s="1"/>
  <c r="AD19" i="134"/>
  <c r="AD19" i="133"/>
  <c r="Y19" i="109"/>
  <c r="Y16" i="109" s="1"/>
  <c r="AD19" i="135" s="1"/>
  <c r="AD25" i="134"/>
  <c r="AD25" i="133"/>
  <c r="Y41" i="109"/>
  <c r="Y38" i="109" s="1"/>
  <c r="AD25" i="135" s="1"/>
  <c r="AD23" i="134"/>
  <c r="Y33" i="109"/>
  <c r="AD23" i="133"/>
  <c r="AD15" i="134"/>
  <c r="AD14" i="134"/>
  <c r="AD24" i="134"/>
  <c r="AD24" i="133"/>
  <c r="Y37" i="109"/>
  <c r="Y34" i="109" s="1"/>
  <c r="AD24" i="135" s="1"/>
  <c r="AD9" i="133"/>
  <c r="AC15" i="134"/>
  <c r="AC14" i="134"/>
  <c r="Z17" i="134"/>
  <c r="AE11" i="133"/>
  <c r="AE9" i="133" s="1"/>
  <c r="AE9" i="134"/>
  <c r="Z13" i="109"/>
  <c r="Z10" i="109" s="1"/>
  <c r="AB27" i="133"/>
  <c r="AB45" i="133" s="1"/>
  <c r="Z13" i="135"/>
  <c r="G77" i="131"/>
  <c r="H68" i="131"/>
  <c r="Z17" i="133"/>
  <c r="AD20" i="134"/>
  <c r="AD20" i="133"/>
  <c r="Y23" i="109"/>
  <c r="Y20" i="109" s="1"/>
  <c r="AD20" i="135" s="1"/>
  <c r="AC21" i="133"/>
  <c r="W45" i="133"/>
  <c r="AD22" i="134"/>
  <c r="AD22" i="133"/>
  <c r="Y28" i="109"/>
  <c r="W45" i="134"/>
  <c r="AC21" i="134"/>
  <c r="D29" i="132"/>
  <c r="AH28" i="132"/>
  <c r="C27" i="132"/>
  <c r="C364" i="132"/>
  <c r="D102" i="132"/>
  <c r="AH101" i="132"/>
  <c r="D66" i="132"/>
  <c r="AH65" i="132"/>
  <c r="U40" i="132"/>
  <c r="W8" i="132"/>
  <c r="V9" i="132"/>
  <c r="V10" i="132"/>
  <c r="F75" i="131"/>
  <c r="F74" i="131"/>
  <c r="F73" i="131"/>
  <c r="F76" i="131"/>
  <c r="F72" i="131"/>
  <c r="F70" i="131"/>
  <c r="F71" i="131"/>
  <c r="G75" i="131"/>
  <c r="G76" i="131"/>
  <c r="G73" i="131"/>
  <c r="G74" i="131"/>
  <c r="G72" i="131"/>
  <c r="G71" i="131"/>
  <c r="G70" i="131"/>
  <c r="AE11" i="110" l="1"/>
  <c r="AE9" i="110" s="1"/>
  <c r="AE11" i="135"/>
  <c r="AE9" i="135" s="1"/>
  <c r="AD13" i="134"/>
  <c r="AD17" i="134" s="1"/>
  <c r="AD26" i="134" s="1"/>
  <c r="H75" i="131"/>
  <c r="AC27" i="133"/>
  <c r="AC45" i="133" s="1"/>
  <c r="H76" i="131"/>
  <c r="AE22" i="134"/>
  <c r="AE22" i="133"/>
  <c r="Z28" i="109"/>
  <c r="Z17" i="135"/>
  <c r="AC13" i="134"/>
  <c r="AD15" i="135"/>
  <c r="AD14" i="135"/>
  <c r="AE23" i="134"/>
  <c r="AE23" i="133"/>
  <c r="Z33" i="109"/>
  <c r="AF19" i="134"/>
  <c r="AF19" i="133"/>
  <c r="AA19" i="109"/>
  <c r="H70" i="131"/>
  <c r="AE24" i="134"/>
  <c r="Z37" i="109"/>
  <c r="Z34" i="109" s="1"/>
  <c r="AE24" i="135" s="1"/>
  <c r="AE24" i="133"/>
  <c r="AE15" i="134"/>
  <c r="AE14" i="134"/>
  <c r="AD14" i="133"/>
  <c r="AD15" i="133"/>
  <c r="AF20" i="134"/>
  <c r="AF20" i="133"/>
  <c r="AA23" i="109"/>
  <c r="H71" i="131"/>
  <c r="AE25" i="134"/>
  <c r="AE25" i="133"/>
  <c r="Z41" i="109"/>
  <c r="Z38" i="109" s="1"/>
  <c r="AE25" i="135" s="1"/>
  <c r="AE14" i="133"/>
  <c r="AE15" i="133"/>
  <c r="AF22" i="134"/>
  <c r="AF22" i="133"/>
  <c r="AA28" i="109"/>
  <c r="H72" i="131"/>
  <c r="AF24" i="134"/>
  <c r="AA37" i="109"/>
  <c r="AF24" i="133"/>
  <c r="H74" i="131"/>
  <c r="Z26" i="134"/>
  <c r="AF23" i="134"/>
  <c r="AF23" i="133"/>
  <c r="AA33" i="109"/>
  <c r="H73" i="131"/>
  <c r="Z26" i="133"/>
  <c r="AD18" i="135"/>
  <c r="AF25" i="134"/>
  <c r="AA41" i="109"/>
  <c r="AF25" i="133"/>
  <c r="AD21" i="133"/>
  <c r="AD18" i="133"/>
  <c r="AE20" i="134"/>
  <c r="AE20" i="133"/>
  <c r="Z23" i="109"/>
  <c r="Z20" i="109" s="1"/>
  <c r="AE20" i="135" s="1"/>
  <c r="AD21" i="134"/>
  <c r="AA13" i="109"/>
  <c r="AF11" i="133"/>
  <c r="H77" i="131"/>
  <c r="AD18" i="134"/>
  <c r="AE19" i="134"/>
  <c r="AE19" i="133"/>
  <c r="Z19" i="109"/>
  <c r="Z16" i="109" s="1"/>
  <c r="AE19" i="135" s="1"/>
  <c r="V40" i="132"/>
  <c r="C365" i="132"/>
  <c r="D67" i="132"/>
  <c r="AH66" i="132"/>
  <c r="D103" i="132"/>
  <c r="AH102" i="132"/>
  <c r="C28" i="132"/>
  <c r="X8" i="132"/>
  <c r="W9" i="132"/>
  <c r="W10" i="132"/>
  <c r="AH29" i="132"/>
  <c r="D30" i="132"/>
  <c r="G46" i="88"/>
  <c r="G47" i="88"/>
  <c r="G49" i="88"/>
  <c r="C46" i="88"/>
  <c r="D46" i="88"/>
  <c r="E46" i="88"/>
  <c r="F46" i="88"/>
  <c r="C47" i="88"/>
  <c r="D47" i="88"/>
  <c r="E47" i="88"/>
  <c r="F47" i="88"/>
  <c r="C49" i="88"/>
  <c r="D49" i="88"/>
  <c r="E49" i="88"/>
  <c r="F49" i="88"/>
  <c r="B47" i="88"/>
  <c r="B49" i="88"/>
  <c r="B46" i="88"/>
  <c r="C40" i="88"/>
  <c r="D40" i="88"/>
  <c r="E40" i="88"/>
  <c r="F40" i="88"/>
  <c r="G40" i="88"/>
  <c r="H40" i="88"/>
  <c r="I40" i="88"/>
  <c r="J40" i="88"/>
  <c r="K40" i="88"/>
  <c r="C41" i="88"/>
  <c r="D41" i="88"/>
  <c r="E41" i="88"/>
  <c r="F41" i="88"/>
  <c r="G41" i="88"/>
  <c r="H41" i="88"/>
  <c r="I41" i="88"/>
  <c r="J41" i="88"/>
  <c r="K41" i="88"/>
  <c r="C43" i="88"/>
  <c r="D43" i="88"/>
  <c r="E43" i="88"/>
  <c r="F43" i="88"/>
  <c r="G43" i="88"/>
  <c r="H43" i="88"/>
  <c r="I43" i="88"/>
  <c r="J43" i="88"/>
  <c r="K43" i="88"/>
  <c r="B41" i="88"/>
  <c r="B43" i="88"/>
  <c r="B40" i="88"/>
  <c r="F35" i="89"/>
  <c r="B88" i="89"/>
  <c r="C36" i="89" s="1"/>
  <c r="AE15" i="135" l="1"/>
  <c r="AE14" i="135"/>
  <c r="AE13" i="134"/>
  <c r="AE17" i="134" s="1"/>
  <c r="AE26" i="134" s="1"/>
  <c r="AD27" i="134"/>
  <c r="AD45" i="134" s="1"/>
  <c r="AD13" i="133"/>
  <c r="AD17" i="133" s="1"/>
  <c r="AG23" i="133"/>
  <c r="AG23" i="134"/>
  <c r="AG24" i="133"/>
  <c r="AG20" i="133"/>
  <c r="AG25" i="134"/>
  <c r="AG20" i="134"/>
  <c r="Z27" i="134"/>
  <c r="AD13" i="135"/>
  <c r="AF9" i="133"/>
  <c r="AG11" i="133"/>
  <c r="AA10" i="109"/>
  <c r="AB13" i="109"/>
  <c r="AF9" i="134"/>
  <c r="AG11" i="134"/>
  <c r="Z27" i="133"/>
  <c r="AA34" i="109"/>
  <c r="AF24" i="135" s="1"/>
  <c r="AG24" i="135" s="1"/>
  <c r="AB37" i="109"/>
  <c r="AA20" i="109"/>
  <c r="AF20" i="135" s="1"/>
  <c r="AG20" i="135" s="1"/>
  <c r="AB23" i="109"/>
  <c r="AA16" i="109"/>
  <c r="AF19" i="135" s="1"/>
  <c r="AB19" i="109"/>
  <c r="AG24" i="134"/>
  <c r="AF18" i="133"/>
  <c r="AG19" i="133"/>
  <c r="AC17" i="134"/>
  <c r="AF18" i="134"/>
  <c r="AG19" i="134"/>
  <c r="AB28" i="109"/>
  <c r="Z26" i="135"/>
  <c r="AE18" i="135"/>
  <c r="AF21" i="133"/>
  <c r="AG22" i="133"/>
  <c r="AE18" i="133"/>
  <c r="AB33" i="109"/>
  <c r="AF21" i="134"/>
  <c r="AG22" i="134"/>
  <c r="AE18" i="134"/>
  <c r="AE21" i="133"/>
  <c r="AG25" i="133"/>
  <c r="AE13" i="133"/>
  <c r="AE17" i="133" s="1"/>
  <c r="AE26" i="133" s="1"/>
  <c r="AE21" i="134"/>
  <c r="AA38" i="109"/>
  <c r="AF25" i="135" s="1"/>
  <c r="AG25" i="135" s="1"/>
  <c r="AB41" i="109"/>
  <c r="W40" i="132"/>
  <c r="C29" i="132"/>
  <c r="X9" i="132"/>
  <c r="Y8" i="132"/>
  <c r="X10" i="132"/>
  <c r="D104" i="132"/>
  <c r="AH104" i="132" s="1"/>
  <c r="AH103" i="132"/>
  <c r="AH30" i="132"/>
  <c r="D31" i="132"/>
  <c r="D68" i="132"/>
  <c r="AH67" i="132"/>
  <c r="C366" i="132"/>
  <c r="F36" i="89"/>
  <c r="B36" i="89"/>
  <c r="G35" i="89"/>
  <c r="H35" i="89" s="1"/>
  <c r="I35" i="89" s="1"/>
  <c r="B50" i="89" s="1"/>
  <c r="C50" i="89" s="1"/>
  <c r="D50" i="89" s="1"/>
  <c r="E50" i="89" s="1"/>
  <c r="F50" i="89" s="1"/>
  <c r="G50" i="89" s="1"/>
  <c r="H50" i="89" s="1"/>
  <c r="I50" i="89" s="1"/>
  <c r="B65" i="89" s="1"/>
  <c r="C65" i="89" s="1"/>
  <c r="D65" i="89" s="1"/>
  <c r="E65" i="89" s="1"/>
  <c r="F65" i="89" s="1"/>
  <c r="G65" i="89" s="1"/>
  <c r="G66" i="89" s="1"/>
  <c r="D36" i="89"/>
  <c r="F66" i="89"/>
  <c r="E66" i="89"/>
  <c r="D66" i="89"/>
  <c r="E51" i="89"/>
  <c r="D51" i="89"/>
  <c r="C51" i="89"/>
  <c r="B51" i="89"/>
  <c r="C66" i="89"/>
  <c r="E36" i="89"/>
  <c r="G51" i="89"/>
  <c r="F51" i="89"/>
  <c r="U55" i="91"/>
  <c r="V55" i="91"/>
  <c r="W55" i="91"/>
  <c r="U56" i="91"/>
  <c r="V56" i="91"/>
  <c r="W56" i="91"/>
  <c r="U57" i="91"/>
  <c r="V57" i="91"/>
  <c r="W57" i="91"/>
  <c r="U58" i="91"/>
  <c r="T57" i="91"/>
  <c r="T56" i="91"/>
  <c r="T55" i="91"/>
  <c r="U54" i="91"/>
  <c r="V54" i="91"/>
  <c r="W54" i="91"/>
  <c r="T54" i="91"/>
  <c r="L7" i="129"/>
  <c r="M7" i="129"/>
  <c r="N7" i="129"/>
  <c r="N4" i="129" s="1"/>
  <c r="O7" i="129"/>
  <c r="O4" i="129" s="1"/>
  <c r="P7" i="129"/>
  <c r="P4" i="129" s="1"/>
  <c r="Q7" i="129"/>
  <c r="R7" i="129"/>
  <c r="S7" i="129"/>
  <c r="T7" i="129"/>
  <c r="U7" i="129"/>
  <c r="V7" i="129"/>
  <c r="V29" i="129" s="1"/>
  <c r="V30" i="129" s="1"/>
  <c r="V31" i="129" s="1"/>
  <c r="V32" i="129" s="1"/>
  <c r="V33" i="129" s="1"/>
  <c r="V34" i="129" s="1"/>
  <c r="V35" i="129" s="1"/>
  <c r="V36" i="129" s="1"/>
  <c r="V37" i="129" s="1"/>
  <c r="V38" i="129" s="1"/>
  <c r="V39" i="129" s="1"/>
  <c r="W7" i="129"/>
  <c r="X7" i="129"/>
  <c r="Y7" i="129"/>
  <c r="Y4" i="129" s="1"/>
  <c r="Z7" i="129"/>
  <c r="Z4" i="129" s="1"/>
  <c r="AA7" i="129"/>
  <c r="AB7" i="129"/>
  <c r="AB35" i="129" s="1"/>
  <c r="AB36" i="129" s="1"/>
  <c r="AB37" i="129" s="1"/>
  <c r="AB38" i="129" s="1"/>
  <c r="AB39" i="129" s="1"/>
  <c r="AC7" i="129"/>
  <c r="AD7" i="129"/>
  <c r="AE7" i="129"/>
  <c r="AF7" i="129"/>
  <c r="AG7" i="129"/>
  <c r="C342" i="129"/>
  <c r="C343" i="129" s="1"/>
  <c r="E340" i="129"/>
  <c r="F340" i="129" s="1"/>
  <c r="G340" i="129" s="1"/>
  <c r="H340" i="129" s="1"/>
  <c r="I340" i="129" s="1"/>
  <c r="J340" i="129" s="1"/>
  <c r="K340" i="129" s="1"/>
  <c r="L340" i="129" s="1"/>
  <c r="M340" i="129" s="1"/>
  <c r="N340" i="129" s="1"/>
  <c r="O340" i="129" s="1"/>
  <c r="P340" i="129" s="1"/>
  <c r="Q340" i="129" s="1"/>
  <c r="R340" i="129" s="1"/>
  <c r="S340" i="129" s="1"/>
  <c r="T340" i="129" s="1"/>
  <c r="U340" i="129" s="1"/>
  <c r="V340" i="129" s="1"/>
  <c r="W340" i="129" s="1"/>
  <c r="X340" i="129" s="1"/>
  <c r="Y340" i="129" s="1"/>
  <c r="Z340" i="129" s="1"/>
  <c r="AA340" i="129" s="1"/>
  <c r="AB340" i="129" s="1"/>
  <c r="AC340" i="129" s="1"/>
  <c r="AD340" i="129" s="1"/>
  <c r="AE340" i="129" s="1"/>
  <c r="AF340" i="129" s="1"/>
  <c r="AG340" i="129" s="1"/>
  <c r="AD337" i="129"/>
  <c r="AC337" i="129"/>
  <c r="AB337" i="129"/>
  <c r="AA337" i="129"/>
  <c r="Z337" i="129"/>
  <c r="Y337" i="129"/>
  <c r="X337" i="129"/>
  <c r="R337" i="129"/>
  <c r="Q337" i="129"/>
  <c r="O337" i="129"/>
  <c r="N337" i="129"/>
  <c r="L337" i="129"/>
  <c r="K337" i="129"/>
  <c r="J337" i="129"/>
  <c r="F337" i="129"/>
  <c r="AH336" i="129"/>
  <c r="AG336" i="129"/>
  <c r="AG337" i="129" s="1"/>
  <c r="AF336" i="129"/>
  <c r="AF337" i="129" s="1"/>
  <c r="AE336" i="129"/>
  <c r="AD336" i="129"/>
  <c r="AE335" i="129"/>
  <c r="AE337" i="129" s="1"/>
  <c r="AC335" i="129"/>
  <c r="AH335" i="129" s="1"/>
  <c r="AD334" i="129"/>
  <c r="AD335" i="129" s="1"/>
  <c r="AB334" i="129"/>
  <c r="AH334" i="129" s="1"/>
  <c r="AC333" i="129"/>
  <c r="AC334" i="129" s="1"/>
  <c r="AH332" i="129"/>
  <c r="AB332" i="129"/>
  <c r="AB333" i="129" s="1"/>
  <c r="AA332" i="129"/>
  <c r="AA333" i="129" s="1"/>
  <c r="AH333" i="129" s="1"/>
  <c r="Z332" i="129"/>
  <c r="AH331" i="129"/>
  <c r="AA331" i="129"/>
  <c r="Z331" i="129"/>
  <c r="Y331" i="129"/>
  <c r="Z330" i="129"/>
  <c r="Y329" i="129"/>
  <c r="Y330" i="129" s="1"/>
  <c r="X329" i="129"/>
  <c r="X330" i="129" s="1"/>
  <c r="AH330" i="129" s="1"/>
  <c r="X328" i="129"/>
  <c r="W327" i="129"/>
  <c r="V326" i="129"/>
  <c r="U325" i="129"/>
  <c r="T324" i="129"/>
  <c r="S324" i="129"/>
  <c r="S325" i="129" s="1"/>
  <c r="AH325" i="129" s="1"/>
  <c r="R324" i="129"/>
  <c r="AH324" i="129" s="1"/>
  <c r="S323" i="129"/>
  <c r="S337" i="129" s="1"/>
  <c r="R322" i="129"/>
  <c r="R323" i="129" s="1"/>
  <c r="AH321" i="129"/>
  <c r="Q321" i="129"/>
  <c r="Q322" i="129" s="1"/>
  <c r="Q323" i="129" s="1"/>
  <c r="AH323" i="129" s="1"/>
  <c r="P320" i="129"/>
  <c r="O320" i="129"/>
  <c r="O321" i="129" s="1"/>
  <c r="N320" i="129"/>
  <c r="AH320" i="129" s="1"/>
  <c r="O319" i="129"/>
  <c r="N319" i="129"/>
  <c r="N318" i="129"/>
  <c r="M317" i="129"/>
  <c r="M318" i="129" s="1"/>
  <c r="M319" i="129" s="1"/>
  <c r="AH319" i="129" s="1"/>
  <c r="L317" i="129"/>
  <c r="L318" i="129" s="1"/>
  <c r="AH318" i="129" s="1"/>
  <c r="K317" i="129"/>
  <c r="AH317" i="129" s="1"/>
  <c r="L316" i="129"/>
  <c r="K315" i="129"/>
  <c r="K316" i="129" s="1"/>
  <c r="C315" i="129"/>
  <c r="C316" i="129" s="1"/>
  <c r="C317" i="129" s="1"/>
  <c r="C318" i="129" s="1"/>
  <c r="C319" i="129" s="1"/>
  <c r="C320" i="129" s="1"/>
  <c r="C321" i="129" s="1"/>
  <c r="C322" i="129" s="1"/>
  <c r="C323" i="129" s="1"/>
  <c r="C324" i="129" s="1"/>
  <c r="C325" i="129" s="1"/>
  <c r="C326" i="129" s="1"/>
  <c r="C327" i="129" s="1"/>
  <c r="C328" i="129" s="1"/>
  <c r="C329" i="129" s="1"/>
  <c r="C330" i="129" s="1"/>
  <c r="C331" i="129" s="1"/>
  <c r="C332" i="129" s="1"/>
  <c r="C333" i="129" s="1"/>
  <c r="C334" i="129" s="1"/>
  <c r="C335" i="129" s="1"/>
  <c r="C336" i="129" s="1"/>
  <c r="J314" i="129"/>
  <c r="J315" i="129" s="1"/>
  <c r="J316" i="129" s="1"/>
  <c r="AH316" i="129" s="1"/>
  <c r="I313" i="129"/>
  <c r="I337" i="129" s="1"/>
  <c r="H312" i="129"/>
  <c r="G312" i="129"/>
  <c r="G313" i="129" s="1"/>
  <c r="AH313" i="129" s="1"/>
  <c r="F312" i="129"/>
  <c r="AH312" i="129" s="1"/>
  <c r="G311" i="129"/>
  <c r="G337" i="129" s="1"/>
  <c r="C311" i="129"/>
  <c r="C312" i="129" s="1"/>
  <c r="C313" i="129" s="1"/>
  <c r="C314" i="129" s="1"/>
  <c r="F310" i="129"/>
  <c r="F311" i="129" s="1"/>
  <c r="C310" i="129"/>
  <c r="E309" i="129"/>
  <c r="E337" i="129" s="1"/>
  <c r="D308" i="129"/>
  <c r="AH307" i="129"/>
  <c r="C307" i="129"/>
  <c r="C308" i="129" s="1"/>
  <c r="C309" i="129" s="1"/>
  <c r="AH306" i="129"/>
  <c r="J305" i="129"/>
  <c r="K305" i="129" s="1"/>
  <c r="L305" i="129" s="1"/>
  <c r="M305" i="129" s="1"/>
  <c r="N305" i="129" s="1"/>
  <c r="O305" i="129" s="1"/>
  <c r="P305" i="129" s="1"/>
  <c r="Q305" i="129" s="1"/>
  <c r="R305" i="129" s="1"/>
  <c r="S305" i="129" s="1"/>
  <c r="T305" i="129" s="1"/>
  <c r="U305" i="129" s="1"/>
  <c r="V305" i="129" s="1"/>
  <c r="W305" i="129" s="1"/>
  <c r="X305" i="129" s="1"/>
  <c r="Y305" i="129" s="1"/>
  <c r="Z305" i="129" s="1"/>
  <c r="AA305" i="129" s="1"/>
  <c r="AB305" i="129" s="1"/>
  <c r="AC305" i="129" s="1"/>
  <c r="AD305" i="129" s="1"/>
  <c r="AE305" i="129" s="1"/>
  <c r="AF305" i="129" s="1"/>
  <c r="AG305" i="129" s="1"/>
  <c r="F305" i="129"/>
  <c r="G305" i="129" s="1"/>
  <c r="H305" i="129" s="1"/>
  <c r="I305" i="129" s="1"/>
  <c r="E305" i="129"/>
  <c r="AH304" i="129"/>
  <c r="B304" i="129" s="1"/>
  <c r="AG299" i="129"/>
  <c r="AF299" i="129"/>
  <c r="AE299" i="129"/>
  <c r="AD299" i="129"/>
  <c r="AC299" i="129"/>
  <c r="Z299" i="129"/>
  <c r="U299" i="129"/>
  <c r="T299" i="129"/>
  <c r="S299" i="129"/>
  <c r="R299" i="129"/>
  <c r="P299" i="129"/>
  <c r="O299" i="129"/>
  <c r="I299" i="129"/>
  <c r="H299" i="129"/>
  <c r="F299" i="129"/>
  <c r="D299" i="129"/>
  <c r="AG298" i="129"/>
  <c r="AF298" i="129"/>
  <c r="AE297" i="129"/>
  <c r="AE298" i="129" s="1"/>
  <c r="AD297" i="129"/>
  <c r="AD298" i="129" s="1"/>
  <c r="AC297" i="129"/>
  <c r="AC298" i="129" s="1"/>
  <c r="AD296" i="129"/>
  <c r="AC295" i="129"/>
  <c r="AC296" i="129" s="1"/>
  <c r="AB294" i="129"/>
  <c r="Y294" i="129"/>
  <c r="Y295" i="129" s="1"/>
  <c r="AH295" i="129" s="1"/>
  <c r="AA293" i="129"/>
  <c r="Z292" i="129"/>
  <c r="Z293" i="129" s="1"/>
  <c r="Z294" i="129" s="1"/>
  <c r="Z295" i="129" s="1"/>
  <c r="Z296" i="129" s="1"/>
  <c r="AH296" i="129" s="1"/>
  <c r="Y292" i="129"/>
  <c r="Y293" i="129" s="1"/>
  <c r="Y291" i="129"/>
  <c r="Y299" i="129" s="1"/>
  <c r="V291" i="129"/>
  <c r="V292" i="129" s="1"/>
  <c r="AH292" i="129" s="1"/>
  <c r="U291" i="129"/>
  <c r="AH291" i="129" s="1"/>
  <c r="AH290" i="129"/>
  <c r="X290" i="129"/>
  <c r="W289" i="129"/>
  <c r="W299" i="129" s="1"/>
  <c r="V289" i="129"/>
  <c r="V290" i="129" s="1"/>
  <c r="S289" i="129"/>
  <c r="AH289" i="129" s="1"/>
  <c r="V288" i="129"/>
  <c r="V299" i="129" s="1"/>
  <c r="U288" i="129"/>
  <c r="U289" i="129" s="1"/>
  <c r="U290" i="129" s="1"/>
  <c r="C288" i="129"/>
  <c r="C289" i="129" s="1"/>
  <c r="C290" i="129" s="1"/>
  <c r="C291" i="129" s="1"/>
  <c r="C292" i="129" s="1"/>
  <c r="C293" i="129" s="1"/>
  <c r="C294" i="129" s="1"/>
  <c r="C295" i="129" s="1"/>
  <c r="C296" i="129" s="1"/>
  <c r="C297" i="129" s="1"/>
  <c r="C298" i="129" s="1"/>
  <c r="U287" i="129"/>
  <c r="T287" i="129"/>
  <c r="T288" i="129" s="1"/>
  <c r="T289" i="129" s="1"/>
  <c r="T290" i="129" s="1"/>
  <c r="S287" i="129"/>
  <c r="S288" i="129" s="1"/>
  <c r="T286" i="129"/>
  <c r="Q286" i="129"/>
  <c r="Q287" i="129" s="1"/>
  <c r="AH287" i="129" s="1"/>
  <c r="S285" i="129"/>
  <c r="S286" i="129" s="1"/>
  <c r="R285" i="129"/>
  <c r="R286" i="129" s="1"/>
  <c r="R287" i="129" s="1"/>
  <c r="R288" i="129" s="1"/>
  <c r="AH288" i="129" s="1"/>
  <c r="Q285" i="129"/>
  <c r="R284" i="129"/>
  <c r="Q284" i="129"/>
  <c r="P284" i="129"/>
  <c r="P285" i="129" s="1"/>
  <c r="P286" i="129" s="1"/>
  <c r="AH286" i="129" s="1"/>
  <c r="Q283" i="129"/>
  <c r="Q299" i="129" s="1"/>
  <c r="P283" i="129"/>
  <c r="O283" i="129"/>
  <c r="O284" i="129" s="1"/>
  <c r="O285" i="129" s="1"/>
  <c r="AH285" i="129" s="1"/>
  <c r="P282" i="129"/>
  <c r="O282" i="129"/>
  <c r="M282" i="129"/>
  <c r="M283" i="129" s="1"/>
  <c r="AH283" i="129" s="1"/>
  <c r="O281" i="129"/>
  <c r="AH280" i="129"/>
  <c r="N280" i="129"/>
  <c r="M280" i="129"/>
  <c r="M281" i="129" s="1"/>
  <c r="M279" i="129"/>
  <c r="M299" i="129" s="1"/>
  <c r="AH278" i="129"/>
  <c r="L278" i="129"/>
  <c r="J278" i="129"/>
  <c r="J279" i="129" s="1"/>
  <c r="J280" i="129" s="1"/>
  <c r="K277" i="129"/>
  <c r="J277" i="129"/>
  <c r="I277" i="129"/>
  <c r="I278" i="129" s="1"/>
  <c r="I279" i="129" s="1"/>
  <c r="AH279" i="129" s="1"/>
  <c r="J276" i="129"/>
  <c r="J299" i="129" s="1"/>
  <c r="I275" i="129"/>
  <c r="I276" i="129" s="1"/>
  <c r="H275" i="129"/>
  <c r="H276" i="129" s="1"/>
  <c r="H277" i="129" s="1"/>
  <c r="H278" i="129" s="1"/>
  <c r="F275" i="129"/>
  <c r="F276" i="129" s="1"/>
  <c r="AH276" i="129" s="1"/>
  <c r="H274" i="129"/>
  <c r="G273" i="129"/>
  <c r="F273" i="129"/>
  <c r="F274" i="129" s="1"/>
  <c r="D273" i="129"/>
  <c r="F272" i="129"/>
  <c r="AH271" i="129"/>
  <c r="E271" i="129"/>
  <c r="D270" i="129"/>
  <c r="D271" i="129" s="1"/>
  <c r="D272" i="129" s="1"/>
  <c r="AH272" i="129" s="1"/>
  <c r="C270" i="129"/>
  <c r="C271" i="129" s="1"/>
  <c r="C272" i="129" s="1"/>
  <c r="C273" i="129" s="1"/>
  <c r="C274" i="129" s="1"/>
  <c r="C275" i="129" s="1"/>
  <c r="C276" i="129" s="1"/>
  <c r="C277" i="129" s="1"/>
  <c r="C278" i="129" s="1"/>
  <c r="C279" i="129" s="1"/>
  <c r="C280" i="129" s="1"/>
  <c r="C281" i="129" s="1"/>
  <c r="C282" i="129" s="1"/>
  <c r="C283" i="129" s="1"/>
  <c r="C284" i="129" s="1"/>
  <c r="C285" i="129" s="1"/>
  <c r="C286" i="129" s="1"/>
  <c r="C287" i="129" s="1"/>
  <c r="AH269" i="129"/>
  <c r="C269" i="129"/>
  <c r="AH268" i="129"/>
  <c r="F267" i="129"/>
  <c r="G267" i="129" s="1"/>
  <c r="H267" i="129" s="1"/>
  <c r="I267" i="129" s="1"/>
  <c r="J267" i="129" s="1"/>
  <c r="K267" i="129" s="1"/>
  <c r="L267" i="129" s="1"/>
  <c r="M267" i="129" s="1"/>
  <c r="N267" i="129" s="1"/>
  <c r="O267" i="129" s="1"/>
  <c r="P267" i="129" s="1"/>
  <c r="Q267" i="129" s="1"/>
  <c r="R267" i="129" s="1"/>
  <c r="S267" i="129" s="1"/>
  <c r="T267" i="129" s="1"/>
  <c r="U267" i="129" s="1"/>
  <c r="V267" i="129" s="1"/>
  <c r="W267" i="129" s="1"/>
  <c r="X267" i="129" s="1"/>
  <c r="Y267" i="129" s="1"/>
  <c r="Z267" i="129" s="1"/>
  <c r="AA267" i="129" s="1"/>
  <c r="AB267" i="129" s="1"/>
  <c r="AC267" i="129" s="1"/>
  <c r="AD267" i="129" s="1"/>
  <c r="AE267" i="129" s="1"/>
  <c r="AF267" i="129" s="1"/>
  <c r="AG267" i="129" s="1"/>
  <c r="E267" i="129"/>
  <c r="AH266" i="129"/>
  <c r="B266" i="129" s="1"/>
  <c r="AG261" i="129"/>
  <c r="AC261" i="129"/>
  <c r="AA261" i="129"/>
  <c r="Z261" i="129"/>
  <c r="Y261" i="129"/>
  <c r="X261" i="129"/>
  <c r="W261" i="129"/>
  <c r="V261" i="129"/>
  <c r="O261" i="129"/>
  <c r="N261" i="129"/>
  <c r="J261" i="129"/>
  <c r="I261" i="129"/>
  <c r="E261" i="129"/>
  <c r="D261" i="129"/>
  <c r="AG260" i="129"/>
  <c r="AF260" i="129"/>
  <c r="AF261" i="129" s="1"/>
  <c r="AE260" i="129"/>
  <c r="AD260" i="129"/>
  <c r="AE259" i="129"/>
  <c r="AE261" i="129" s="1"/>
  <c r="AD259" i="129"/>
  <c r="AC259" i="129"/>
  <c r="AC260" i="129" s="1"/>
  <c r="AD258" i="129"/>
  <c r="AD261" i="129" s="1"/>
  <c r="AA258" i="129"/>
  <c r="AA259" i="129" s="1"/>
  <c r="AA260" i="129" s="1"/>
  <c r="Z258" i="129"/>
  <c r="Z259" i="129" s="1"/>
  <c r="Z260" i="129" s="1"/>
  <c r="AH260" i="129" s="1"/>
  <c r="AC257" i="129"/>
  <c r="AC258" i="129" s="1"/>
  <c r="AB256" i="129"/>
  <c r="AA256" i="129"/>
  <c r="AA257" i="129" s="1"/>
  <c r="Z256" i="129"/>
  <c r="Z257" i="129" s="1"/>
  <c r="Y256" i="129"/>
  <c r="Y257" i="129" s="1"/>
  <c r="Y258" i="129" s="1"/>
  <c r="Y259" i="129" s="1"/>
  <c r="AH259" i="129" s="1"/>
  <c r="X256" i="129"/>
  <c r="X257" i="129" s="1"/>
  <c r="X258" i="129" s="1"/>
  <c r="AH258" i="129" s="1"/>
  <c r="AA255" i="129"/>
  <c r="Z255" i="129"/>
  <c r="Y255" i="129"/>
  <c r="Z254" i="129"/>
  <c r="Y253" i="129"/>
  <c r="Y254" i="129" s="1"/>
  <c r="X252" i="129"/>
  <c r="X253" i="129" s="1"/>
  <c r="X254" i="129" s="1"/>
  <c r="X255" i="129" s="1"/>
  <c r="W252" i="129"/>
  <c r="W253" i="129" s="1"/>
  <c r="W254" i="129" s="1"/>
  <c r="W255" i="129" s="1"/>
  <c r="W256" i="129" s="1"/>
  <c r="W257" i="129" s="1"/>
  <c r="AH257" i="129" s="1"/>
  <c r="W251" i="129"/>
  <c r="V251" i="129"/>
  <c r="V252" i="129" s="1"/>
  <c r="V253" i="129" s="1"/>
  <c r="V254" i="129" s="1"/>
  <c r="V255" i="129" s="1"/>
  <c r="V256" i="129" s="1"/>
  <c r="AH256" i="129" s="1"/>
  <c r="Q251" i="129"/>
  <c r="AH251" i="129" s="1"/>
  <c r="V250" i="129"/>
  <c r="R250" i="129"/>
  <c r="R251" i="129" s="1"/>
  <c r="R252" i="129" s="1"/>
  <c r="AH252" i="129" s="1"/>
  <c r="U249" i="129"/>
  <c r="T248" i="129"/>
  <c r="R248" i="129"/>
  <c r="R249" i="129" s="1"/>
  <c r="S247" i="129"/>
  <c r="S261" i="129" s="1"/>
  <c r="R247" i="129"/>
  <c r="Q247" i="129"/>
  <c r="Q248" i="129" s="1"/>
  <c r="Q249" i="129" s="1"/>
  <c r="Q250" i="129" s="1"/>
  <c r="R246" i="129"/>
  <c r="R261" i="129" s="1"/>
  <c r="O246" i="129"/>
  <c r="O247" i="129" s="1"/>
  <c r="O248" i="129" s="1"/>
  <c r="O249" i="129" s="1"/>
  <c r="AH249" i="129" s="1"/>
  <c r="Q245" i="129"/>
  <c r="Q246" i="129" s="1"/>
  <c r="P244" i="129"/>
  <c r="O244" i="129"/>
  <c r="O245" i="129" s="1"/>
  <c r="N244" i="129"/>
  <c r="N245" i="129" s="1"/>
  <c r="N246" i="129" s="1"/>
  <c r="N247" i="129" s="1"/>
  <c r="N248" i="129" s="1"/>
  <c r="AH248" i="129" s="1"/>
  <c r="O243" i="129"/>
  <c r="N243" i="129"/>
  <c r="N242" i="129"/>
  <c r="J242" i="129"/>
  <c r="J243" i="129" s="1"/>
  <c r="J244" i="129" s="1"/>
  <c r="AH244" i="129" s="1"/>
  <c r="M241" i="129"/>
  <c r="L240" i="129"/>
  <c r="AH239" i="129"/>
  <c r="K239" i="129"/>
  <c r="J239" i="129"/>
  <c r="J240" i="129" s="1"/>
  <c r="J241" i="129" s="1"/>
  <c r="H239" i="129"/>
  <c r="H240" i="129" s="1"/>
  <c r="H241" i="129" s="1"/>
  <c r="H242" i="129" s="1"/>
  <c r="AH242" i="129" s="1"/>
  <c r="J238" i="129"/>
  <c r="E238" i="129"/>
  <c r="E239" i="129" s="1"/>
  <c r="I237" i="129"/>
  <c r="I238" i="129" s="1"/>
  <c r="I239" i="129" s="1"/>
  <c r="I240" i="129" s="1"/>
  <c r="I241" i="129" s="1"/>
  <c r="I242" i="129" s="1"/>
  <c r="I243" i="129" s="1"/>
  <c r="AH243" i="129" s="1"/>
  <c r="H237" i="129"/>
  <c r="H238" i="129" s="1"/>
  <c r="H236" i="129"/>
  <c r="H261" i="129" s="1"/>
  <c r="G236" i="129"/>
  <c r="G237" i="129" s="1"/>
  <c r="G238" i="129" s="1"/>
  <c r="G239" i="129" s="1"/>
  <c r="G240" i="129" s="1"/>
  <c r="G241" i="129" s="1"/>
  <c r="AH241" i="129" s="1"/>
  <c r="G235" i="129"/>
  <c r="G261" i="129" s="1"/>
  <c r="E235" i="129"/>
  <c r="E236" i="129" s="1"/>
  <c r="E237" i="129" s="1"/>
  <c r="D235" i="129"/>
  <c r="AH234" i="129"/>
  <c r="F234" i="129"/>
  <c r="E234" i="129"/>
  <c r="E233" i="129"/>
  <c r="D232" i="129"/>
  <c r="D233" i="129" s="1"/>
  <c r="D234" i="129" s="1"/>
  <c r="AH231" i="129"/>
  <c r="C231" i="129"/>
  <c r="C232" i="129" s="1"/>
  <c r="C233" i="129" s="1"/>
  <c r="C234" i="129" s="1"/>
  <c r="C235" i="129" s="1"/>
  <c r="C236" i="129" s="1"/>
  <c r="C237" i="129" s="1"/>
  <c r="C238" i="129" s="1"/>
  <c r="C239" i="129" s="1"/>
  <c r="C240" i="129" s="1"/>
  <c r="C241" i="129" s="1"/>
  <c r="C242" i="129" s="1"/>
  <c r="C243" i="129" s="1"/>
  <c r="C244" i="129" s="1"/>
  <c r="C245" i="129" s="1"/>
  <c r="C246" i="129" s="1"/>
  <c r="C247" i="129" s="1"/>
  <c r="C248" i="129" s="1"/>
  <c r="C249" i="129" s="1"/>
  <c r="C250" i="129" s="1"/>
  <c r="C251" i="129" s="1"/>
  <c r="C252" i="129" s="1"/>
  <c r="C253" i="129" s="1"/>
  <c r="C254" i="129" s="1"/>
  <c r="C255" i="129" s="1"/>
  <c r="C256" i="129" s="1"/>
  <c r="C257" i="129" s="1"/>
  <c r="C258" i="129" s="1"/>
  <c r="C259" i="129" s="1"/>
  <c r="C260" i="129" s="1"/>
  <c r="AH230" i="129"/>
  <c r="I229" i="129"/>
  <c r="J229" i="129" s="1"/>
  <c r="K229" i="129" s="1"/>
  <c r="L229" i="129" s="1"/>
  <c r="M229" i="129" s="1"/>
  <c r="N229" i="129" s="1"/>
  <c r="O229" i="129" s="1"/>
  <c r="P229" i="129" s="1"/>
  <c r="Q229" i="129" s="1"/>
  <c r="R229" i="129" s="1"/>
  <c r="S229" i="129" s="1"/>
  <c r="T229" i="129" s="1"/>
  <c r="U229" i="129" s="1"/>
  <c r="V229" i="129" s="1"/>
  <c r="W229" i="129" s="1"/>
  <c r="X229" i="129" s="1"/>
  <c r="Y229" i="129" s="1"/>
  <c r="Z229" i="129" s="1"/>
  <c r="AA229" i="129" s="1"/>
  <c r="AB229" i="129" s="1"/>
  <c r="AC229" i="129" s="1"/>
  <c r="AD229" i="129" s="1"/>
  <c r="AE229" i="129" s="1"/>
  <c r="AF229" i="129" s="1"/>
  <c r="AG229" i="129" s="1"/>
  <c r="H229" i="129"/>
  <c r="G229" i="129"/>
  <c r="F229" i="129"/>
  <c r="E229" i="129"/>
  <c r="AH228" i="129"/>
  <c r="B228" i="129"/>
  <c r="AG225" i="129"/>
  <c r="AF225" i="129"/>
  <c r="AE225" i="129"/>
  <c r="AD225" i="129"/>
  <c r="AC225" i="129"/>
  <c r="AB225" i="129"/>
  <c r="AA225" i="129"/>
  <c r="W225" i="129"/>
  <c r="R225" i="129"/>
  <c r="Q225" i="129"/>
  <c r="P225" i="129"/>
  <c r="I225" i="129"/>
  <c r="H225" i="129"/>
  <c r="F225" i="129"/>
  <c r="AG224" i="129"/>
  <c r="AF224" i="129"/>
  <c r="AD224" i="129"/>
  <c r="AC224" i="129"/>
  <c r="AE223" i="129"/>
  <c r="AE224" i="129" s="1"/>
  <c r="AC223" i="129"/>
  <c r="W223" i="129"/>
  <c r="W224" i="129" s="1"/>
  <c r="AH224" i="129" s="1"/>
  <c r="AD222" i="129"/>
  <c r="AD223" i="129" s="1"/>
  <c r="AC221" i="129"/>
  <c r="AC222" i="129" s="1"/>
  <c r="W221" i="129"/>
  <c r="W222" i="129" s="1"/>
  <c r="AB220" i="129"/>
  <c r="AB221" i="129" s="1"/>
  <c r="AB222" i="129" s="1"/>
  <c r="AB223" i="129" s="1"/>
  <c r="AB224" i="129" s="1"/>
  <c r="AA219" i="129"/>
  <c r="AA220" i="129" s="1"/>
  <c r="AA221" i="129" s="1"/>
  <c r="AA222" i="129" s="1"/>
  <c r="AA223" i="129" s="1"/>
  <c r="AA224" i="129" s="1"/>
  <c r="Z218" i="129"/>
  <c r="Z225" i="129" s="1"/>
  <c r="Q218" i="129"/>
  <c r="AH218" i="129" s="1"/>
  <c r="Y217" i="129"/>
  <c r="Y225" i="129" s="1"/>
  <c r="X216" i="129"/>
  <c r="X225" i="129" s="1"/>
  <c r="W215" i="129"/>
  <c r="W216" i="129" s="1"/>
  <c r="W217" i="129" s="1"/>
  <c r="W218" i="129" s="1"/>
  <c r="W219" i="129" s="1"/>
  <c r="W220" i="129" s="1"/>
  <c r="V214" i="129"/>
  <c r="R214" i="129"/>
  <c r="R215" i="129" s="1"/>
  <c r="R216" i="129" s="1"/>
  <c r="R217" i="129" s="1"/>
  <c r="R218" i="129" s="1"/>
  <c r="R219" i="129" s="1"/>
  <c r="AH219" i="129" s="1"/>
  <c r="P214" i="129"/>
  <c r="P215" i="129" s="1"/>
  <c r="P216" i="129" s="1"/>
  <c r="P217" i="129" s="1"/>
  <c r="AH217" i="129" s="1"/>
  <c r="U213" i="129"/>
  <c r="T212" i="129"/>
  <c r="R212" i="129"/>
  <c r="R213" i="129" s="1"/>
  <c r="Q212" i="129"/>
  <c r="Q213" i="129" s="1"/>
  <c r="Q214" i="129" s="1"/>
  <c r="Q215" i="129" s="1"/>
  <c r="Q216" i="129" s="1"/>
  <c r="Q217" i="129" s="1"/>
  <c r="S211" i="129"/>
  <c r="Q211" i="129"/>
  <c r="J211" i="129"/>
  <c r="AH211" i="129" s="1"/>
  <c r="R210" i="129"/>
  <c r="R211" i="129" s="1"/>
  <c r="Q209" i="129"/>
  <c r="Q210" i="129" s="1"/>
  <c r="L209" i="129"/>
  <c r="L210" i="129" s="1"/>
  <c r="L211" i="129" s="1"/>
  <c r="L212" i="129" s="1"/>
  <c r="L213" i="129" s="1"/>
  <c r="AH213" i="129" s="1"/>
  <c r="H209" i="129"/>
  <c r="AH209" i="129" s="1"/>
  <c r="P208" i="129"/>
  <c r="P209" i="129" s="1"/>
  <c r="P210" i="129" s="1"/>
  <c r="P211" i="129" s="1"/>
  <c r="P212" i="129" s="1"/>
  <c r="P213" i="129" s="1"/>
  <c r="L208" i="129"/>
  <c r="AH207" i="129"/>
  <c r="O207" i="129"/>
  <c r="N206" i="129"/>
  <c r="N225" i="129" s="1"/>
  <c r="M205" i="129"/>
  <c r="M225" i="129" s="1"/>
  <c r="L205" i="129"/>
  <c r="L206" i="129" s="1"/>
  <c r="L207" i="129" s="1"/>
  <c r="F205" i="129"/>
  <c r="F206" i="129" s="1"/>
  <c r="F207" i="129" s="1"/>
  <c r="L204" i="129"/>
  <c r="L225" i="129" s="1"/>
  <c r="F204" i="129"/>
  <c r="K203" i="129"/>
  <c r="J203" i="129"/>
  <c r="J204" i="129" s="1"/>
  <c r="J205" i="129" s="1"/>
  <c r="J206" i="129" s="1"/>
  <c r="J207" i="129" s="1"/>
  <c r="J208" i="129" s="1"/>
  <c r="J209" i="129" s="1"/>
  <c r="J210" i="129" s="1"/>
  <c r="I203" i="129"/>
  <c r="I204" i="129" s="1"/>
  <c r="I205" i="129" s="1"/>
  <c r="I206" i="129" s="1"/>
  <c r="I207" i="129" s="1"/>
  <c r="I208" i="129" s="1"/>
  <c r="I209" i="129" s="1"/>
  <c r="I210" i="129" s="1"/>
  <c r="AH210" i="129" s="1"/>
  <c r="J202" i="129"/>
  <c r="J225" i="129" s="1"/>
  <c r="I202" i="129"/>
  <c r="H202" i="129"/>
  <c r="H203" i="129" s="1"/>
  <c r="H204" i="129" s="1"/>
  <c r="H205" i="129" s="1"/>
  <c r="H206" i="129" s="1"/>
  <c r="H207" i="129" s="1"/>
  <c r="H208" i="129" s="1"/>
  <c r="F202" i="129"/>
  <c r="F203" i="129" s="1"/>
  <c r="I201" i="129"/>
  <c r="H201" i="129"/>
  <c r="E201" i="129"/>
  <c r="E202" i="129" s="1"/>
  <c r="E203" i="129" s="1"/>
  <c r="E204" i="129" s="1"/>
  <c r="E205" i="129" s="1"/>
  <c r="E206" i="129" s="1"/>
  <c r="AH206" i="129" s="1"/>
  <c r="H200" i="129"/>
  <c r="F200" i="129"/>
  <c r="F201" i="129" s="1"/>
  <c r="G199" i="129"/>
  <c r="F199" i="129"/>
  <c r="E199" i="129"/>
  <c r="E200" i="129" s="1"/>
  <c r="F198" i="129"/>
  <c r="E198" i="129"/>
  <c r="E197" i="129"/>
  <c r="E225" i="129" s="1"/>
  <c r="D196" i="129"/>
  <c r="C196" i="129"/>
  <c r="C197" i="129" s="1"/>
  <c r="C198" i="129" s="1"/>
  <c r="C199" i="129" s="1"/>
  <c r="C200" i="129" s="1"/>
  <c r="C201" i="129" s="1"/>
  <c r="C202" i="129" s="1"/>
  <c r="C203" i="129" s="1"/>
  <c r="C204" i="129" s="1"/>
  <c r="C205" i="129" s="1"/>
  <c r="C206" i="129" s="1"/>
  <c r="C207" i="129" s="1"/>
  <c r="C208" i="129" s="1"/>
  <c r="C209" i="129" s="1"/>
  <c r="C210" i="129" s="1"/>
  <c r="C211" i="129" s="1"/>
  <c r="C212" i="129" s="1"/>
  <c r="C213" i="129" s="1"/>
  <c r="C214" i="129" s="1"/>
  <c r="C215" i="129" s="1"/>
  <c r="C216" i="129" s="1"/>
  <c r="C217" i="129" s="1"/>
  <c r="C218" i="129" s="1"/>
  <c r="C219" i="129" s="1"/>
  <c r="C220" i="129" s="1"/>
  <c r="C221" i="129" s="1"/>
  <c r="C222" i="129" s="1"/>
  <c r="C223" i="129" s="1"/>
  <c r="C224" i="129" s="1"/>
  <c r="AH195" i="129"/>
  <c r="C195" i="129"/>
  <c r="AH194" i="129"/>
  <c r="N193" i="129"/>
  <c r="O193" i="129" s="1"/>
  <c r="P193" i="129" s="1"/>
  <c r="Q193" i="129" s="1"/>
  <c r="R193" i="129" s="1"/>
  <c r="S193" i="129" s="1"/>
  <c r="T193" i="129" s="1"/>
  <c r="U193" i="129" s="1"/>
  <c r="V193" i="129" s="1"/>
  <c r="W193" i="129" s="1"/>
  <c r="X193" i="129" s="1"/>
  <c r="Y193" i="129" s="1"/>
  <c r="Z193" i="129" s="1"/>
  <c r="AA193" i="129" s="1"/>
  <c r="AB193" i="129" s="1"/>
  <c r="AC193" i="129" s="1"/>
  <c r="AD193" i="129" s="1"/>
  <c r="AE193" i="129" s="1"/>
  <c r="AF193" i="129" s="1"/>
  <c r="AG193" i="129" s="1"/>
  <c r="F193" i="129"/>
  <c r="G193" i="129" s="1"/>
  <c r="H193" i="129" s="1"/>
  <c r="I193" i="129" s="1"/>
  <c r="J193" i="129" s="1"/>
  <c r="K193" i="129" s="1"/>
  <c r="L193" i="129" s="1"/>
  <c r="M193" i="129" s="1"/>
  <c r="E193" i="129"/>
  <c r="AH192" i="129"/>
  <c r="B192" i="129" s="1"/>
  <c r="AD188" i="129"/>
  <c r="AC188" i="129"/>
  <c r="AB188" i="129"/>
  <c r="Z188" i="129"/>
  <c r="X188" i="129"/>
  <c r="W188" i="129"/>
  <c r="U188" i="129"/>
  <c r="P188" i="129"/>
  <c r="M188" i="129"/>
  <c r="K188" i="129"/>
  <c r="J188" i="129"/>
  <c r="E188" i="129"/>
  <c r="AG187" i="129"/>
  <c r="AG188" i="129" s="1"/>
  <c r="AF187" i="129"/>
  <c r="AF188" i="129" s="1"/>
  <c r="AE187" i="129"/>
  <c r="AD187" i="129"/>
  <c r="AC187" i="129"/>
  <c r="AE186" i="129"/>
  <c r="AE188" i="129" s="1"/>
  <c r="AD186" i="129"/>
  <c r="AC186" i="129"/>
  <c r="AD185" i="129"/>
  <c r="AC185" i="129"/>
  <c r="AC184" i="129"/>
  <c r="AB184" i="129"/>
  <c r="AB185" i="129" s="1"/>
  <c r="AB186" i="129" s="1"/>
  <c r="AB187" i="129" s="1"/>
  <c r="AB183" i="129"/>
  <c r="Z183" i="129"/>
  <c r="Z184" i="129" s="1"/>
  <c r="Z185" i="129" s="1"/>
  <c r="Z186" i="129" s="1"/>
  <c r="Z187" i="129" s="1"/>
  <c r="AA182" i="129"/>
  <c r="AA183" i="129" s="1"/>
  <c r="AA184" i="129" s="1"/>
  <c r="AA185" i="129" s="1"/>
  <c r="AA186" i="129" s="1"/>
  <c r="AA187" i="129" s="1"/>
  <c r="Z182" i="129"/>
  <c r="W182" i="129"/>
  <c r="W183" i="129" s="1"/>
  <c r="W184" i="129" s="1"/>
  <c r="W185" i="129" s="1"/>
  <c r="W186" i="129" s="1"/>
  <c r="W187" i="129" s="1"/>
  <c r="Z181" i="129"/>
  <c r="W181" i="129"/>
  <c r="Y180" i="129"/>
  <c r="W180" i="129"/>
  <c r="X179" i="129"/>
  <c r="X180" i="129" s="1"/>
  <c r="X181" i="129" s="1"/>
  <c r="X182" i="129" s="1"/>
  <c r="X183" i="129" s="1"/>
  <c r="X184" i="129" s="1"/>
  <c r="X185" i="129" s="1"/>
  <c r="X186" i="129" s="1"/>
  <c r="X187" i="129" s="1"/>
  <c r="W179" i="129"/>
  <c r="U179" i="129"/>
  <c r="U180" i="129" s="1"/>
  <c r="U181" i="129" s="1"/>
  <c r="U182" i="129" s="1"/>
  <c r="U183" i="129" s="1"/>
  <c r="U184" i="129" s="1"/>
  <c r="U185" i="129" s="1"/>
  <c r="U186" i="129" s="1"/>
  <c r="U187" i="129" s="1"/>
  <c r="AH187" i="129" s="1"/>
  <c r="W178" i="129"/>
  <c r="V177" i="129"/>
  <c r="V188" i="129" s="1"/>
  <c r="U176" i="129"/>
  <c r="U177" i="129" s="1"/>
  <c r="U178" i="129" s="1"/>
  <c r="T175" i="129"/>
  <c r="T188" i="129" s="1"/>
  <c r="S174" i="129"/>
  <c r="R173" i="129"/>
  <c r="R188" i="129" s="1"/>
  <c r="K173" i="129"/>
  <c r="K174" i="129" s="1"/>
  <c r="K175" i="129" s="1"/>
  <c r="K176" i="129" s="1"/>
  <c r="K177" i="129" s="1"/>
  <c r="AH177" i="129" s="1"/>
  <c r="Q172" i="129"/>
  <c r="P172" i="129"/>
  <c r="P173" i="129" s="1"/>
  <c r="P174" i="129" s="1"/>
  <c r="P175" i="129" s="1"/>
  <c r="P176" i="129" s="1"/>
  <c r="P177" i="129" s="1"/>
  <c r="P178" i="129" s="1"/>
  <c r="P179" i="129" s="1"/>
  <c r="P180" i="129" s="1"/>
  <c r="P181" i="129" s="1"/>
  <c r="P182" i="129" s="1"/>
  <c r="AH182" i="129" s="1"/>
  <c r="M172" i="129"/>
  <c r="M173" i="129" s="1"/>
  <c r="M174" i="129" s="1"/>
  <c r="M175" i="129" s="1"/>
  <c r="M176" i="129" s="1"/>
  <c r="M177" i="129" s="1"/>
  <c r="M178" i="129" s="1"/>
  <c r="M179" i="129" s="1"/>
  <c r="AH179" i="129" s="1"/>
  <c r="P171" i="129"/>
  <c r="K171" i="129"/>
  <c r="K172" i="129" s="1"/>
  <c r="O170" i="129"/>
  <c r="O188" i="129" s="1"/>
  <c r="M170" i="129"/>
  <c r="M171" i="129" s="1"/>
  <c r="N169" i="129"/>
  <c r="M169" i="129"/>
  <c r="M168" i="129"/>
  <c r="L167" i="129"/>
  <c r="K166" i="129"/>
  <c r="K167" i="129" s="1"/>
  <c r="K168" i="129" s="1"/>
  <c r="K169" i="129" s="1"/>
  <c r="K170" i="129" s="1"/>
  <c r="J166" i="129"/>
  <c r="J167" i="129" s="1"/>
  <c r="J168" i="129" s="1"/>
  <c r="J169" i="129" s="1"/>
  <c r="J170" i="129" s="1"/>
  <c r="J171" i="129" s="1"/>
  <c r="J172" i="129" s="1"/>
  <c r="J173" i="129" s="1"/>
  <c r="J174" i="129" s="1"/>
  <c r="J175" i="129" s="1"/>
  <c r="J176" i="129" s="1"/>
  <c r="AH176" i="129" s="1"/>
  <c r="J165" i="129"/>
  <c r="I164" i="129"/>
  <c r="H164" i="129"/>
  <c r="H165" i="129" s="1"/>
  <c r="H166" i="129" s="1"/>
  <c r="H167" i="129" s="1"/>
  <c r="H168" i="129" s="1"/>
  <c r="H169" i="129" s="1"/>
  <c r="H170" i="129" s="1"/>
  <c r="H171" i="129" s="1"/>
  <c r="H172" i="129" s="1"/>
  <c r="H173" i="129" s="1"/>
  <c r="H174" i="129" s="1"/>
  <c r="AH174" i="129" s="1"/>
  <c r="H163" i="129"/>
  <c r="H188" i="129" s="1"/>
  <c r="G162" i="129"/>
  <c r="E162" i="129"/>
  <c r="E163" i="129" s="1"/>
  <c r="E164" i="129" s="1"/>
  <c r="E165" i="129" s="1"/>
  <c r="E166" i="129" s="1"/>
  <c r="E167" i="129" s="1"/>
  <c r="E168" i="129" s="1"/>
  <c r="E169" i="129" s="1"/>
  <c r="E170" i="129" s="1"/>
  <c r="E171" i="129" s="1"/>
  <c r="AH171" i="129" s="1"/>
  <c r="F161" i="129"/>
  <c r="F188" i="129" s="1"/>
  <c r="E160" i="129"/>
  <c r="E161" i="129" s="1"/>
  <c r="D159" i="129"/>
  <c r="AH158" i="129"/>
  <c r="C158" i="129"/>
  <c r="C159" i="129" s="1"/>
  <c r="C160" i="129" s="1"/>
  <c r="C161" i="129" s="1"/>
  <c r="C162" i="129" s="1"/>
  <c r="C163" i="129" s="1"/>
  <c r="C164" i="129" s="1"/>
  <c r="C165" i="129" s="1"/>
  <c r="C166" i="129" s="1"/>
  <c r="C167" i="129" s="1"/>
  <c r="C168" i="129" s="1"/>
  <c r="C169" i="129" s="1"/>
  <c r="C170" i="129" s="1"/>
  <c r="C171" i="129" s="1"/>
  <c r="C172" i="129" s="1"/>
  <c r="C173" i="129" s="1"/>
  <c r="C174" i="129" s="1"/>
  <c r="C175" i="129" s="1"/>
  <c r="C176" i="129" s="1"/>
  <c r="C177" i="129" s="1"/>
  <c r="C178" i="129" s="1"/>
  <c r="C179" i="129" s="1"/>
  <c r="C180" i="129" s="1"/>
  <c r="C181" i="129" s="1"/>
  <c r="C182" i="129" s="1"/>
  <c r="C183" i="129" s="1"/>
  <c r="C184" i="129" s="1"/>
  <c r="C185" i="129" s="1"/>
  <c r="C186" i="129" s="1"/>
  <c r="C187" i="129" s="1"/>
  <c r="AH157" i="129"/>
  <c r="E156" i="129"/>
  <c r="F156" i="129" s="1"/>
  <c r="G156" i="129" s="1"/>
  <c r="H156" i="129" s="1"/>
  <c r="I156" i="129" s="1"/>
  <c r="J156" i="129" s="1"/>
  <c r="K156" i="129" s="1"/>
  <c r="L156" i="129" s="1"/>
  <c r="M156" i="129" s="1"/>
  <c r="N156" i="129" s="1"/>
  <c r="O156" i="129" s="1"/>
  <c r="P156" i="129" s="1"/>
  <c r="Q156" i="129" s="1"/>
  <c r="R156" i="129" s="1"/>
  <c r="S156" i="129" s="1"/>
  <c r="T156" i="129" s="1"/>
  <c r="U156" i="129" s="1"/>
  <c r="V156" i="129" s="1"/>
  <c r="W156" i="129" s="1"/>
  <c r="X156" i="129" s="1"/>
  <c r="Y156" i="129" s="1"/>
  <c r="Z156" i="129" s="1"/>
  <c r="AA156" i="129" s="1"/>
  <c r="AB156" i="129" s="1"/>
  <c r="AC156" i="129" s="1"/>
  <c r="AD156" i="129" s="1"/>
  <c r="AE156" i="129" s="1"/>
  <c r="AF156" i="129" s="1"/>
  <c r="AG156" i="129" s="1"/>
  <c r="AH155" i="129"/>
  <c r="B155" i="129"/>
  <c r="AG151" i="129"/>
  <c r="AE151" i="129"/>
  <c r="AB151" i="129"/>
  <c r="AA151" i="129"/>
  <c r="Z151" i="129"/>
  <c r="Y151" i="129"/>
  <c r="W151" i="129"/>
  <c r="S151" i="129"/>
  <c r="Q151" i="129"/>
  <c r="P151" i="129"/>
  <c r="M151" i="129"/>
  <c r="G151" i="129"/>
  <c r="AF150" i="129"/>
  <c r="AF151" i="129" s="1"/>
  <c r="AE150" i="129"/>
  <c r="AC150" i="129"/>
  <c r="AE149" i="129"/>
  <c r="AA149" i="129"/>
  <c r="AA150" i="129" s="1"/>
  <c r="AD148" i="129"/>
  <c r="AC147" i="129"/>
  <c r="AC148" i="129" s="1"/>
  <c r="AC149" i="129" s="1"/>
  <c r="AB147" i="129"/>
  <c r="AB148" i="129" s="1"/>
  <c r="AB149" i="129" s="1"/>
  <c r="AB150" i="129" s="1"/>
  <c r="Y147" i="129"/>
  <c r="Y148" i="129" s="1"/>
  <c r="Y149" i="129" s="1"/>
  <c r="Y150" i="129" s="1"/>
  <c r="AB146" i="129"/>
  <c r="AA146" i="129"/>
  <c r="AA147" i="129" s="1"/>
  <c r="AA148" i="129" s="1"/>
  <c r="AA145" i="129"/>
  <c r="Z145" i="129"/>
  <c r="Z146" i="129" s="1"/>
  <c r="Z147" i="129" s="1"/>
  <c r="Z148" i="129" s="1"/>
  <c r="Z149" i="129" s="1"/>
  <c r="Z150" i="129" s="1"/>
  <c r="Z144" i="129"/>
  <c r="Y143" i="129"/>
  <c r="Y144" i="129" s="1"/>
  <c r="Y145" i="129" s="1"/>
  <c r="Y146" i="129" s="1"/>
  <c r="W143" i="129"/>
  <c r="W144" i="129" s="1"/>
  <c r="W145" i="129" s="1"/>
  <c r="W146" i="129" s="1"/>
  <c r="W147" i="129" s="1"/>
  <c r="W148" i="129" s="1"/>
  <c r="W149" i="129" s="1"/>
  <c r="W150" i="129" s="1"/>
  <c r="X142" i="129"/>
  <c r="W141" i="129"/>
  <c r="W142" i="129" s="1"/>
  <c r="T141" i="129"/>
  <c r="T142" i="129" s="1"/>
  <c r="T143" i="129" s="1"/>
  <c r="T144" i="129" s="1"/>
  <c r="T145" i="129" s="1"/>
  <c r="T146" i="129" s="1"/>
  <c r="T147" i="129" s="1"/>
  <c r="T148" i="129" s="1"/>
  <c r="T149" i="129" s="1"/>
  <c r="T150" i="129" s="1"/>
  <c r="V140" i="129"/>
  <c r="T140" i="129"/>
  <c r="U139" i="129"/>
  <c r="T139" i="129"/>
  <c r="S139" i="129"/>
  <c r="S140" i="129" s="1"/>
  <c r="S141" i="129" s="1"/>
  <c r="S142" i="129" s="1"/>
  <c r="S143" i="129" s="1"/>
  <c r="S144" i="129" s="1"/>
  <c r="S145" i="129" s="1"/>
  <c r="S146" i="129" s="1"/>
  <c r="S147" i="129" s="1"/>
  <c r="S148" i="129" s="1"/>
  <c r="S149" i="129" s="1"/>
  <c r="S150" i="129" s="1"/>
  <c r="T138" i="129"/>
  <c r="T151" i="129" s="1"/>
  <c r="S138" i="129"/>
  <c r="S137" i="129"/>
  <c r="R137" i="129"/>
  <c r="R138" i="129" s="1"/>
  <c r="R139" i="129" s="1"/>
  <c r="R140" i="129" s="1"/>
  <c r="R141" i="129" s="1"/>
  <c r="R142" i="129" s="1"/>
  <c r="R143" i="129" s="1"/>
  <c r="R144" i="129" s="1"/>
  <c r="R145" i="129" s="1"/>
  <c r="R146" i="129" s="1"/>
  <c r="R147" i="129" s="1"/>
  <c r="R148" i="129" s="1"/>
  <c r="R149" i="129" s="1"/>
  <c r="R150" i="129" s="1"/>
  <c r="AH150" i="129" s="1"/>
  <c r="R136" i="129"/>
  <c r="R151" i="129" s="1"/>
  <c r="Q136" i="129"/>
  <c r="Q137" i="129" s="1"/>
  <c r="Q138" i="129" s="1"/>
  <c r="Q139" i="129" s="1"/>
  <c r="Q140" i="129" s="1"/>
  <c r="Q141" i="129" s="1"/>
  <c r="Q142" i="129" s="1"/>
  <c r="Q143" i="129" s="1"/>
  <c r="Q144" i="129" s="1"/>
  <c r="Q145" i="129" s="1"/>
  <c r="Q146" i="129" s="1"/>
  <c r="Q147" i="129" s="1"/>
  <c r="Q148" i="129" s="1"/>
  <c r="Q149" i="129" s="1"/>
  <c r="AH149" i="129" s="1"/>
  <c r="Q135" i="129"/>
  <c r="P134" i="129"/>
  <c r="P135" i="129" s="1"/>
  <c r="P136" i="129" s="1"/>
  <c r="P137" i="129" s="1"/>
  <c r="P138" i="129" s="1"/>
  <c r="P139" i="129" s="1"/>
  <c r="P140" i="129" s="1"/>
  <c r="P141" i="129" s="1"/>
  <c r="P142" i="129" s="1"/>
  <c r="P143" i="129" s="1"/>
  <c r="P144" i="129" s="1"/>
  <c r="P145" i="129" s="1"/>
  <c r="P146" i="129" s="1"/>
  <c r="P147" i="129" s="1"/>
  <c r="P148" i="129" s="1"/>
  <c r="AH148" i="129" s="1"/>
  <c r="O133" i="129"/>
  <c r="N132" i="129"/>
  <c r="N151" i="129" s="1"/>
  <c r="M132" i="129"/>
  <c r="M133" i="129" s="1"/>
  <c r="M134" i="129" s="1"/>
  <c r="M135" i="129" s="1"/>
  <c r="M136" i="129" s="1"/>
  <c r="M137" i="129" s="1"/>
  <c r="M138" i="129" s="1"/>
  <c r="M139" i="129" s="1"/>
  <c r="M140" i="129" s="1"/>
  <c r="M141" i="129" s="1"/>
  <c r="M142" i="129" s="1"/>
  <c r="M143" i="129" s="1"/>
  <c r="M144" i="129" s="1"/>
  <c r="M145" i="129" s="1"/>
  <c r="AH145" i="129" s="1"/>
  <c r="M131" i="129"/>
  <c r="L130" i="129"/>
  <c r="L151" i="129" s="1"/>
  <c r="F130" i="129"/>
  <c r="F131" i="129" s="1"/>
  <c r="F132" i="129" s="1"/>
  <c r="F133" i="129" s="1"/>
  <c r="F134" i="129" s="1"/>
  <c r="F135" i="129" s="1"/>
  <c r="F136" i="129" s="1"/>
  <c r="F137" i="129" s="1"/>
  <c r="F138" i="129" s="1"/>
  <c r="AH138" i="129" s="1"/>
  <c r="K129" i="129"/>
  <c r="I129" i="129"/>
  <c r="I130" i="129" s="1"/>
  <c r="I131" i="129" s="1"/>
  <c r="I132" i="129" s="1"/>
  <c r="I133" i="129" s="1"/>
  <c r="I134" i="129" s="1"/>
  <c r="I135" i="129" s="1"/>
  <c r="I136" i="129" s="1"/>
  <c r="I137" i="129" s="1"/>
  <c r="I138" i="129" s="1"/>
  <c r="I139" i="129" s="1"/>
  <c r="I140" i="129" s="1"/>
  <c r="I141" i="129" s="1"/>
  <c r="AH141" i="129" s="1"/>
  <c r="H129" i="129"/>
  <c r="H130" i="129" s="1"/>
  <c r="H131" i="129" s="1"/>
  <c r="H132" i="129" s="1"/>
  <c r="H133" i="129" s="1"/>
  <c r="H134" i="129" s="1"/>
  <c r="H135" i="129" s="1"/>
  <c r="H136" i="129" s="1"/>
  <c r="H137" i="129" s="1"/>
  <c r="H138" i="129" s="1"/>
  <c r="H139" i="129" s="1"/>
  <c r="H140" i="129" s="1"/>
  <c r="AH140" i="129" s="1"/>
  <c r="J128" i="129"/>
  <c r="I128" i="129"/>
  <c r="I127" i="129"/>
  <c r="I151" i="129" s="1"/>
  <c r="H127" i="129"/>
  <c r="H128" i="129" s="1"/>
  <c r="F127" i="129"/>
  <c r="F128" i="129" s="1"/>
  <c r="F129" i="129" s="1"/>
  <c r="H126" i="129"/>
  <c r="H151" i="129" s="1"/>
  <c r="G126" i="129"/>
  <c r="G127" i="129" s="1"/>
  <c r="G128" i="129" s="1"/>
  <c r="G129" i="129" s="1"/>
  <c r="G130" i="129" s="1"/>
  <c r="G131" i="129" s="1"/>
  <c r="G132" i="129" s="1"/>
  <c r="G133" i="129" s="1"/>
  <c r="G134" i="129" s="1"/>
  <c r="G135" i="129" s="1"/>
  <c r="G136" i="129" s="1"/>
  <c r="G137" i="129" s="1"/>
  <c r="G138" i="129" s="1"/>
  <c r="G139" i="129" s="1"/>
  <c r="AH139" i="129" s="1"/>
  <c r="G125" i="129"/>
  <c r="F125" i="129"/>
  <c r="F126" i="129" s="1"/>
  <c r="F124" i="129"/>
  <c r="F151" i="129" s="1"/>
  <c r="D124" i="129"/>
  <c r="E123" i="129"/>
  <c r="D123" i="129"/>
  <c r="AH123" i="129" s="1"/>
  <c r="C123" i="129"/>
  <c r="C124" i="129" s="1"/>
  <c r="C125" i="129" s="1"/>
  <c r="C126" i="129" s="1"/>
  <c r="C127" i="129" s="1"/>
  <c r="C128" i="129" s="1"/>
  <c r="C129" i="129" s="1"/>
  <c r="C130" i="129" s="1"/>
  <c r="C131" i="129" s="1"/>
  <c r="C132" i="129" s="1"/>
  <c r="C133" i="129" s="1"/>
  <c r="C134" i="129" s="1"/>
  <c r="C135" i="129" s="1"/>
  <c r="C136" i="129" s="1"/>
  <c r="C137" i="129" s="1"/>
  <c r="C138" i="129" s="1"/>
  <c r="C139" i="129" s="1"/>
  <c r="C140" i="129" s="1"/>
  <c r="C141" i="129" s="1"/>
  <c r="C142" i="129" s="1"/>
  <c r="C143" i="129" s="1"/>
  <c r="C144" i="129" s="1"/>
  <c r="C145" i="129" s="1"/>
  <c r="C146" i="129" s="1"/>
  <c r="C147" i="129" s="1"/>
  <c r="C148" i="129" s="1"/>
  <c r="C149" i="129" s="1"/>
  <c r="C150" i="129" s="1"/>
  <c r="AH122" i="129"/>
  <c r="D122" i="129"/>
  <c r="D151" i="129" s="1"/>
  <c r="AH121" i="129"/>
  <c r="C121" i="129"/>
  <c r="C122" i="129" s="1"/>
  <c r="AH120" i="129"/>
  <c r="E119" i="129"/>
  <c r="F119" i="129" s="1"/>
  <c r="G119" i="129" s="1"/>
  <c r="H119" i="129" s="1"/>
  <c r="I119" i="129" s="1"/>
  <c r="J119" i="129" s="1"/>
  <c r="K119" i="129" s="1"/>
  <c r="L119" i="129" s="1"/>
  <c r="M119" i="129" s="1"/>
  <c r="N119" i="129" s="1"/>
  <c r="O119" i="129" s="1"/>
  <c r="P119" i="129" s="1"/>
  <c r="Q119" i="129" s="1"/>
  <c r="R119" i="129" s="1"/>
  <c r="S119" i="129" s="1"/>
  <c r="T119" i="129" s="1"/>
  <c r="U119" i="129" s="1"/>
  <c r="V119" i="129" s="1"/>
  <c r="W119" i="129" s="1"/>
  <c r="X119" i="129" s="1"/>
  <c r="Y119" i="129" s="1"/>
  <c r="Z119" i="129" s="1"/>
  <c r="AA119" i="129" s="1"/>
  <c r="AB119" i="129" s="1"/>
  <c r="AC119" i="129" s="1"/>
  <c r="AD119" i="129" s="1"/>
  <c r="AE119" i="129" s="1"/>
  <c r="AF119" i="129" s="1"/>
  <c r="AG119" i="129" s="1"/>
  <c r="AH118" i="129"/>
  <c r="B118" i="129"/>
  <c r="AH114" i="129"/>
  <c r="AG114" i="129"/>
  <c r="AF114" i="129"/>
  <c r="AE114" i="129"/>
  <c r="AB114" i="129"/>
  <c r="Z114" i="129"/>
  <c r="W114" i="129"/>
  <c r="V114" i="129"/>
  <c r="U114" i="129"/>
  <c r="T114" i="129"/>
  <c r="S114" i="129"/>
  <c r="Q114" i="129"/>
  <c r="O114" i="129"/>
  <c r="D114" i="129"/>
  <c r="AG113" i="129"/>
  <c r="AF113" i="129"/>
  <c r="AE113" i="129"/>
  <c r="AB113" i="129"/>
  <c r="AE112" i="129"/>
  <c r="AB112" i="129"/>
  <c r="AD111" i="129"/>
  <c r="AC111" i="129"/>
  <c r="AC112" i="129" s="1"/>
  <c r="AC113" i="129" s="1"/>
  <c r="AB111" i="129"/>
  <c r="AC110" i="129"/>
  <c r="AC114" i="129" s="1"/>
  <c r="T110" i="129"/>
  <c r="T111" i="129" s="1"/>
  <c r="T112" i="129" s="1"/>
  <c r="T113" i="129" s="1"/>
  <c r="AB109" i="129"/>
  <c r="AB110" i="129" s="1"/>
  <c r="Z109" i="129"/>
  <c r="Z110" i="129" s="1"/>
  <c r="Z111" i="129" s="1"/>
  <c r="Z112" i="129" s="1"/>
  <c r="Z113" i="129" s="1"/>
  <c r="AA108" i="129"/>
  <c r="AA114" i="129" s="1"/>
  <c r="Z108" i="129"/>
  <c r="Z107" i="129"/>
  <c r="Y106" i="129"/>
  <c r="Y114" i="129" s="1"/>
  <c r="V106" i="129"/>
  <c r="V107" i="129" s="1"/>
  <c r="V108" i="129" s="1"/>
  <c r="V109" i="129" s="1"/>
  <c r="V110" i="129" s="1"/>
  <c r="V111" i="129" s="1"/>
  <c r="V112" i="129" s="1"/>
  <c r="V113" i="129" s="1"/>
  <c r="T106" i="129"/>
  <c r="T107" i="129" s="1"/>
  <c r="T108" i="129" s="1"/>
  <c r="T109" i="129" s="1"/>
  <c r="X105" i="129"/>
  <c r="X114" i="129" s="1"/>
  <c r="W105" i="129"/>
  <c r="W106" i="129" s="1"/>
  <c r="W107" i="129" s="1"/>
  <c r="W108" i="129" s="1"/>
  <c r="W109" i="129" s="1"/>
  <c r="W110" i="129" s="1"/>
  <c r="W111" i="129" s="1"/>
  <c r="W112" i="129" s="1"/>
  <c r="W113" i="129" s="1"/>
  <c r="W104" i="129"/>
  <c r="V104" i="129"/>
  <c r="V105" i="129" s="1"/>
  <c r="S104" i="129"/>
  <c r="S105" i="129" s="1"/>
  <c r="S106" i="129" s="1"/>
  <c r="S107" i="129" s="1"/>
  <c r="S108" i="129" s="1"/>
  <c r="S109" i="129" s="1"/>
  <c r="S110" i="129" s="1"/>
  <c r="S111" i="129" s="1"/>
  <c r="S112" i="129" s="1"/>
  <c r="S113" i="129" s="1"/>
  <c r="Q104" i="129"/>
  <c r="Q105" i="129" s="1"/>
  <c r="Q106" i="129" s="1"/>
  <c r="Q107" i="129" s="1"/>
  <c r="Q108" i="129" s="1"/>
  <c r="Q109" i="129" s="1"/>
  <c r="Q110" i="129" s="1"/>
  <c r="Q111" i="129" s="1"/>
  <c r="Q112" i="129" s="1"/>
  <c r="Q113" i="129" s="1"/>
  <c r="V103" i="129"/>
  <c r="U103" i="129"/>
  <c r="U104" i="129" s="1"/>
  <c r="U105" i="129" s="1"/>
  <c r="U106" i="129" s="1"/>
  <c r="U107" i="129" s="1"/>
  <c r="U108" i="129" s="1"/>
  <c r="U109" i="129" s="1"/>
  <c r="U110" i="129" s="1"/>
  <c r="U111" i="129" s="1"/>
  <c r="U112" i="129" s="1"/>
  <c r="U113" i="129" s="1"/>
  <c r="U102" i="129"/>
  <c r="T102" i="129"/>
  <c r="T103" i="129" s="1"/>
  <c r="T104" i="129" s="1"/>
  <c r="T105" i="129" s="1"/>
  <c r="S102" i="129"/>
  <c r="S103" i="129" s="1"/>
  <c r="L102" i="129"/>
  <c r="L103" i="129" s="1"/>
  <c r="L104" i="129" s="1"/>
  <c r="L105" i="129" s="1"/>
  <c r="L106" i="129" s="1"/>
  <c r="L107" i="129" s="1"/>
  <c r="L108" i="129" s="1"/>
  <c r="L109" i="129" s="1"/>
  <c r="L110" i="129" s="1"/>
  <c r="L111" i="129" s="1"/>
  <c r="L112" i="129" s="1"/>
  <c r="AH112" i="129" s="1"/>
  <c r="T101" i="129"/>
  <c r="S101" i="129"/>
  <c r="S100" i="129"/>
  <c r="R100" i="129"/>
  <c r="R101" i="129" s="1"/>
  <c r="R102" i="129" s="1"/>
  <c r="R103" i="129" s="1"/>
  <c r="R104" i="129" s="1"/>
  <c r="R105" i="129" s="1"/>
  <c r="R106" i="129" s="1"/>
  <c r="R107" i="129" s="1"/>
  <c r="R108" i="129" s="1"/>
  <c r="R109" i="129" s="1"/>
  <c r="R110" i="129" s="1"/>
  <c r="R111" i="129" s="1"/>
  <c r="R112" i="129" s="1"/>
  <c r="R113" i="129" s="1"/>
  <c r="Q100" i="129"/>
  <c r="Q101" i="129" s="1"/>
  <c r="Q102" i="129" s="1"/>
  <c r="Q103" i="129" s="1"/>
  <c r="R99" i="129"/>
  <c r="R114" i="129" s="1"/>
  <c r="Q99" i="129"/>
  <c r="Q98" i="129"/>
  <c r="P97" i="129"/>
  <c r="O96" i="129"/>
  <c r="O97" i="129" s="1"/>
  <c r="O98" i="129" s="1"/>
  <c r="O99" i="129" s="1"/>
  <c r="O100" i="129" s="1"/>
  <c r="O101" i="129" s="1"/>
  <c r="O102" i="129" s="1"/>
  <c r="O103" i="129" s="1"/>
  <c r="O104" i="129" s="1"/>
  <c r="O105" i="129" s="1"/>
  <c r="O106" i="129" s="1"/>
  <c r="O107" i="129" s="1"/>
  <c r="O108" i="129" s="1"/>
  <c r="O109" i="129" s="1"/>
  <c r="O110" i="129" s="1"/>
  <c r="O111" i="129" s="1"/>
  <c r="O112" i="129" s="1"/>
  <c r="O113" i="129" s="1"/>
  <c r="M96" i="129"/>
  <c r="M97" i="129" s="1"/>
  <c r="M98" i="129" s="1"/>
  <c r="M99" i="129" s="1"/>
  <c r="M100" i="129" s="1"/>
  <c r="M101" i="129" s="1"/>
  <c r="M102" i="129" s="1"/>
  <c r="M103" i="129" s="1"/>
  <c r="M104" i="129" s="1"/>
  <c r="M105" i="129" s="1"/>
  <c r="M106" i="129" s="1"/>
  <c r="M107" i="129" s="1"/>
  <c r="M108" i="129" s="1"/>
  <c r="M109" i="129" s="1"/>
  <c r="M110" i="129" s="1"/>
  <c r="M111" i="129" s="1"/>
  <c r="M112" i="129" s="1"/>
  <c r="M113" i="129" s="1"/>
  <c r="AH113" i="129" s="1"/>
  <c r="L96" i="129"/>
  <c r="L97" i="129" s="1"/>
  <c r="L98" i="129" s="1"/>
  <c r="L99" i="129" s="1"/>
  <c r="L100" i="129" s="1"/>
  <c r="L101" i="129" s="1"/>
  <c r="N95" i="129"/>
  <c r="N114" i="129" s="1"/>
  <c r="M94" i="129"/>
  <c r="M95" i="129" s="1"/>
  <c r="L94" i="129"/>
  <c r="L95" i="129" s="1"/>
  <c r="L93" i="129"/>
  <c r="L114" i="129" s="1"/>
  <c r="G93" i="129"/>
  <c r="G94" i="129" s="1"/>
  <c r="G95" i="129" s="1"/>
  <c r="G96" i="129" s="1"/>
  <c r="G97" i="129" s="1"/>
  <c r="G98" i="129" s="1"/>
  <c r="G99" i="129" s="1"/>
  <c r="G100" i="129" s="1"/>
  <c r="G101" i="129" s="1"/>
  <c r="G102" i="129" s="1"/>
  <c r="G103" i="129" s="1"/>
  <c r="G104" i="129" s="1"/>
  <c r="G105" i="129" s="1"/>
  <c r="G106" i="129" s="1"/>
  <c r="G107" i="129" s="1"/>
  <c r="AH107" i="129" s="1"/>
  <c r="K92" i="129"/>
  <c r="J91" i="129"/>
  <c r="J114" i="129" s="1"/>
  <c r="I90" i="129"/>
  <c r="H90" i="129"/>
  <c r="H91" i="129" s="1"/>
  <c r="H92" i="129" s="1"/>
  <c r="H93" i="129" s="1"/>
  <c r="H94" i="129" s="1"/>
  <c r="H95" i="129" s="1"/>
  <c r="H96" i="129" s="1"/>
  <c r="H97" i="129" s="1"/>
  <c r="H98" i="129" s="1"/>
  <c r="H99" i="129" s="1"/>
  <c r="H100" i="129" s="1"/>
  <c r="H101" i="129" s="1"/>
  <c r="H102" i="129" s="1"/>
  <c r="H103" i="129" s="1"/>
  <c r="H104" i="129" s="1"/>
  <c r="H105" i="129" s="1"/>
  <c r="H106" i="129" s="1"/>
  <c r="H107" i="129" s="1"/>
  <c r="H108" i="129" s="1"/>
  <c r="AH108" i="129" s="1"/>
  <c r="G90" i="129"/>
  <c r="G91" i="129" s="1"/>
  <c r="G92" i="129" s="1"/>
  <c r="H89" i="129"/>
  <c r="H114" i="129" s="1"/>
  <c r="F89" i="129"/>
  <c r="F90" i="129" s="1"/>
  <c r="F91" i="129" s="1"/>
  <c r="F92" i="129" s="1"/>
  <c r="F93" i="129" s="1"/>
  <c r="F94" i="129" s="1"/>
  <c r="F95" i="129" s="1"/>
  <c r="F96" i="129" s="1"/>
  <c r="F97" i="129" s="1"/>
  <c r="F98" i="129" s="1"/>
  <c r="F99" i="129" s="1"/>
  <c r="F100" i="129" s="1"/>
  <c r="F101" i="129" s="1"/>
  <c r="F102" i="129" s="1"/>
  <c r="F103" i="129" s="1"/>
  <c r="F104" i="129" s="1"/>
  <c r="F105" i="129" s="1"/>
  <c r="F106" i="129" s="1"/>
  <c r="AH106" i="129" s="1"/>
  <c r="D89" i="129"/>
  <c r="D90" i="129" s="1"/>
  <c r="G88" i="129"/>
  <c r="G89" i="129" s="1"/>
  <c r="F88" i="129"/>
  <c r="C88" i="129"/>
  <c r="C89" i="129" s="1"/>
  <c r="C90" i="129" s="1"/>
  <c r="C91" i="129" s="1"/>
  <c r="C92" i="129" s="1"/>
  <c r="C93" i="129" s="1"/>
  <c r="C94" i="129" s="1"/>
  <c r="C95" i="129" s="1"/>
  <c r="C96" i="129" s="1"/>
  <c r="C97" i="129" s="1"/>
  <c r="C98" i="129" s="1"/>
  <c r="C99" i="129" s="1"/>
  <c r="C100" i="129" s="1"/>
  <c r="C101" i="129" s="1"/>
  <c r="C102" i="129" s="1"/>
  <c r="C103" i="129" s="1"/>
  <c r="C104" i="129" s="1"/>
  <c r="C105" i="129" s="1"/>
  <c r="C106" i="129" s="1"/>
  <c r="C107" i="129" s="1"/>
  <c r="C108" i="129" s="1"/>
  <c r="C109" i="129" s="1"/>
  <c r="C110" i="129" s="1"/>
  <c r="C111" i="129" s="1"/>
  <c r="C112" i="129" s="1"/>
  <c r="C113" i="129" s="1"/>
  <c r="AH87" i="129"/>
  <c r="F87" i="129"/>
  <c r="F114" i="129" s="1"/>
  <c r="AH86" i="129"/>
  <c r="E86" i="129"/>
  <c r="E87" i="129" s="1"/>
  <c r="E88" i="129" s="1"/>
  <c r="E89" i="129" s="1"/>
  <c r="E90" i="129" s="1"/>
  <c r="E91" i="129" s="1"/>
  <c r="E92" i="129" s="1"/>
  <c r="E93" i="129" s="1"/>
  <c r="E94" i="129" s="1"/>
  <c r="E95" i="129" s="1"/>
  <c r="E96" i="129" s="1"/>
  <c r="E97" i="129" s="1"/>
  <c r="E98" i="129" s="1"/>
  <c r="E99" i="129" s="1"/>
  <c r="E100" i="129" s="1"/>
  <c r="E101" i="129" s="1"/>
  <c r="E102" i="129" s="1"/>
  <c r="E103" i="129" s="1"/>
  <c r="E104" i="129" s="1"/>
  <c r="E105" i="129" s="1"/>
  <c r="AH105" i="129" s="1"/>
  <c r="D86" i="129"/>
  <c r="D87" i="129" s="1"/>
  <c r="D88" i="129" s="1"/>
  <c r="AH88" i="129" s="1"/>
  <c r="AH85" i="129"/>
  <c r="D85" i="129"/>
  <c r="C85" i="129"/>
  <c r="C86" i="129" s="1"/>
  <c r="C87" i="129" s="1"/>
  <c r="AH84" i="129"/>
  <c r="AH83" i="129"/>
  <c r="C83" i="129"/>
  <c r="C84" i="129" s="1"/>
  <c r="E82" i="129"/>
  <c r="F82" i="129" s="1"/>
  <c r="G82" i="129" s="1"/>
  <c r="H82" i="129" s="1"/>
  <c r="I82" i="129" s="1"/>
  <c r="J82" i="129" s="1"/>
  <c r="K82" i="129" s="1"/>
  <c r="L82" i="129" s="1"/>
  <c r="M82" i="129" s="1"/>
  <c r="N82" i="129" s="1"/>
  <c r="O82" i="129" s="1"/>
  <c r="P82" i="129" s="1"/>
  <c r="Q82" i="129" s="1"/>
  <c r="R82" i="129" s="1"/>
  <c r="S82" i="129" s="1"/>
  <c r="T82" i="129" s="1"/>
  <c r="U82" i="129" s="1"/>
  <c r="V82" i="129" s="1"/>
  <c r="W82" i="129" s="1"/>
  <c r="X82" i="129" s="1"/>
  <c r="Y82" i="129" s="1"/>
  <c r="Z82" i="129" s="1"/>
  <c r="AA82" i="129" s="1"/>
  <c r="AB82" i="129" s="1"/>
  <c r="AC82" i="129" s="1"/>
  <c r="AD82" i="129" s="1"/>
  <c r="AE82" i="129" s="1"/>
  <c r="AF82" i="129" s="1"/>
  <c r="AG82" i="129" s="1"/>
  <c r="AH81" i="129"/>
  <c r="B81" i="129" s="1"/>
  <c r="AG77" i="129"/>
  <c r="AD77" i="129"/>
  <c r="AC77" i="129"/>
  <c r="Y77" i="129"/>
  <c r="X77" i="129"/>
  <c r="T77" i="129"/>
  <c r="P77" i="129"/>
  <c r="O77" i="129"/>
  <c r="N77" i="129"/>
  <c r="K77" i="129"/>
  <c r="J77" i="129"/>
  <c r="F77" i="129"/>
  <c r="AG76" i="129"/>
  <c r="AF76" i="129"/>
  <c r="AF77" i="129" s="1"/>
  <c r="AE76" i="129"/>
  <c r="AD76" i="129"/>
  <c r="AE75" i="129"/>
  <c r="AE77" i="129" s="1"/>
  <c r="X75" i="129"/>
  <c r="X76" i="129" s="1"/>
  <c r="AD74" i="129"/>
  <c r="AD75" i="129" s="1"/>
  <c r="W74" i="129"/>
  <c r="W75" i="129" s="1"/>
  <c r="W76" i="129" s="1"/>
  <c r="AC73" i="129"/>
  <c r="AC74" i="129" s="1"/>
  <c r="AC75" i="129" s="1"/>
  <c r="AC76" i="129" s="1"/>
  <c r="AB72" i="129"/>
  <c r="AB73" i="129" s="1"/>
  <c r="AB74" i="129" s="1"/>
  <c r="AB75" i="129" s="1"/>
  <c r="AB76" i="129" s="1"/>
  <c r="AA71" i="129"/>
  <c r="AA77" i="129" s="1"/>
  <c r="Z70" i="129"/>
  <c r="X70" i="129"/>
  <c r="X71" i="129" s="1"/>
  <c r="X72" i="129" s="1"/>
  <c r="X73" i="129" s="1"/>
  <c r="X74" i="129" s="1"/>
  <c r="Y69" i="129"/>
  <c r="Y70" i="129" s="1"/>
  <c r="Y71" i="129" s="1"/>
  <c r="Y72" i="129" s="1"/>
  <c r="Y73" i="129" s="1"/>
  <c r="Y74" i="129" s="1"/>
  <c r="Y75" i="129" s="1"/>
  <c r="Y76" i="129" s="1"/>
  <c r="X69" i="129"/>
  <c r="X68" i="129"/>
  <c r="W67" i="129"/>
  <c r="W68" i="129" s="1"/>
  <c r="W69" i="129" s="1"/>
  <c r="W70" i="129" s="1"/>
  <c r="W71" i="129" s="1"/>
  <c r="W72" i="129" s="1"/>
  <c r="W73" i="129" s="1"/>
  <c r="T67" i="129"/>
  <c r="T68" i="129" s="1"/>
  <c r="T69" i="129" s="1"/>
  <c r="T70" i="129" s="1"/>
  <c r="T71" i="129" s="1"/>
  <c r="T72" i="129" s="1"/>
  <c r="T73" i="129" s="1"/>
  <c r="T74" i="129" s="1"/>
  <c r="T75" i="129" s="1"/>
  <c r="T76" i="129" s="1"/>
  <c r="V66" i="129"/>
  <c r="T66" i="129"/>
  <c r="O66" i="129"/>
  <c r="O67" i="129" s="1"/>
  <c r="O68" i="129" s="1"/>
  <c r="O69" i="129" s="1"/>
  <c r="O70" i="129" s="1"/>
  <c r="O71" i="129" s="1"/>
  <c r="O72" i="129" s="1"/>
  <c r="O73" i="129" s="1"/>
  <c r="O74" i="129" s="1"/>
  <c r="O75" i="129" s="1"/>
  <c r="O76" i="129" s="1"/>
  <c r="U65" i="129"/>
  <c r="T65" i="129"/>
  <c r="G65" i="129"/>
  <c r="G66" i="129" s="1"/>
  <c r="G67" i="129" s="1"/>
  <c r="G68" i="129" s="1"/>
  <c r="G69" i="129" s="1"/>
  <c r="G70" i="129" s="1"/>
  <c r="G71" i="129" s="1"/>
  <c r="G72" i="129" s="1"/>
  <c r="G73" i="129" s="1"/>
  <c r="G74" i="129" s="1"/>
  <c r="G75" i="129" s="1"/>
  <c r="AH75" i="129" s="1"/>
  <c r="T64" i="129"/>
  <c r="P64" i="129"/>
  <c r="P65" i="129" s="1"/>
  <c r="P66" i="129" s="1"/>
  <c r="P67" i="129" s="1"/>
  <c r="P68" i="129" s="1"/>
  <c r="P69" i="129" s="1"/>
  <c r="P70" i="129" s="1"/>
  <c r="P71" i="129" s="1"/>
  <c r="P72" i="129" s="1"/>
  <c r="P73" i="129" s="1"/>
  <c r="P74" i="129" s="1"/>
  <c r="P75" i="129" s="1"/>
  <c r="P76" i="129" s="1"/>
  <c r="S63" i="129"/>
  <c r="R62" i="129"/>
  <c r="P62" i="129"/>
  <c r="P63" i="129" s="1"/>
  <c r="O62" i="129"/>
  <c r="O63" i="129" s="1"/>
  <c r="O64" i="129" s="1"/>
  <c r="O65" i="129" s="1"/>
  <c r="Q61" i="129"/>
  <c r="Q77" i="129" s="1"/>
  <c r="P61" i="129"/>
  <c r="P60" i="129"/>
  <c r="O59" i="129"/>
  <c r="O60" i="129" s="1"/>
  <c r="O61" i="129" s="1"/>
  <c r="N59" i="129"/>
  <c r="N60" i="129" s="1"/>
  <c r="N61" i="129" s="1"/>
  <c r="N62" i="129" s="1"/>
  <c r="N63" i="129" s="1"/>
  <c r="N64" i="129" s="1"/>
  <c r="N65" i="129" s="1"/>
  <c r="N66" i="129" s="1"/>
  <c r="N67" i="129" s="1"/>
  <c r="N68" i="129" s="1"/>
  <c r="N69" i="129" s="1"/>
  <c r="N70" i="129" s="1"/>
  <c r="N71" i="129" s="1"/>
  <c r="N72" i="129" s="1"/>
  <c r="N73" i="129" s="1"/>
  <c r="N74" i="129" s="1"/>
  <c r="N75" i="129" s="1"/>
  <c r="N76" i="129" s="1"/>
  <c r="N58" i="129"/>
  <c r="K58" i="129"/>
  <c r="K59" i="129" s="1"/>
  <c r="K60" i="129" s="1"/>
  <c r="K61" i="129" s="1"/>
  <c r="K62" i="129" s="1"/>
  <c r="K63" i="129" s="1"/>
  <c r="K64" i="129" s="1"/>
  <c r="K65" i="129" s="1"/>
  <c r="K66" i="129" s="1"/>
  <c r="K67" i="129" s="1"/>
  <c r="K68" i="129" s="1"/>
  <c r="K69" i="129" s="1"/>
  <c r="K70" i="129" s="1"/>
  <c r="K71" i="129" s="1"/>
  <c r="K72" i="129" s="1"/>
  <c r="K73" i="129" s="1"/>
  <c r="K74" i="129" s="1"/>
  <c r="K75" i="129" s="1"/>
  <c r="K76" i="129" s="1"/>
  <c r="C58" i="129"/>
  <c r="C59" i="129" s="1"/>
  <c r="C60" i="129" s="1"/>
  <c r="C61" i="129" s="1"/>
  <c r="C62" i="129" s="1"/>
  <c r="C63" i="129" s="1"/>
  <c r="C64" i="129" s="1"/>
  <c r="C65" i="129" s="1"/>
  <c r="C66" i="129" s="1"/>
  <c r="C67" i="129" s="1"/>
  <c r="C68" i="129" s="1"/>
  <c r="C69" i="129" s="1"/>
  <c r="C70" i="129" s="1"/>
  <c r="C71" i="129" s="1"/>
  <c r="C72" i="129" s="1"/>
  <c r="C73" i="129" s="1"/>
  <c r="C74" i="129" s="1"/>
  <c r="C75" i="129" s="1"/>
  <c r="C76" i="129" s="1"/>
  <c r="M57" i="129"/>
  <c r="L56" i="129"/>
  <c r="K56" i="129"/>
  <c r="K57" i="129" s="1"/>
  <c r="J56" i="129"/>
  <c r="J57" i="129" s="1"/>
  <c r="J58" i="129" s="1"/>
  <c r="J59" i="129" s="1"/>
  <c r="J60" i="129" s="1"/>
  <c r="J61" i="129" s="1"/>
  <c r="J62" i="129" s="1"/>
  <c r="J63" i="129" s="1"/>
  <c r="J64" i="129" s="1"/>
  <c r="J65" i="129" s="1"/>
  <c r="J66" i="129" s="1"/>
  <c r="J67" i="129" s="1"/>
  <c r="J68" i="129" s="1"/>
  <c r="J69" i="129" s="1"/>
  <c r="J70" i="129" s="1"/>
  <c r="J71" i="129" s="1"/>
  <c r="J72" i="129" s="1"/>
  <c r="J73" i="129" s="1"/>
  <c r="J74" i="129" s="1"/>
  <c r="J75" i="129" s="1"/>
  <c r="J76" i="129" s="1"/>
  <c r="K55" i="129"/>
  <c r="J55" i="129"/>
  <c r="J54" i="129"/>
  <c r="I54" i="129"/>
  <c r="I55" i="129" s="1"/>
  <c r="I56" i="129" s="1"/>
  <c r="I57" i="129" s="1"/>
  <c r="I58" i="129" s="1"/>
  <c r="I59" i="129" s="1"/>
  <c r="I60" i="129" s="1"/>
  <c r="I61" i="129" s="1"/>
  <c r="I62" i="129" s="1"/>
  <c r="I63" i="129" s="1"/>
  <c r="I64" i="129" s="1"/>
  <c r="I65" i="129" s="1"/>
  <c r="I66" i="129" s="1"/>
  <c r="I67" i="129" s="1"/>
  <c r="I68" i="129" s="1"/>
  <c r="I69" i="129" s="1"/>
  <c r="I70" i="129" s="1"/>
  <c r="I71" i="129" s="1"/>
  <c r="I72" i="129" s="1"/>
  <c r="I73" i="129" s="1"/>
  <c r="I74" i="129" s="1"/>
  <c r="I75" i="129" s="1"/>
  <c r="I76" i="129" s="1"/>
  <c r="F54" i="129"/>
  <c r="F55" i="129" s="1"/>
  <c r="F56" i="129" s="1"/>
  <c r="F57" i="129" s="1"/>
  <c r="F58" i="129" s="1"/>
  <c r="F59" i="129" s="1"/>
  <c r="F60" i="129" s="1"/>
  <c r="F61" i="129" s="1"/>
  <c r="F62" i="129" s="1"/>
  <c r="F63" i="129" s="1"/>
  <c r="F64" i="129" s="1"/>
  <c r="F65" i="129" s="1"/>
  <c r="F66" i="129" s="1"/>
  <c r="F67" i="129" s="1"/>
  <c r="F68" i="129" s="1"/>
  <c r="F69" i="129" s="1"/>
  <c r="F70" i="129" s="1"/>
  <c r="F71" i="129" s="1"/>
  <c r="F72" i="129" s="1"/>
  <c r="F73" i="129" s="1"/>
  <c r="F74" i="129" s="1"/>
  <c r="AH74" i="129" s="1"/>
  <c r="I53" i="129"/>
  <c r="I77" i="129" s="1"/>
  <c r="H53" i="129"/>
  <c r="H54" i="129" s="1"/>
  <c r="H55" i="129" s="1"/>
  <c r="H56" i="129" s="1"/>
  <c r="H57" i="129" s="1"/>
  <c r="H58" i="129" s="1"/>
  <c r="H59" i="129" s="1"/>
  <c r="H60" i="129" s="1"/>
  <c r="H61" i="129" s="1"/>
  <c r="H62" i="129" s="1"/>
  <c r="H63" i="129" s="1"/>
  <c r="H64" i="129" s="1"/>
  <c r="H65" i="129" s="1"/>
  <c r="H66" i="129" s="1"/>
  <c r="H67" i="129" s="1"/>
  <c r="H68" i="129" s="1"/>
  <c r="H69" i="129" s="1"/>
  <c r="H70" i="129" s="1"/>
  <c r="H71" i="129" s="1"/>
  <c r="H72" i="129" s="1"/>
  <c r="H73" i="129" s="1"/>
  <c r="H74" i="129" s="1"/>
  <c r="H75" i="129" s="1"/>
  <c r="H76" i="129" s="1"/>
  <c r="AH76" i="129" s="1"/>
  <c r="H52" i="129"/>
  <c r="H77" i="129" s="1"/>
  <c r="G52" i="129"/>
  <c r="G53" i="129" s="1"/>
  <c r="G54" i="129" s="1"/>
  <c r="G55" i="129" s="1"/>
  <c r="G56" i="129" s="1"/>
  <c r="G57" i="129" s="1"/>
  <c r="G58" i="129" s="1"/>
  <c r="G59" i="129" s="1"/>
  <c r="G60" i="129" s="1"/>
  <c r="G61" i="129" s="1"/>
  <c r="G62" i="129" s="1"/>
  <c r="G63" i="129" s="1"/>
  <c r="G64" i="129" s="1"/>
  <c r="E52" i="129"/>
  <c r="E53" i="129" s="1"/>
  <c r="E54" i="129" s="1"/>
  <c r="E55" i="129" s="1"/>
  <c r="E56" i="129" s="1"/>
  <c r="E57" i="129" s="1"/>
  <c r="E58" i="129" s="1"/>
  <c r="E59" i="129" s="1"/>
  <c r="E60" i="129" s="1"/>
  <c r="E61" i="129" s="1"/>
  <c r="E62" i="129" s="1"/>
  <c r="E63" i="129" s="1"/>
  <c r="E64" i="129" s="1"/>
  <c r="E65" i="129" s="1"/>
  <c r="E66" i="129" s="1"/>
  <c r="E67" i="129" s="1"/>
  <c r="E68" i="129" s="1"/>
  <c r="E69" i="129" s="1"/>
  <c r="E70" i="129" s="1"/>
  <c r="E71" i="129" s="1"/>
  <c r="E72" i="129" s="1"/>
  <c r="E73" i="129" s="1"/>
  <c r="AH73" i="129" s="1"/>
  <c r="G51" i="129"/>
  <c r="G77" i="129" s="1"/>
  <c r="F50" i="129"/>
  <c r="F51" i="129" s="1"/>
  <c r="F52" i="129" s="1"/>
  <c r="F53" i="129" s="1"/>
  <c r="D50" i="129"/>
  <c r="AH49" i="129"/>
  <c r="E49" i="129"/>
  <c r="E50" i="129" s="1"/>
  <c r="E51" i="129" s="1"/>
  <c r="D49" i="129"/>
  <c r="C49" i="129"/>
  <c r="C50" i="129" s="1"/>
  <c r="C51" i="129" s="1"/>
  <c r="C52" i="129" s="1"/>
  <c r="C53" i="129" s="1"/>
  <c r="C54" i="129" s="1"/>
  <c r="C55" i="129" s="1"/>
  <c r="C56" i="129" s="1"/>
  <c r="C57" i="129" s="1"/>
  <c r="AH48" i="129"/>
  <c r="D48" i="129"/>
  <c r="D77" i="129" s="1"/>
  <c r="AH47" i="129"/>
  <c r="C47" i="129"/>
  <c r="C48" i="129" s="1"/>
  <c r="F45" i="129"/>
  <c r="G45" i="129" s="1"/>
  <c r="H45" i="129" s="1"/>
  <c r="I45" i="129" s="1"/>
  <c r="J45" i="129" s="1"/>
  <c r="K45" i="129" s="1"/>
  <c r="L45" i="129" s="1"/>
  <c r="M45" i="129" s="1"/>
  <c r="N45" i="129" s="1"/>
  <c r="O45" i="129" s="1"/>
  <c r="P45" i="129" s="1"/>
  <c r="Q45" i="129" s="1"/>
  <c r="R45" i="129" s="1"/>
  <c r="S45" i="129" s="1"/>
  <c r="T45" i="129" s="1"/>
  <c r="U45" i="129" s="1"/>
  <c r="V45" i="129" s="1"/>
  <c r="W45" i="129" s="1"/>
  <c r="X45" i="129" s="1"/>
  <c r="Y45" i="129" s="1"/>
  <c r="Z45" i="129" s="1"/>
  <c r="AA45" i="129" s="1"/>
  <c r="AB45" i="129" s="1"/>
  <c r="AC45" i="129" s="1"/>
  <c r="AD45" i="129" s="1"/>
  <c r="AE45" i="129" s="1"/>
  <c r="AF45" i="129" s="1"/>
  <c r="AG45" i="129" s="1"/>
  <c r="E45" i="129"/>
  <c r="E46" i="129" s="1"/>
  <c r="AH46" i="129" s="1"/>
  <c r="AH44" i="129"/>
  <c r="B44" i="129"/>
  <c r="AA34" i="129"/>
  <c r="AA35" i="129" s="1"/>
  <c r="AA36" i="129" s="1"/>
  <c r="AA37" i="129" s="1"/>
  <c r="AA38" i="129" s="1"/>
  <c r="AA39" i="129" s="1"/>
  <c r="W30" i="129"/>
  <c r="W31" i="129" s="1"/>
  <c r="W32" i="129" s="1"/>
  <c r="W33" i="129" s="1"/>
  <c r="W34" i="129" s="1"/>
  <c r="W35" i="129" s="1"/>
  <c r="W36" i="129" s="1"/>
  <c r="W37" i="129" s="1"/>
  <c r="W38" i="129" s="1"/>
  <c r="W39" i="129" s="1"/>
  <c r="Q24" i="129"/>
  <c r="Q25" i="129" s="1"/>
  <c r="Q26" i="129" s="1"/>
  <c r="Q27" i="129" s="1"/>
  <c r="Q28" i="129" s="1"/>
  <c r="Q29" i="129" s="1"/>
  <c r="Q30" i="129" s="1"/>
  <c r="Q31" i="129" s="1"/>
  <c r="Q32" i="129" s="1"/>
  <c r="Q33" i="129" s="1"/>
  <c r="Q34" i="129" s="1"/>
  <c r="Q35" i="129" s="1"/>
  <c r="Q36" i="129" s="1"/>
  <c r="Q37" i="129" s="1"/>
  <c r="Q38" i="129" s="1"/>
  <c r="Q39" i="129" s="1"/>
  <c r="P23" i="129"/>
  <c r="P24" i="129" s="1"/>
  <c r="P25" i="129" s="1"/>
  <c r="P26" i="129" s="1"/>
  <c r="P27" i="129" s="1"/>
  <c r="P28" i="129" s="1"/>
  <c r="P29" i="129" s="1"/>
  <c r="P30" i="129" s="1"/>
  <c r="P31" i="129" s="1"/>
  <c r="P32" i="129" s="1"/>
  <c r="P33" i="129" s="1"/>
  <c r="P34" i="129" s="1"/>
  <c r="P35" i="129" s="1"/>
  <c r="P36" i="129" s="1"/>
  <c r="P37" i="129" s="1"/>
  <c r="P38" i="129" s="1"/>
  <c r="P39" i="129" s="1"/>
  <c r="O22" i="129"/>
  <c r="O23" i="129" s="1"/>
  <c r="O24" i="129" s="1"/>
  <c r="O25" i="129" s="1"/>
  <c r="O26" i="129" s="1"/>
  <c r="O27" i="129" s="1"/>
  <c r="O28" i="129" s="1"/>
  <c r="O29" i="129" s="1"/>
  <c r="O30" i="129" s="1"/>
  <c r="O31" i="129" s="1"/>
  <c r="O32" i="129" s="1"/>
  <c r="O33" i="129" s="1"/>
  <c r="O34" i="129" s="1"/>
  <c r="O35" i="129" s="1"/>
  <c r="O36" i="129" s="1"/>
  <c r="O37" i="129" s="1"/>
  <c r="O38" i="129" s="1"/>
  <c r="O39" i="129" s="1"/>
  <c r="E14" i="129"/>
  <c r="E15" i="129" s="1"/>
  <c r="E16" i="129" s="1"/>
  <c r="E17" i="129" s="1"/>
  <c r="E18" i="129" s="1"/>
  <c r="E19" i="129" s="1"/>
  <c r="E20" i="129" s="1"/>
  <c r="E21" i="129" s="1"/>
  <c r="E22" i="129" s="1"/>
  <c r="E23" i="129" s="1"/>
  <c r="E24" i="129" s="1"/>
  <c r="E25" i="129" s="1"/>
  <c r="E26" i="129" s="1"/>
  <c r="E27" i="129" s="1"/>
  <c r="E28" i="129" s="1"/>
  <c r="E29" i="129" s="1"/>
  <c r="E30" i="129" s="1"/>
  <c r="E31" i="129" s="1"/>
  <c r="E32" i="129" s="1"/>
  <c r="E33" i="129" s="1"/>
  <c r="E34" i="129" s="1"/>
  <c r="E35" i="129" s="1"/>
  <c r="E36" i="129" s="1"/>
  <c r="E37" i="129" s="1"/>
  <c r="E38" i="129" s="1"/>
  <c r="E39" i="129" s="1"/>
  <c r="F13" i="129"/>
  <c r="F14" i="129" s="1"/>
  <c r="F15" i="129" s="1"/>
  <c r="F16" i="129" s="1"/>
  <c r="F17" i="129" s="1"/>
  <c r="F18" i="129" s="1"/>
  <c r="F19" i="129" s="1"/>
  <c r="F20" i="129" s="1"/>
  <c r="F21" i="129" s="1"/>
  <c r="F22" i="129" s="1"/>
  <c r="F23" i="129" s="1"/>
  <c r="F24" i="129" s="1"/>
  <c r="F25" i="129" s="1"/>
  <c r="F26" i="129" s="1"/>
  <c r="F27" i="129" s="1"/>
  <c r="F28" i="129" s="1"/>
  <c r="F29" i="129" s="1"/>
  <c r="F30" i="129" s="1"/>
  <c r="F31" i="129" s="1"/>
  <c r="F32" i="129" s="1"/>
  <c r="F33" i="129" s="1"/>
  <c r="F34" i="129" s="1"/>
  <c r="F35" i="129" s="1"/>
  <c r="F36" i="129" s="1"/>
  <c r="F37" i="129" s="1"/>
  <c r="F38" i="129" s="1"/>
  <c r="F39" i="129" s="1"/>
  <c r="E13" i="129"/>
  <c r="D11" i="129"/>
  <c r="D12" i="129" s="1"/>
  <c r="D10" i="129"/>
  <c r="C10" i="129"/>
  <c r="D9" i="129"/>
  <c r="F8" i="129"/>
  <c r="G8" i="129" s="1"/>
  <c r="E8" i="129"/>
  <c r="E9" i="129" s="1"/>
  <c r="AG39" i="129"/>
  <c r="AF39" i="129"/>
  <c r="AE38" i="129"/>
  <c r="AE39" i="129" s="1"/>
  <c r="AD4" i="129"/>
  <c r="AC36" i="129"/>
  <c r="AC37" i="129" s="1"/>
  <c r="AC38" i="129" s="1"/>
  <c r="AC39" i="129" s="1"/>
  <c r="W4" i="129"/>
  <c r="U28" i="129"/>
  <c r="U29" i="129" s="1"/>
  <c r="U30" i="129" s="1"/>
  <c r="U31" i="129" s="1"/>
  <c r="U32" i="129" s="1"/>
  <c r="U33" i="129" s="1"/>
  <c r="U34" i="129" s="1"/>
  <c r="U35" i="129" s="1"/>
  <c r="U36" i="129" s="1"/>
  <c r="U37" i="129" s="1"/>
  <c r="U38" i="129" s="1"/>
  <c r="U39" i="129" s="1"/>
  <c r="T27" i="129"/>
  <c r="T28" i="129" s="1"/>
  <c r="T29" i="129" s="1"/>
  <c r="T30" i="129" s="1"/>
  <c r="T31" i="129" s="1"/>
  <c r="T32" i="129" s="1"/>
  <c r="T33" i="129" s="1"/>
  <c r="T34" i="129" s="1"/>
  <c r="T35" i="129" s="1"/>
  <c r="T36" i="129" s="1"/>
  <c r="T37" i="129" s="1"/>
  <c r="T38" i="129" s="1"/>
  <c r="T39" i="129" s="1"/>
  <c r="S26" i="129"/>
  <c r="S27" i="129" s="1"/>
  <c r="S28" i="129" s="1"/>
  <c r="S29" i="129" s="1"/>
  <c r="S30" i="129" s="1"/>
  <c r="S31" i="129" s="1"/>
  <c r="S32" i="129" s="1"/>
  <c r="S33" i="129" s="1"/>
  <c r="S34" i="129" s="1"/>
  <c r="S35" i="129" s="1"/>
  <c r="S36" i="129" s="1"/>
  <c r="S37" i="129" s="1"/>
  <c r="S38" i="129" s="1"/>
  <c r="S39" i="129" s="1"/>
  <c r="R25" i="129"/>
  <c r="R26" i="129" s="1"/>
  <c r="R27" i="129" s="1"/>
  <c r="R28" i="129" s="1"/>
  <c r="R29" i="129" s="1"/>
  <c r="R30" i="129" s="1"/>
  <c r="R31" i="129" s="1"/>
  <c r="R32" i="129" s="1"/>
  <c r="R33" i="129" s="1"/>
  <c r="R34" i="129" s="1"/>
  <c r="R35" i="129" s="1"/>
  <c r="R36" i="129" s="1"/>
  <c r="R37" i="129" s="1"/>
  <c r="R38" i="129" s="1"/>
  <c r="R39" i="129" s="1"/>
  <c r="M4" i="129"/>
  <c r="G7" i="129"/>
  <c r="G14" i="129" s="1"/>
  <c r="G15" i="129" s="1"/>
  <c r="G16" i="129" s="1"/>
  <c r="G17" i="129" s="1"/>
  <c r="G18" i="129" s="1"/>
  <c r="G19" i="129" s="1"/>
  <c r="G20" i="129" s="1"/>
  <c r="G21" i="129" s="1"/>
  <c r="G22" i="129" s="1"/>
  <c r="G23" i="129" s="1"/>
  <c r="G24" i="129" s="1"/>
  <c r="G25" i="129" s="1"/>
  <c r="G26" i="129" s="1"/>
  <c r="G27" i="129" s="1"/>
  <c r="G28" i="129" s="1"/>
  <c r="G29" i="129" s="1"/>
  <c r="G30" i="129" s="1"/>
  <c r="G31" i="129" s="1"/>
  <c r="G32" i="129" s="1"/>
  <c r="G33" i="129" s="1"/>
  <c r="G34" i="129" s="1"/>
  <c r="G35" i="129" s="1"/>
  <c r="G36" i="129" s="1"/>
  <c r="G37" i="129" s="1"/>
  <c r="G38" i="129" s="1"/>
  <c r="G39" i="129" s="1"/>
  <c r="F7" i="129"/>
  <c r="E7" i="129"/>
  <c r="E12" i="129" s="1"/>
  <c r="D7" i="129"/>
  <c r="AF4" i="129"/>
  <c r="AE4" i="129"/>
  <c r="AC4" i="129"/>
  <c r="AB4" i="129"/>
  <c r="AA4" i="129"/>
  <c r="T4" i="129"/>
  <c r="R4" i="129"/>
  <c r="Q4" i="129"/>
  <c r="F4" i="129"/>
  <c r="E4" i="129"/>
  <c r="D4" i="129"/>
  <c r="AH4" i="129" s="1"/>
  <c r="B4" i="129" s="1"/>
  <c r="E3" i="129"/>
  <c r="F3" i="129" s="1"/>
  <c r="G3" i="129" s="1"/>
  <c r="H3" i="129" s="1"/>
  <c r="I3" i="129" s="1"/>
  <c r="J3" i="129" s="1"/>
  <c r="K3" i="129" s="1"/>
  <c r="L3" i="129" s="1"/>
  <c r="M3" i="129" s="1"/>
  <c r="N3" i="129" s="1"/>
  <c r="O3" i="129" s="1"/>
  <c r="P3" i="129" s="1"/>
  <c r="Q3" i="129" s="1"/>
  <c r="R3" i="129" s="1"/>
  <c r="S3" i="129" s="1"/>
  <c r="T3" i="129" s="1"/>
  <c r="U3" i="129" s="1"/>
  <c r="V3" i="129" s="1"/>
  <c r="W3" i="129" s="1"/>
  <c r="X3" i="129" s="1"/>
  <c r="Y3" i="129" s="1"/>
  <c r="Z3" i="129" s="1"/>
  <c r="AA3" i="129" s="1"/>
  <c r="AB3" i="129" s="1"/>
  <c r="AC3" i="129" s="1"/>
  <c r="AD3" i="129" s="1"/>
  <c r="AE3" i="129" s="1"/>
  <c r="AF3" i="129" s="1"/>
  <c r="AG3" i="129" s="1"/>
  <c r="B3" i="129"/>
  <c r="T2" i="129"/>
  <c r="U2" i="129" s="1"/>
  <c r="V2" i="129" s="1"/>
  <c r="W2" i="129" s="1"/>
  <c r="X2" i="129" s="1"/>
  <c r="Y2" i="129" s="1"/>
  <c r="Z2" i="129" s="1"/>
  <c r="AA2" i="129" s="1"/>
  <c r="AB2" i="129" s="1"/>
  <c r="AC2" i="129" s="1"/>
  <c r="AD2" i="129" s="1"/>
  <c r="AE2" i="129" s="1"/>
  <c r="AF2" i="129" s="1"/>
  <c r="AG2" i="129" s="1"/>
  <c r="F2" i="129"/>
  <c r="G2" i="129" s="1"/>
  <c r="H2" i="129" s="1"/>
  <c r="I2" i="129" s="1"/>
  <c r="J2" i="129" s="1"/>
  <c r="K2" i="129" s="1"/>
  <c r="L2" i="129" s="1"/>
  <c r="M2" i="129" s="1"/>
  <c r="N2" i="129" s="1"/>
  <c r="O2" i="129" s="1"/>
  <c r="P2" i="129" s="1"/>
  <c r="Q2" i="129" s="1"/>
  <c r="R2" i="129" s="1"/>
  <c r="S2" i="129" s="1"/>
  <c r="E2" i="129"/>
  <c r="C17" i="89"/>
  <c r="C22" i="89"/>
  <c r="C15" i="90"/>
  <c r="C20" i="90"/>
  <c r="AE13" i="135" l="1"/>
  <c r="AE17" i="135" s="1"/>
  <c r="AE26" i="135" s="1"/>
  <c r="AF11" i="135"/>
  <c r="AF9" i="135" s="1"/>
  <c r="AF11" i="110"/>
  <c r="AF9" i="110" s="1"/>
  <c r="AE27" i="134"/>
  <c r="AE45" i="134" s="1"/>
  <c r="AG18" i="133"/>
  <c r="AE27" i="133"/>
  <c r="AE45" i="133" s="1"/>
  <c r="Z45" i="133"/>
  <c r="AD26" i="133"/>
  <c r="AC26" i="134"/>
  <c r="AF14" i="134"/>
  <c r="AF15" i="134"/>
  <c r="AG15" i="134" s="1"/>
  <c r="AG9" i="134"/>
  <c r="AG21" i="133"/>
  <c r="AG11" i="135"/>
  <c r="AF18" i="135"/>
  <c r="AG18" i="135" s="1"/>
  <c r="AG19" i="135"/>
  <c r="AF15" i="133"/>
  <c r="AG15" i="133" s="1"/>
  <c r="AF14" i="133"/>
  <c r="AG9" i="133"/>
  <c r="AG21" i="134"/>
  <c r="AD17" i="135"/>
  <c r="Z45" i="134"/>
  <c r="AG18" i="134"/>
  <c r="X40" i="132"/>
  <c r="Y9" i="132"/>
  <c r="Z8" i="132"/>
  <c r="Y10" i="132"/>
  <c r="AH68" i="132"/>
  <c r="D69" i="132"/>
  <c r="D32" i="132"/>
  <c r="AH31" i="132"/>
  <c r="C367" i="132"/>
  <c r="C30" i="132"/>
  <c r="I51" i="89"/>
  <c r="B66" i="89"/>
  <c r="H51" i="89"/>
  <c r="G36" i="89"/>
  <c r="H36" i="89"/>
  <c r="I36" i="89"/>
  <c r="N21" i="129"/>
  <c r="N22" i="129" s="1"/>
  <c r="N23" i="129" s="1"/>
  <c r="N24" i="129" s="1"/>
  <c r="N25" i="129" s="1"/>
  <c r="N26" i="129" s="1"/>
  <c r="N27" i="129" s="1"/>
  <c r="N28" i="129" s="1"/>
  <c r="N29" i="129" s="1"/>
  <c r="N30" i="129" s="1"/>
  <c r="N31" i="129" s="1"/>
  <c r="N32" i="129" s="1"/>
  <c r="N33" i="129" s="1"/>
  <c r="N34" i="129" s="1"/>
  <c r="N35" i="129" s="1"/>
  <c r="N36" i="129" s="1"/>
  <c r="N37" i="129" s="1"/>
  <c r="N38" i="129" s="1"/>
  <c r="N39" i="129" s="1"/>
  <c r="Z33" i="129"/>
  <c r="Z34" i="129" s="1"/>
  <c r="Z35" i="129" s="1"/>
  <c r="Z36" i="129" s="1"/>
  <c r="Z37" i="129" s="1"/>
  <c r="Z38" i="129" s="1"/>
  <c r="Z39" i="129" s="1"/>
  <c r="AH12" i="129"/>
  <c r="D13" i="129"/>
  <c r="F9" i="129"/>
  <c r="H8" i="129"/>
  <c r="H10" i="129" s="1"/>
  <c r="G9" i="129"/>
  <c r="G40" i="129" s="1"/>
  <c r="X4" i="129"/>
  <c r="X31" i="129"/>
  <c r="X32" i="129" s="1"/>
  <c r="X33" i="129" s="1"/>
  <c r="X34" i="129" s="1"/>
  <c r="X35" i="129" s="1"/>
  <c r="X36" i="129" s="1"/>
  <c r="X37" i="129" s="1"/>
  <c r="X38" i="129" s="1"/>
  <c r="X39" i="129" s="1"/>
  <c r="X151" i="129"/>
  <c r="X143" i="129"/>
  <c r="X144" i="129" s="1"/>
  <c r="X145" i="129" s="1"/>
  <c r="X146" i="129" s="1"/>
  <c r="X147" i="129" s="1"/>
  <c r="X148" i="129" s="1"/>
  <c r="X149" i="129" s="1"/>
  <c r="X150" i="129" s="1"/>
  <c r="L19" i="129"/>
  <c r="L20" i="129" s="1"/>
  <c r="L21" i="129" s="1"/>
  <c r="L22" i="129" s="1"/>
  <c r="L23" i="129" s="1"/>
  <c r="L24" i="129" s="1"/>
  <c r="L25" i="129" s="1"/>
  <c r="L26" i="129" s="1"/>
  <c r="L27" i="129" s="1"/>
  <c r="L28" i="129" s="1"/>
  <c r="L29" i="129" s="1"/>
  <c r="L30" i="129" s="1"/>
  <c r="L31" i="129" s="1"/>
  <c r="L32" i="129" s="1"/>
  <c r="L33" i="129" s="1"/>
  <c r="L34" i="129" s="1"/>
  <c r="L35" i="129" s="1"/>
  <c r="L36" i="129" s="1"/>
  <c r="L37" i="129" s="1"/>
  <c r="L38" i="129" s="1"/>
  <c r="L39" i="129" s="1"/>
  <c r="L4" i="129"/>
  <c r="D51" i="129"/>
  <c r="AH50" i="129"/>
  <c r="J92" i="129"/>
  <c r="J93" i="129" s="1"/>
  <c r="J94" i="129" s="1"/>
  <c r="J95" i="129" s="1"/>
  <c r="J96" i="129" s="1"/>
  <c r="J97" i="129" s="1"/>
  <c r="J98" i="129" s="1"/>
  <c r="J99" i="129" s="1"/>
  <c r="J100" i="129" s="1"/>
  <c r="J101" i="129" s="1"/>
  <c r="J102" i="129" s="1"/>
  <c r="J103" i="129" s="1"/>
  <c r="J104" i="129" s="1"/>
  <c r="J105" i="129" s="1"/>
  <c r="J106" i="129" s="1"/>
  <c r="J107" i="129" s="1"/>
  <c r="J108" i="129" s="1"/>
  <c r="J109" i="129" s="1"/>
  <c r="J110" i="129" s="1"/>
  <c r="AH110" i="129" s="1"/>
  <c r="AA109" i="129"/>
  <c r="AA110" i="129" s="1"/>
  <c r="AA111" i="129" s="1"/>
  <c r="AA112" i="129" s="1"/>
  <c r="AA113" i="129" s="1"/>
  <c r="S4" i="129"/>
  <c r="AG4" i="129"/>
  <c r="F10" i="129"/>
  <c r="AD37" i="129"/>
  <c r="AD38" i="129" s="1"/>
  <c r="AD39" i="129" s="1"/>
  <c r="AH77" i="129"/>
  <c r="Q62" i="129"/>
  <c r="Q63" i="129" s="1"/>
  <c r="Q64" i="129" s="1"/>
  <c r="Q65" i="129" s="1"/>
  <c r="Q66" i="129" s="1"/>
  <c r="Q67" i="129" s="1"/>
  <c r="Q68" i="129" s="1"/>
  <c r="Q69" i="129" s="1"/>
  <c r="Q70" i="129" s="1"/>
  <c r="Q71" i="129" s="1"/>
  <c r="Q72" i="129" s="1"/>
  <c r="Q73" i="129" s="1"/>
  <c r="Q74" i="129" s="1"/>
  <c r="Q75" i="129" s="1"/>
  <c r="Q76" i="129" s="1"/>
  <c r="W77" i="129"/>
  <c r="AH89" i="129"/>
  <c r="K114" i="129"/>
  <c r="K93" i="129"/>
  <c r="K94" i="129" s="1"/>
  <c r="K95" i="129" s="1"/>
  <c r="K96" i="129" s="1"/>
  <c r="K97" i="129" s="1"/>
  <c r="K98" i="129" s="1"/>
  <c r="K99" i="129" s="1"/>
  <c r="K100" i="129" s="1"/>
  <c r="K101" i="129" s="1"/>
  <c r="K102" i="129" s="1"/>
  <c r="K103" i="129" s="1"/>
  <c r="K104" i="129" s="1"/>
  <c r="K105" i="129" s="1"/>
  <c r="K106" i="129" s="1"/>
  <c r="K107" i="129" s="1"/>
  <c r="K108" i="129" s="1"/>
  <c r="K109" i="129" s="1"/>
  <c r="K110" i="129" s="1"/>
  <c r="K111" i="129" s="1"/>
  <c r="AH111" i="129" s="1"/>
  <c r="X106" i="129"/>
  <c r="X107" i="129" s="1"/>
  <c r="X108" i="129" s="1"/>
  <c r="X109" i="129" s="1"/>
  <c r="X110" i="129" s="1"/>
  <c r="X111" i="129" s="1"/>
  <c r="X112" i="129" s="1"/>
  <c r="X113" i="129" s="1"/>
  <c r="D125" i="129"/>
  <c r="AH124" i="129"/>
  <c r="G4" i="129"/>
  <c r="U4" i="129"/>
  <c r="E10" i="129"/>
  <c r="E40" i="129" s="1"/>
  <c r="R63" i="129"/>
  <c r="R64" i="129" s="1"/>
  <c r="R65" i="129" s="1"/>
  <c r="R66" i="129" s="1"/>
  <c r="R67" i="129" s="1"/>
  <c r="R68" i="129" s="1"/>
  <c r="R69" i="129" s="1"/>
  <c r="R70" i="129" s="1"/>
  <c r="R71" i="129" s="1"/>
  <c r="R72" i="129" s="1"/>
  <c r="R73" i="129" s="1"/>
  <c r="R74" i="129" s="1"/>
  <c r="R75" i="129" s="1"/>
  <c r="R76" i="129" s="1"/>
  <c r="R77" i="129"/>
  <c r="D188" i="129"/>
  <c r="D160" i="129"/>
  <c r="V4" i="129"/>
  <c r="G10" i="129"/>
  <c r="C11" i="129"/>
  <c r="V67" i="129"/>
  <c r="V68" i="129" s="1"/>
  <c r="V69" i="129" s="1"/>
  <c r="V70" i="129" s="1"/>
  <c r="V71" i="129" s="1"/>
  <c r="V72" i="129" s="1"/>
  <c r="V73" i="129" s="1"/>
  <c r="V74" i="129" s="1"/>
  <c r="V75" i="129" s="1"/>
  <c r="V76" i="129" s="1"/>
  <c r="V77" i="129"/>
  <c r="AA72" i="129"/>
  <c r="AA73" i="129" s="1"/>
  <c r="AA74" i="129" s="1"/>
  <c r="AA75" i="129" s="1"/>
  <c r="AA76" i="129" s="1"/>
  <c r="E77" i="129"/>
  <c r="AB77" i="129"/>
  <c r="AH159" i="129"/>
  <c r="L77" i="129"/>
  <c r="L57" i="129"/>
  <c r="L58" i="129" s="1"/>
  <c r="L59" i="129" s="1"/>
  <c r="L60" i="129" s="1"/>
  <c r="L61" i="129" s="1"/>
  <c r="L62" i="129" s="1"/>
  <c r="L63" i="129" s="1"/>
  <c r="L64" i="129" s="1"/>
  <c r="L65" i="129" s="1"/>
  <c r="L66" i="129" s="1"/>
  <c r="L67" i="129" s="1"/>
  <c r="L68" i="129" s="1"/>
  <c r="L69" i="129" s="1"/>
  <c r="L70" i="129" s="1"/>
  <c r="L71" i="129" s="1"/>
  <c r="L72" i="129" s="1"/>
  <c r="L73" i="129" s="1"/>
  <c r="L74" i="129" s="1"/>
  <c r="L75" i="129" s="1"/>
  <c r="L76" i="129" s="1"/>
  <c r="U77" i="129"/>
  <c r="U66" i="129"/>
  <c r="U67" i="129" s="1"/>
  <c r="U68" i="129" s="1"/>
  <c r="U69" i="129" s="1"/>
  <c r="U70" i="129" s="1"/>
  <c r="U71" i="129" s="1"/>
  <c r="U72" i="129" s="1"/>
  <c r="U73" i="129" s="1"/>
  <c r="U74" i="129" s="1"/>
  <c r="U75" i="129" s="1"/>
  <c r="U76" i="129" s="1"/>
  <c r="AD114" i="129"/>
  <c r="AD112" i="129"/>
  <c r="AD113" i="129" s="1"/>
  <c r="J151" i="129"/>
  <c r="J129" i="129"/>
  <c r="J130" i="129" s="1"/>
  <c r="J131" i="129" s="1"/>
  <c r="J132" i="129" s="1"/>
  <c r="J133" i="129" s="1"/>
  <c r="J134" i="129" s="1"/>
  <c r="J135" i="129" s="1"/>
  <c r="J136" i="129" s="1"/>
  <c r="J137" i="129" s="1"/>
  <c r="J138" i="129" s="1"/>
  <c r="J139" i="129" s="1"/>
  <c r="J140" i="129" s="1"/>
  <c r="J141" i="129" s="1"/>
  <c r="J142" i="129" s="1"/>
  <c r="AH142" i="129" s="1"/>
  <c r="AH11" i="129"/>
  <c r="E114" i="129"/>
  <c r="V151" i="129"/>
  <c r="V141" i="129"/>
  <c r="V142" i="129" s="1"/>
  <c r="V143" i="129" s="1"/>
  <c r="V144" i="129" s="1"/>
  <c r="V145" i="129" s="1"/>
  <c r="V146" i="129" s="1"/>
  <c r="V147" i="129" s="1"/>
  <c r="V148" i="129" s="1"/>
  <c r="V149" i="129" s="1"/>
  <c r="V150" i="129" s="1"/>
  <c r="M20" i="129"/>
  <c r="M21" i="129" s="1"/>
  <c r="M22" i="129" s="1"/>
  <c r="M23" i="129" s="1"/>
  <c r="M24" i="129" s="1"/>
  <c r="M25" i="129" s="1"/>
  <c r="M26" i="129" s="1"/>
  <c r="M27" i="129" s="1"/>
  <c r="M28" i="129" s="1"/>
  <c r="M29" i="129" s="1"/>
  <c r="M30" i="129" s="1"/>
  <c r="M31" i="129" s="1"/>
  <c r="M32" i="129" s="1"/>
  <c r="M33" i="129" s="1"/>
  <c r="M34" i="129" s="1"/>
  <c r="M35" i="129" s="1"/>
  <c r="M36" i="129" s="1"/>
  <c r="M37" i="129" s="1"/>
  <c r="M38" i="129" s="1"/>
  <c r="M39" i="129" s="1"/>
  <c r="M114" i="129"/>
  <c r="N133" i="129"/>
  <c r="N134" i="129" s="1"/>
  <c r="N135" i="129" s="1"/>
  <c r="N136" i="129" s="1"/>
  <c r="N137" i="129" s="1"/>
  <c r="N138" i="129" s="1"/>
  <c r="N139" i="129" s="1"/>
  <c r="N140" i="129" s="1"/>
  <c r="N141" i="129" s="1"/>
  <c r="N142" i="129" s="1"/>
  <c r="N143" i="129" s="1"/>
  <c r="N144" i="129" s="1"/>
  <c r="N145" i="129" s="1"/>
  <c r="N146" i="129" s="1"/>
  <c r="AH146" i="129" s="1"/>
  <c r="N188" i="129"/>
  <c r="N170" i="129"/>
  <c r="N171" i="129" s="1"/>
  <c r="N172" i="129" s="1"/>
  <c r="N173" i="129" s="1"/>
  <c r="N174" i="129" s="1"/>
  <c r="N175" i="129" s="1"/>
  <c r="N176" i="129" s="1"/>
  <c r="N177" i="129" s="1"/>
  <c r="N178" i="129" s="1"/>
  <c r="N179" i="129" s="1"/>
  <c r="N180" i="129" s="1"/>
  <c r="AH180" i="129" s="1"/>
  <c r="AH337" i="129"/>
  <c r="Y32" i="129"/>
  <c r="Y33" i="129" s="1"/>
  <c r="Y34" i="129" s="1"/>
  <c r="Y35" i="129" s="1"/>
  <c r="Y36" i="129" s="1"/>
  <c r="Y37" i="129" s="1"/>
  <c r="Y38" i="129" s="1"/>
  <c r="Y39" i="129" s="1"/>
  <c r="M77" i="129"/>
  <c r="M58" i="129"/>
  <c r="M59" i="129" s="1"/>
  <c r="M60" i="129" s="1"/>
  <c r="M61" i="129" s="1"/>
  <c r="M62" i="129" s="1"/>
  <c r="M63" i="129" s="1"/>
  <c r="M64" i="129" s="1"/>
  <c r="M65" i="129" s="1"/>
  <c r="M66" i="129" s="1"/>
  <c r="M67" i="129" s="1"/>
  <c r="M68" i="129" s="1"/>
  <c r="M69" i="129" s="1"/>
  <c r="M70" i="129" s="1"/>
  <c r="M71" i="129" s="1"/>
  <c r="M72" i="129" s="1"/>
  <c r="M73" i="129" s="1"/>
  <c r="M74" i="129" s="1"/>
  <c r="M75" i="129" s="1"/>
  <c r="M76" i="129" s="1"/>
  <c r="S77" i="129"/>
  <c r="S64" i="129"/>
  <c r="S65" i="129" s="1"/>
  <c r="S66" i="129" s="1"/>
  <c r="S67" i="129" s="1"/>
  <c r="S68" i="129" s="1"/>
  <c r="S69" i="129" s="1"/>
  <c r="S70" i="129" s="1"/>
  <c r="S71" i="129" s="1"/>
  <c r="S72" i="129" s="1"/>
  <c r="S73" i="129" s="1"/>
  <c r="S74" i="129" s="1"/>
  <c r="S75" i="129" s="1"/>
  <c r="S76" i="129" s="1"/>
  <c r="Z71" i="129"/>
  <c r="Z72" i="129" s="1"/>
  <c r="Z73" i="129" s="1"/>
  <c r="Z74" i="129" s="1"/>
  <c r="Z75" i="129" s="1"/>
  <c r="Z76" i="129" s="1"/>
  <c r="Z77" i="129"/>
  <c r="D91" i="129"/>
  <c r="AH90" i="129"/>
  <c r="T213" i="129"/>
  <c r="T214" i="129" s="1"/>
  <c r="T215" i="129" s="1"/>
  <c r="T216" i="129" s="1"/>
  <c r="T217" i="129" s="1"/>
  <c r="T218" i="129" s="1"/>
  <c r="T219" i="129" s="1"/>
  <c r="T220" i="129" s="1"/>
  <c r="T221" i="129" s="1"/>
  <c r="AH221" i="129" s="1"/>
  <c r="T225" i="129"/>
  <c r="AH261" i="129"/>
  <c r="U151" i="129"/>
  <c r="U140" i="129"/>
  <c r="U141" i="129" s="1"/>
  <c r="U142" i="129" s="1"/>
  <c r="U143" i="129" s="1"/>
  <c r="U144" i="129" s="1"/>
  <c r="U145" i="129" s="1"/>
  <c r="U146" i="129" s="1"/>
  <c r="U147" i="129" s="1"/>
  <c r="U148" i="129" s="1"/>
  <c r="U149" i="129" s="1"/>
  <c r="U150" i="129" s="1"/>
  <c r="I165" i="129"/>
  <c r="I166" i="129" s="1"/>
  <c r="I167" i="129" s="1"/>
  <c r="I168" i="129" s="1"/>
  <c r="I169" i="129" s="1"/>
  <c r="I170" i="129" s="1"/>
  <c r="I171" i="129" s="1"/>
  <c r="I172" i="129" s="1"/>
  <c r="I173" i="129" s="1"/>
  <c r="I174" i="129" s="1"/>
  <c r="I175" i="129" s="1"/>
  <c r="AH175" i="129" s="1"/>
  <c r="I188" i="129"/>
  <c r="E124" i="129"/>
  <c r="E125" i="129" s="1"/>
  <c r="E126" i="129" s="1"/>
  <c r="E127" i="129" s="1"/>
  <c r="E128" i="129" s="1"/>
  <c r="E129" i="129" s="1"/>
  <c r="E130" i="129" s="1"/>
  <c r="E131" i="129" s="1"/>
  <c r="E132" i="129" s="1"/>
  <c r="E133" i="129" s="1"/>
  <c r="E134" i="129" s="1"/>
  <c r="E135" i="129" s="1"/>
  <c r="E136" i="129" s="1"/>
  <c r="E137" i="129" s="1"/>
  <c r="AH137" i="129" s="1"/>
  <c r="E151" i="129"/>
  <c r="AD151" i="129"/>
  <c r="AD149" i="129"/>
  <c r="AD150" i="129" s="1"/>
  <c r="P245" i="129"/>
  <c r="P246" i="129" s="1"/>
  <c r="P247" i="129" s="1"/>
  <c r="P248" i="129" s="1"/>
  <c r="P249" i="129" s="1"/>
  <c r="P250" i="129" s="1"/>
  <c r="AH250" i="129" s="1"/>
  <c r="P261" i="129"/>
  <c r="V337" i="129"/>
  <c r="V327" i="129"/>
  <c r="V328" i="129" s="1"/>
  <c r="AH328" i="129" s="1"/>
  <c r="N96" i="129"/>
  <c r="N97" i="129" s="1"/>
  <c r="N98" i="129" s="1"/>
  <c r="N99" i="129" s="1"/>
  <c r="N100" i="129" s="1"/>
  <c r="N101" i="129" s="1"/>
  <c r="N102" i="129" s="1"/>
  <c r="N103" i="129" s="1"/>
  <c r="N104" i="129" s="1"/>
  <c r="N105" i="129" s="1"/>
  <c r="N106" i="129" s="1"/>
  <c r="N107" i="129" s="1"/>
  <c r="N108" i="129" s="1"/>
  <c r="N109" i="129" s="1"/>
  <c r="N110" i="129" s="1"/>
  <c r="N111" i="129" s="1"/>
  <c r="N112" i="129" s="1"/>
  <c r="N113" i="129" s="1"/>
  <c r="Y107" i="129"/>
  <c r="Y108" i="129" s="1"/>
  <c r="Y109" i="129" s="1"/>
  <c r="Y110" i="129" s="1"/>
  <c r="Y111" i="129" s="1"/>
  <c r="Y112" i="129" s="1"/>
  <c r="Y113" i="129" s="1"/>
  <c r="G114" i="129"/>
  <c r="K151" i="129"/>
  <c r="K130" i="129"/>
  <c r="K131" i="129" s="1"/>
  <c r="K132" i="129" s="1"/>
  <c r="K133" i="129" s="1"/>
  <c r="K134" i="129" s="1"/>
  <c r="K135" i="129" s="1"/>
  <c r="K136" i="129" s="1"/>
  <c r="K137" i="129" s="1"/>
  <c r="K138" i="129" s="1"/>
  <c r="K139" i="129" s="1"/>
  <c r="K140" i="129" s="1"/>
  <c r="K141" i="129" s="1"/>
  <c r="K142" i="129" s="1"/>
  <c r="K143" i="129" s="1"/>
  <c r="AH143" i="129" s="1"/>
  <c r="L168" i="129"/>
  <c r="L169" i="129" s="1"/>
  <c r="L170" i="129" s="1"/>
  <c r="L171" i="129" s="1"/>
  <c r="L172" i="129" s="1"/>
  <c r="L173" i="129" s="1"/>
  <c r="L174" i="129" s="1"/>
  <c r="L175" i="129" s="1"/>
  <c r="L176" i="129" s="1"/>
  <c r="L177" i="129" s="1"/>
  <c r="L178" i="129" s="1"/>
  <c r="AH178" i="129" s="1"/>
  <c r="L188" i="129"/>
  <c r="S188" i="129"/>
  <c r="S175" i="129"/>
  <c r="S176" i="129" s="1"/>
  <c r="S177" i="129" s="1"/>
  <c r="S178" i="129" s="1"/>
  <c r="S179" i="129" s="1"/>
  <c r="S180" i="129" s="1"/>
  <c r="S181" i="129" s="1"/>
  <c r="S182" i="129" s="1"/>
  <c r="S183" i="129" s="1"/>
  <c r="S184" i="129" s="1"/>
  <c r="S185" i="129" s="1"/>
  <c r="AH185" i="129" s="1"/>
  <c r="C344" i="129"/>
  <c r="AA188" i="129"/>
  <c r="U214" i="129"/>
  <c r="U215" i="129" s="1"/>
  <c r="U216" i="129" s="1"/>
  <c r="U217" i="129" s="1"/>
  <c r="U218" i="129" s="1"/>
  <c r="U219" i="129" s="1"/>
  <c r="U220" i="129" s="1"/>
  <c r="U221" i="129" s="1"/>
  <c r="U222" i="129" s="1"/>
  <c r="AH222" i="129" s="1"/>
  <c r="U225" i="129"/>
  <c r="S248" i="129"/>
  <c r="S249" i="129" s="1"/>
  <c r="S250" i="129" s="1"/>
  <c r="S251" i="129" s="1"/>
  <c r="S252" i="129" s="1"/>
  <c r="S253" i="129" s="1"/>
  <c r="AH253" i="129" s="1"/>
  <c r="P114" i="129"/>
  <c r="P98" i="129"/>
  <c r="P99" i="129" s="1"/>
  <c r="P100" i="129" s="1"/>
  <c r="P101" i="129" s="1"/>
  <c r="P102" i="129" s="1"/>
  <c r="P103" i="129" s="1"/>
  <c r="P104" i="129" s="1"/>
  <c r="P105" i="129" s="1"/>
  <c r="P106" i="129" s="1"/>
  <c r="P107" i="129" s="1"/>
  <c r="P108" i="129" s="1"/>
  <c r="P109" i="129" s="1"/>
  <c r="P110" i="129" s="1"/>
  <c r="P111" i="129" s="1"/>
  <c r="P112" i="129" s="1"/>
  <c r="P113" i="129" s="1"/>
  <c r="L131" i="129"/>
  <c r="L132" i="129" s="1"/>
  <c r="L133" i="129" s="1"/>
  <c r="L134" i="129" s="1"/>
  <c r="L135" i="129" s="1"/>
  <c r="L136" i="129" s="1"/>
  <c r="L137" i="129" s="1"/>
  <c r="L138" i="129" s="1"/>
  <c r="L139" i="129" s="1"/>
  <c r="L140" i="129" s="1"/>
  <c r="L141" i="129" s="1"/>
  <c r="L142" i="129" s="1"/>
  <c r="L143" i="129" s="1"/>
  <c r="L144" i="129" s="1"/>
  <c r="AH144" i="129" s="1"/>
  <c r="AC151" i="129"/>
  <c r="Q188" i="129"/>
  <c r="Q173" i="129"/>
  <c r="Q174" i="129" s="1"/>
  <c r="Q175" i="129" s="1"/>
  <c r="Q176" i="129" s="1"/>
  <c r="Q177" i="129" s="1"/>
  <c r="Q178" i="129" s="1"/>
  <c r="Q179" i="129" s="1"/>
  <c r="Q180" i="129" s="1"/>
  <c r="Q181" i="129" s="1"/>
  <c r="Q182" i="129" s="1"/>
  <c r="Q183" i="129" s="1"/>
  <c r="AH183" i="129" s="1"/>
  <c r="T261" i="129"/>
  <c r="T249" i="129"/>
  <c r="T250" i="129" s="1"/>
  <c r="T251" i="129" s="1"/>
  <c r="T252" i="129" s="1"/>
  <c r="T253" i="129" s="1"/>
  <c r="T254" i="129" s="1"/>
  <c r="AH254" i="129" s="1"/>
  <c r="G200" i="129"/>
  <c r="G201" i="129" s="1"/>
  <c r="G202" i="129" s="1"/>
  <c r="G203" i="129" s="1"/>
  <c r="G204" i="129" s="1"/>
  <c r="G205" i="129" s="1"/>
  <c r="G206" i="129" s="1"/>
  <c r="G207" i="129" s="1"/>
  <c r="G208" i="129" s="1"/>
  <c r="AH208" i="129" s="1"/>
  <c r="G225" i="129"/>
  <c r="K299" i="129"/>
  <c r="K278" i="129"/>
  <c r="K279" i="129" s="1"/>
  <c r="K280" i="129" s="1"/>
  <c r="K281" i="129" s="1"/>
  <c r="AH281" i="129" s="1"/>
  <c r="O134" i="129"/>
  <c r="O135" i="129" s="1"/>
  <c r="O136" i="129" s="1"/>
  <c r="O137" i="129" s="1"/>
  <c r="O138" i="129" s="1"/>
  <c r="O139" i="129" s="1"/>
  <c r="O140" i="129" s="1"/>
  <c r="O141" i="129" s="1"/>
  <c r="O142" i="129" s="1"/>
  <c r="O143" i="129" s="1"/>
  <c r="O144" i="129" s="1"/>
  <c r="O145" i="129" s="1"/>
  <c r="O146" i="129" s="1"/>
  <c r="O147" i="129" s="1"/>
  <c r="AH147" i="129" s="1"/>
  <c r="O151" i="129"/>
  <c r="AB299" i="129"/>
  <c r="AB295" i="129"/>
  <c r="AB296" i="129" s="1"/>
  <c r="AB297" i="129" s="1"/>
  <c r="AB298" i="129" s="1"/>
  <c r="AH298" i="129" s="1"/>
  <c r="G188" i="129"/>
  <c r="G163" i="129"/>
  <c r="G164" i="129" s="1"/>
  <c r="G165" i="129" s="1"/>
  <c r="G166" i="129" s="1"/>
  <c r="G167" i="129" s="1"/>
  <c r="G168" i="129" s="1"/>
  <c r="G169" i="129" s="1"/>
  <c r="G170" i="129" s="1"/>
  <c r="G171" i="129" s="1"/>
  <c r="G172" i="129" s="1"/>
  <c r="G173" i="129" s="1"/>
  <c r="AH173" i="129" s="1"/>
  <c r="L299" i="129"/>
  <c r="L279" i="129"/>
  <c r="L280" i="129" s="1"/>
  <c r="L281" i="129" s="1"/>
  <c r="L282" i="129" s="1"/>
  <c r="AH282" i="129" s="1"/>
  <c r="X299" i="129"/>
  <c r="X291" i="129"/>
  <c r="X292" i="129" s="1"/>
  <c r="X293" i="129" s="1"/>
  <c r="X294" i="129" s="1"/>
  <c r="AH294" i="129" s="1"/>
  <c r="Y188" i="129"/>
  <c r="Y181" i="129"/>
  <c r="Y182" i="129" s="1"/>
  <c r="Y183" i="129" s="1"/>
  <c r="Y184" i="129" s="1"/>
  <c r="Y185" i="129" s="1"/>
  <c r="Y186" i="129" s="1"/>
  <c r="Y187" i="129" s="1"/>
  <c r="M206" i="129"/>
  <c r="M207" i="129" s="1"/>
  <c r="M208" i="129" s="1"/>
  <c r="M209" i="129" s="1"/>
  <c r="M210" i="129" s="1"/>
  <c r="M211" i="129" s="1"/>
  <c r="M212" i="129" s="1"/>
  <c r="M213" i="129" s="1"/>
  <c r="M214" i="129" s="1"/>
  <c r="AH214" i="129" s="1"/>
  <c r="V178" i="129"/>
  <c r="V179" i="129" s="1"/>
  <c r="V180" i="129" s="1"/>
  <c r="V181" i="129" s="1"/>
  <c r="V182" i="129" s="1"/>
  <c r="V183" i="129" s="1"/>
  <c r="V184" i="129" s="1"/>
  <c r="V185" i="129" s="1"/>
  <c r="V186" i="129" s="1"/>
  <c r="V187" i="129" s="1"/>
  <c r="AH235" i="129"/>
  <c r="D236" i="129"/>
  <c r="M337" i="129"/>
  <c r="I114" i="129"/>
  <c r="I91" i="129"/>
  <c r="I92" i="129" s="1"/>
  <c r="I93" i="129" s="1"/>
  <c r="I94" i="129" s="1"/>
  <c r="I95" i="129" s="1"/>
  <c r="I96" i="129" s="1"/>
  <c r="I97" i="129" s="1"/>
  <c r="I98" i="129" s="1"/>
  <c r="I99" i="129" s="1"/>
  <c r="I100" i="129" s="1"/>
  <c r="I101" i="129" s="1"/>
  <c r="I102" i="129" s="1"/>
  <c r="I103" i="129" s="1"/>
  <c r="I104" i="129" s="1"/>
  <c r="I105" i="129" s="1"/>
  <c r="I106" i="129" s="1"/>
  <c r="I107" i="129" s="1"/>
  <c r="I108" i="129" s="1"/>
  <c r="I109" i="129" s="1"/>
  <c r="AH109" i="129" s="1"/>
  <c r="O171" i="129"/>
  <c r="O172" i="129" s="1"/>
  <c r="O173" i="129" s="1"/>
  <c r="O174" i="129" s="1"/>
  <c r="O175" i="129" s="1"/>
  <c r="O176" i="129" s="1"/>
  <c r="O177" i="129" s="1"/>
  <c r="O178" i="129" s="1"/>
  <c r="O179" i="129" s="1"/>
  <c r="O180" i="129" s="1"/>
  <c r="O181" i="129" s="1"/>
  <c r="AH181" i="129" s="1"/>
  <c r="T337" i="129"/>
  <c r="T325" i="129"/>
  <c r="T326" i="129" s="1"/>
  <c r="AH326" i="129" s="1"/>
  <c r="N207" i="129"/>
  <c r="N208" i="129" s="1"/>
  <c r="N209" i="129" s="1"/>
  <c r="N210" i="129" s="1"/>
  <c r="N211" i="129" s="1"/>
  <c r="N212" i="129" s="1"/>
  <c r="N213" i="129" s="1"/>
  <c r="N214" i="129" s="1"/>
  <c r="N215" i="129" s="1"/>
  <c r="AH215" i="129" s="1"/>
  <c r="K240" i="129"/>
  <c r="K241" i="129" s="1"/>
  <c r="K242" i="129" s="1"/>
  <c r="K243" i="129" s="1"/>
  <c r="K244" i="129" s="1"/>
  <c r="K245" i="129" s="1"/>
  <c r="AH245" i="129" s="1"/>
  <c r="K261" i="129"/>
  <c r="N281" i="129"/>
  <c r="N282" i="129" s="1"/>
  <c r="N283" i="129" s="1"/>
  <c r="N284" i="129" s="1"/>
  <c r="AH284" i="129" s="1"/>
  <c r="N299" i="129"/>
  <c r="AH151" i="129"/>
  <c r="K204" i="129"/>
  <c r="K205" i="129" s="1"/>
  <c r="K206" i="129" s="1"/>
  <c r="K207" i="129" s="1"/>
  <c r="K208" i="129" s="1"/>
  <c r="K209" i="129" s="1"/>
  <c r="K210" i="129" s="1"/>
  <c r="K211" i="129" s="1"/>
  <c r="K212" i="129" s="1"/>
  <c r="AH212" i="129" s="1"/>
  <c r="K225" i="129"/>
  <c r="V215" i="129"/>
  <c r="V216" i="129" s="1"/>
  <c r="V217" i="129" s="1"/>
  <c r="V218" i="129" s="1"/>
  <c r="V219" i="129" s="1"/>
  <c r="V220" i="129" s="1"/>
  <c r="V221" i="129" s="1"/>
  <c r="V222" i="129" s="1"/>
  <c r="V223" i="129" s="1"/>
  <c r="AH223" i="129" s="1"/>
  <c r="V225" i="129"/>
  <c r="AA294" i="129"/>
  <c r="AA295" i="129" s="1"/>
  <c r="AA296" i="129" s="1"/>
  <c r="AA297" i="129" s="1"/>
  <c r="AH297" i="129" s="1"/>
  <c r="AA299" i="129"/>
  <c r="W328" i="129"/>
  <c r="W329" i="129" s="1"/>
  <c r="AH329" i="129" s="1"/>
  <c r="W337" i="129"/>
  <c r="L241" i="129"/>
  <c r="L242" i="129" s="1"/>
  <c r="L243" i="129" s="1"/>
  <c r="L244" i="129" s="1"/>
  <c r="L245" i="129" s="1"/>
  <c r="L246" i="129" s="1"/>
  <c r="AH246" i="129" s="1"/>
  <c r="L261" i="129"/>
  <c r="E272" i="129"/>
  <c r="E273" i="129" s="1"/>
  <c r="E274" i="129" s="1"/>
  <c r="E275" i="129" s="1"/>
  <c r="AH275" i="129" s="1"/>
  <c r="E299" i="129"/>
  <c r="I314" i="129"/>
  <c r="I315" i="129" s="1"/>
  <c r="AH315" i="129" s="1"/>
  <c r="D225" i="129"/>
  <c r="D197" i="129"/>
  <c r="AH196" i="129"/>
  <c r="AH225" i="129" s="1"/>
  <c r="O208" i="129"/>
  <c r="O209" i="129" s="1"/>
  <c r="O210" i="129" s="1"/>
  <c r="O211" i="129" s="1"/>
  <c r="O212" i="129" s="1"/>
  <c r="O213" i="129" s="1"/>
  <c r="O214" i="129" s="1"/>
  <c r="O215" i="129" s="1"/>
  <c r="O216" i="129" s="1"/>
  <c r="AH216" i="129" s="1"/>
  <c r="O225" i="129"/>
  <c r="G274" i="129"/>
  <c r="G275" i="129" s="1"/>
  <c r="G276" i="129" s="1"/>
  <c r="G277" i="129" s="1"/>
  <c r="AH277" i="129" s="1"/>
  <c r="G299" i="129"/>
  <c r="P321" i="129"/>
  <c r="P322" i="129" s="1"/>
  <c r="AH322" i="129" s="1"/>
  <c r="P337" i="129"/>
  <c r="U337" i="129"/>
  <c r="U326" i="129"/>
  <c r="U327" i="129" s="1"/>
  <c r="AH327" i="129" s="1"/>
  <c r="M242" i="129"/>
  <c r="M243" i="129" s="1"/>
  <c r="M244" i="129" s="1"/>
  <c r="M245" i="129" s="1"/>
  <c r="M246" i="129" s="1"/>
  <c r="M247" i="129" s="1"/>
  <c r="AH247" i="129" s="1"/>
  <c r="M261" i="129"/>
  <c r="AB257" i="129"/>
  <c r="AB258" i="129" s="1"/>
  <c r="AB259" i="129" s="1"/>
  <c r="AB260" i="129" s="1"/>
  <c r="AB261" i="129"/>
  <c r="AH188" i="129"/>
  <c r="S212" i="129"/>
  <c r="S213" i="129" s="1"/>
  <c r="S214" i="129" s="1"/>
  <c r="S215" i="129" s="1"/>
  <c r="S216" i="129" s="1"/>
  <c r="S217" i="129" s="1"/>
  <c r="S218" i="129" s="1"/>
  <c r="S219" i="129" s="1"/>
  <c r="S220" i="129" s="1"/>
  <c r="AH220" i="129" s="1"/>
  <c r="S225" i="129"/>
  <c r="AH232" i="129"/>
  <c r="F162" i="129"/>
  <c r="F163" i="129" s="1"/>
  <c r="F164" i="129" s="1"/>
  <c r="F165" i="129" s="1"/>
  <c r="F166" i="129" s="1"/>
  <c r="F167" i="129" s="1"/>
  <c r="F168" i="129" s="1"/>
  <c r="F169" i="129" s="1"/>
  <c r="F170" i="129" s="1"/>
  <c r="F171" i="129" s="1"/>
  <c r="F172" i="129" s="1"/>
  <c r="AH172" i="129" s="1"/>
  <c r="AH233" i="129"/>
  <c r="D274" i="129"/>
  <c r="AH274" i="129" s="1"/>
  <c r="AH273" i="129"/>
  <c r="D309" i="129"/>
  <c r="AH308" i="129"/>
  <c r="D337" i="129"/>
  <c r="R174" i="129"/>
  <c r="R175" i="129" s="1"/>
  <c r="R176" i="129" s="1"/>
  <c r="R177" i="129" s="1"/>
  <c r="R178" i="129" s="1"/>
  <c r="R179" i="129" s="1"/>
  <c r="R180" i="129" s="1"/>
  <c r="R181" i="129" s="1"/>
  <c r="R182" i="129" s="1"/>
  <c r="R183" i="129" s="1"/>
  <c r="R184" i="129" s="1"/>
  <c r="AH184" i="129" s="1"/>
  <c r="T176" i="129"/>
  <c r="T177" i="129" s="1"/>
  <c r="T178" i="129" s="1"/>
  <c r="T179" i="129" s="1"/>
  <c r="T180" i="129" s="1"/>
  <c r="T181" i="129" s="1"/>
  <c r="T182" i="129" s="1"/>
  <c r="T183" i="129" s="1"/>
  <c r="T184" i="129" s="1"/>
  <c r="T185" i="129" s="1"/>
  <c r="T186" i="129" s="1"/>
  <c r="AH186" i="129" s="1"/>
  <c r="H337" i="129"/>
  <c r="H313" i="129"/>
  <c r="H314" i="129" s="1"/>
  <c r="AH314" i="129" s="1"/>
  <c r="U250" i="129"/>
  <c r="U251" i="129" s="1"/>
  <c r="U252" i="129" s="1"/>
  <c r="U253" i="129" s="1"/>
  <c r="U254" i="129" s="1"/>
  <c r="U255" i="129" s="1"/>
  <c r="AH255" i="129" s="1"/>
  <c r="U261" i="129"/>
  <c r="AH270" i="129"/>
  <c r="AH299" i="129" s="1"/>
  <c r="W290" i="129"/>
  <c r="W291" i="129" s="1"/>
  <c r="W292" i="129" s="1"/>
  <c r="W293" i="129" s="1"/>
  <c r="AH293" i="129" s="1"/>
  <c r="Q261" i="129"/>
  <c r="E310" i="129"/>
  <c r="E311" i="129" s="1"/>
  <c r="AH311" i="129" s="1"/>
  <c r="F261" i="129"/>
  <c r="F235" i="129"/>
  <c r="F236" i="129" s="1"/>
  <c r="F237" i="129" s="1"/>
  <c r="F238" i="129" s="1"/>
  <c r="F239" i="129" s="1"/>
  <c r="F240" i="129" s="1"/>
  <c r="AH240" i="129" s="1"/>
  <c r="X217" i="129"/>
  <c r="X218" i="129" s="1"/>
  <c r="X219" i="129" s="1"/>
  <c r="X220" i="129" s="1"/>
  <c r="X221" i="129" s="1"/>
  <c r="X222" i="129" s="1"/>
  <c r="X223" i="129" s="1"/>
  <c r="X224" i="129" s="1"/>
  <c r="Y218" i="129"/>
  <c r="Y219" i="129" s="1"/>
  <c r="Y220" i="129" s="1"/>
  <c r="Y221" i="129" s="1"/>
  <c r="Y222" i="129" s="1"/>
  <c r="Y223" i="129" s="1"/>
  <c r="Y224" i="129" s="1"/>
  <c r="Z219" i="129"/>
  <c r="Z220" i="129" s="1"/>
  <c r="Z221" i="129" s="1"/>
  <c r="Z222" i="129" s="1"/>
  <c r="Z223" i="129" s="1"/>
  <c r="Z224" i="129" s="1"/>
  <c r="AF15" i="135" l="1"/>
  <c r="AF14" i="135"/>
  <c r="AD26" i="135"/>
  <c r="AF13" i="134"/>
  <c r="AG14" i="134"/>
  <c r="AF13" i="133"/>
  <c r="AG14" i="133"/>
  <c r="AC27" i="134"/>
  <c r="AD27" i="133"/>
  <c r="C31" i="132"/>
  <c r="C368" i="132"/>
  <c r="D33" i="132"/>
  <c r="AH32" i="132"/>
  <c r="AH69" i="132"/>
  <c r="D70" i="132"/>
  <c r="Z9" i="132"/>
  <c r="AA8" i="132"/>
  <c r="Z10" i="132"/>
  <c r="Y40" i="132"/>
  <c r="C12" i="129"/>
  <c r="D14" i="129"/>
  <c r="AH13" i="129"/>
  <c r="AH309" i="129"/>
  <c r="D310" i="129"/>
  <c r="AH310" i="129" s="1"/>
  <c r="D126" i="129"/>
  <c r="AH125" i="129"/>
  <c r="AH236" i="129"/>
  <c r="D237" i="129"/>
  <c r="AH91" i="129"/>
  <c r="D92" i="129"/>
  <c r="D161" i="129"/>
  <c r="AH160" i="129"/>
  <c r="D52" i="129"/>
  <c r="AH51" i="129"/>
  <c r="I8" i="129"/>
  <c r="H9" i="129"/>
  <c r="D198" i="129"/>
  <c r="AH197" i="129"/>
  <c r="C345" i="129"/>
  <c r="F40" i="129"/>
  <c r="AC45" i="134" l="1"/>
  <c r="AF17" i="133"/>
  <c r="AG13" i="133"/>
  <c r="AF17" i="134"/>
  <c r="AG13" i="134"/>
  <c r="AF13" i="135"/>
  <c r="AD45" i="133"/>
  <c r="AB8" i="132"/>
  <c r="AA9" i="132"/>
  <c r="AA10" i="132"/>
  <c r="AH70" i="132"/>
  <c r="D71" i="132"/>
  <c r="D34" i="132"/>
  <c r="AH33" i="132"/>
  <c r="Z40" i="132"/>
  <c r="C369" i="132"/>
  <c r="C32" i="132"/>
  <c r="D93" i="129"/>
  <c r="AH92" i="129"/>
  <c r="D238" i="129"/>
  <c r="AH238" i="129" s="1"/>
  <c r="AH237" i="129"/>
  <c r="C13" i="129"/>
  <c r="AH161" i="129"/>
  <c r="D162" i="129"/>
  <c r="AH14" i="129"/>
  <c r="D15" i="129"/>
  <c r="C346" i="129"/>
  <c r="AH198" i="129"/>
  <c r="D199" i="129"/>
  <c r="AH126" i="129"/>
  <c r="D127" i="129"/>
  <c r="I10" i="129"/>
  <c r="I9" i="129"/>
  <c r="J8" i="129"/>
  <c r="D53" i="129"/>
  <c r="AH52" i="129"/>
  <c r="AF17" i="135" l="1"/>
  <c r="AF26" i="134"/>
  <c r="AG17" i="134"/>
  <c r="AF26" i="133"/>
  <c r="AG17" i="133"/>
  <c r="C33" i="132"/>
  <c r="C370" i="132"/>
  <c r="AH71" i="132"/>
  <c r="D72" i="132"/>
  <c r="AH72" i="132" s="1"/>
  <c r="D35" i="132"/>
  <c r="AH34" i="132"/>
  <c r="AA40" i="132"/>
  <c r="AC8" i="132"/>
  <c r="AB9" i="132"/>
  <c r="AB10" i="132"/>
  <c r="D16" i="129"/>
  <c r="D54" i="129"/>
  <c r="AH53" i="129"/>
  <c r="K8" i="129"/>
  <c r="J10" i="129"/>
  <c r="J9" i="129"/>
  <c r="D163" i="129"/>
  <c r="AH162" i="129"/>
  <c r="AH199" i="129"/>
  <c r="D200" i="129"/>
  <c r="C347" i="129"/>
  <c r="AH93" i="129"/>
  <c r="D94" i="129"/>
  <c r="AH127" i="129"/>
  <c r="D128" i="129"/>
  <c r="C14" i="129"/>
  <c r="AF27" i="133" l="1"/>
  <c r="AG26" i="133"/>
  <c r="AF27" i="134"/>
  <c r="AG26" i="134"/>
  <c r="AF26" i="135"/>
  <c r="AB40" i="132"/>
  <c r="C371" i="132"/>
  <c r="AD8" i="132"/>
  <c r="AC9" i="132"/>
  <c r="AC10" i="132"/>
  <c r="D36" i="132"/>
  <c r="AH35" i="132"/>
  <c r="C34" i="132"/>
  <c r="AH200" i="129"/>
  <c r="D201" i="129"/>
  <c r="D17" i="129"/>
  <c r="D129" i="129"/>
  <c r="AH128" i="129"/>
  <c r="AH94" i="129"/>
  <c r="D95" i="129"/>
  <c r="K10" i="129"/>
  <c r="K9" i="129"/>
  <c r="L8" i="129"/>
  <c r="C348" i="129"/>
  <c r="D55" i="129"/>
  <c r="AH54" i="129"/>
  <c r="AH163" i="129"/>
  <c r="D164" i="129"/>
  <c r="C15" i="129"/>
  <c r="AF45" i="134" l="1"/>
  <c r="AG45" i="134" s="1"/>
  <c r="AG27" i="134"/>
  <c r="AF45" i="133"/>
  <c r="AG45" i="133" s="1"/>
  <c r="AG27" i="133"/>
  <c r="AH36" i="132"/>
  <c r="D37" i="132"/>
  <c r="C35" i="132"/>
  <c r="AC40" i="132"/>
  <c r="AD9" i="132"/>
  <c r="AE8" i="132"/>
  <c r="AD10" i="132"/>
  <c r="AH95" i="129"/>
  <c r="D96" i="129"/>
  <c r="L10" i="129"/>
  <c r="L9" i="129"/>
  <c r="M8" i="129"/>
  <c r="C16" i="129"/>
  <c r="D165" i="129"/>
  <c r="AH164" i="129"/>
  <c r="AH129" i="129"/>
  <c r="D130" i="129"/>
  <c r="D18" i="129"/>
  <c r="D56" i="129"/>
  <c r="AH55" i="129"/>
  <c r="D202" i="129"/>
  <c r="AH201" i="129"/>
  <c r="C349" i="129"/>
  <c r="C36" i="132" l="1"/>
  <c r="D38" i="132"/>
  <c r="AH37" i="132"/>
  <c r="AE9" i="132"/>
  <c r="AF8" i="132"/>
  <c r="AE10" i="132"/>
  <c r="AD40" i="132"/>
  <c r="L40" i="129"/>
  <c r="D57" i="129"/>
  <c r="AH56" i="129"/>
  <c r="C17" i="129"/>
  <c r="N8" i="129"/>
  <c r="M10" i="129"/>
  <c r="M9" i="129"/>
  <c r="M40" i="129" s="1"/>
  <c r="D19" i="129"/>
  <c r="AH96" i="129"/>
  <c r="D97" i="129"/>
  <c r="D203" i="129"/>
  <c r="AH202" i="129"/>
  <c r="D131" i="129"/>
  <c r="AH130" i="129"/>
  <c r="C350" i="129"/>
  <c r="AH165" i="129"/>
  <c r="D166" i="129"/>
  <c r="D39" i="132" l="1"/>
  <c r="AH38" i="132"/>
  <c r="AE40" i="132"/>
  <c r="AG8" i="132"/>
  <c r="AF9" i="132"/>
  <c r="AF10" i="132"/>
  <c r="C37" i="132"/>
  <c r="D204" i="129"/>
  <c r="AH203" i="129"/>
  <c r="D98" i="129"/>
  <c r="AH97" i="129"/>
  <c r="D132" i="129"/>
  <c r="AH131" i="129"/>
  <c r="N10" i="129"/>
  <c r="N9" i="129"/>
  <c r="O8" i="129"/>
  <c r="C18" i="129"/>
  <c r="AH57" i="129"/>
  <c r="D58" i="129"/>
  <c r="D20" i="129"/>
  <c r="AH166" i="129"/>
  <c r="D167" i="129"/>
  <c r="C351" i="129"/>
  <c r="C38" i="132" l="1"/>
  <c r="AH39" i="132"/>
  <c r="D40" i="132"/>
  <c r="AF40" i="132"/>
  <c r="AG9" i="132"/>
  <c r="AG10" i="132"/>
  <c r="D133" i="129"/>
  <c r="AH132" i="129"/>
  <c r="AH98" i="129"/>
  <c r="D99" i="129"/>
  <c r="AH204" i="129"/>
  <c r="D205" i="129"/>
  <c r="AH205" i="129" s="1"/>
  <c r="C19" i="129"/>
  <c r="C352" i="129"/>
  <c r="AH167" i="129"/>
  <c r="D168" i="129"/>
  <c r="D21" i="129"/>
  <c r="O9" i="129"/>
  <c r="P8" i="129"/>
  <c r="O10" i="129"/>
  <c r="AH58" i="129"/>
  <c r="D59" i="129"/>
  <c r="N40" i="129"/>
  <c r="AG40" i="132" l="1"/>
  <c r="AH9" i="132"/>
  <c r="AL38" i="132"/>
  <c r="C39" i="132"/>
  <c r="AH350" i="132"/>
  <c r="AL22" i="132" s="1"/>
  <c r="AH371" i="132"/>
  <c r="AL36" i="132"/>
  <c r="AH369" i="132"/>
  <c r="C353" i="129"/>
  <c r="D134" i="129"/>
  <c r="AH133" i="129"/>
  <c r="D60" i="129"/>
  <c r="AH59" i="129"/>
  <c r="P9" i="129"/>
  <c r="Q8" i="129"/>
  <c r="P10" i="129"/>
  <c r="O40" i="129"/>
  <c r="D22" i="129"/>
  <c r="C20" i="129"/>
  <c r="D100" i="129"/>
  <c r="AH99" i="129"/>
  <c r="AH168" i="129"/>
  <c r="D169" i="129"/>
  <c r="AH341" i="132" l="1"/>
  <c r="AL13" i="132" s="1"/>
  <c r="AL9" i="132"/>
  <c r="AL39" i="132"/>
  <c r="AL37" i="132"/>
  <c r="AL31" i="132"/>
  <c r="AL32" i="132"/>
  <c r="AH354" i="132"/>
  <c r="AL26" i="132" s="1"/>
  <c r="AH370" i="132"/>
  <c r="AH349" i="132"/>
  <c r="AL21" i="132" s="1"/>
  <c r="AH361" i="132"/>
  <c r="AL34" i="132"/>
  <c r="AL35" i="132"/>
  <c r="AH368" i="132"/>
  <c r="AL33" i="132"/>
  <c r="AH359" i="132"/>
  <c r="AH360" i="132"/>
  <c r="AH362" i="132"/>
  <c r="AH352" i="132"/>
  <c r="AL24" i="132" s="1"/>
  <c r="D23" i="129"/>
  <c r="Q9" i="129"/>
  <c r="R8" i="129"/>
  <c r="Q10" i="129"/>
  <c r="P40" i="129"/>
  <c r="D61" i="129"/>
  <c r="AH60" i="129"/>
  <c r="D170" i="129"/>
  <c r="AH170" i="129" s="1"/>
  <c r="AH169" i="129"/>
  <c r="AH134" i="129"/>
  <c r="D135" i="129"/>
  <c r="C354" i="129"/>
  <c r="D101" i="129"/>
  <c r="AH100" i="129"/>
  <c r="C21" i="129"/>
  <c r="AH363" i="132" l="1"/>
  <c r="AH364" i="132"/>
  <c r="AH345" i="132"/>
  <c r="AL17" i="132" s="1"/>
  <c r="AL11" i="132"/>
  <c r="AH358" i="132"/>
  <c r="AL30" i="132" s="1"/>
  <c r="AH346" i="132"/>
  <c r="AL18" i="132" s="1"/>
  <c r="AH366" i="132"/>
  <c r="AH344" i="132"/>
  <c r="AL16" i="132" s="1"/>
  <c r="AH357" i="132"/>
  <c r="AL29" i="132" s="1"/>
  <c r="AH348" i="132"/>
  <c r="AL20" i="132" s="1"/>
  <c r="AH356" i="132"/>
  <c r="AL28" i="132" s="1"/>
  <c r="AH351" i="132"/>
  <c r="AL23" i="132" s="1"/>
  <c r="AL12" i="132"/>
  <c r="AH347" i="132"/>
  <c r="AL19" i="132" s="1"/>
  <c r="AH365" i="132"/>
  <c r="AH355" i="132"/>
  <c r="AL27" i="132" s="1"/>
  <c r="AH343" i="132"/>
  <c r="AL15" i="132" s="1"/>
  <c r="AH353" i="132"/>
  <c r="AL25" i="132" s="1"/>
  <c r="AH367" i="132"/>
  <c r="C22" i="129"/>
  <c r="S8" i="129"/>
  <c r="R9" i="129"/>
  <c r="R10" i="129"/>
  <c r="AH101" i="129"/>
  <c r="D102" i="129"/>
  <c r="Q40" i="129"/>
  <c r="C355" i="129"/>
  <c r="AH135" i="129"/>
  <c r="D136" i="129"/>
  <c r="AH136" i="129" s="1"/>
  <c r="D24" i="129"/>
  <c r="D62" i="129"/>
  <c r="AH61" i="129"/>
  <c r="R40" i="129" l="1"/>
  <c r="D103" i="129"/>
  <c r="AH102" i="129"/>
  <c r="D63" i="129"/>
  <c r="AH62" i="129"/>
  <c r="D25" i="129"/>
  <c r="S9" i="129"/>
  <c r="S10" i="129"/>
  <c r="T8" i="129"/>
  <c r="C356" i="129"/>
  <c r="C23" i="129"/>
  <c r="S40" i="129" l="1"/>
  <c r="C24" i="129"/>
  <c r="C357" i="129"/>
  <c r="AH103" i="129"/>
  <c r="D104" i="129"/>
  <c r="AH104" i="129" s="1"/>
  <c r="U8" i="129"/>
  <c r="T9" i="129"/>
  <c r="T10" i="129"/>
  <c r="D26" i="129"/>
  <c r="D64" i="129"/>
  <c r="AH63" i="129"/>
  <c r="C16" i="89"/>
  <c r="T40" i="129" l="1"/>
  <c r="U10" i="129"/>
  <c r="U9" i="129"/>
  <c r="U40" i="129" s="1"/>
  <c r="V8" i="129"/>
  <c r="C358" i="129"/>
  <c r="D27" i="129"/>
  <c r="D65" i="129"/>
  <c r="AH64" i="129"/>
  <c r="C25" i="129"/>
  <c r="C359" i="129" l="1"/>
  <c r="D28" i="129"/>
  <c r="C26" i="129"/>
  <c r="W8" i="129"/>
  <c r="V9" i="129"/>
  <c r="V10" i="129"/>
  <c r="D66" i="129"/>
  <c r="AH65" i="129"/>
  <c r="D29" i="129" l="1"/>
  <c r="D67" i="129"/>
  <c r="AH66" i="129"/>
  <c r="V40" i="129"/>
  <c r="W9" i="129"/>
  <c r="W10" i="129"/>
  <c r="X8" i="129"/>
  <c r="C27" i="129"/>
  <c r="C360" i="129"/>
  <c r="Y8" i="129" l="1"/>
  <c r="X10" i="129"/>
  <c r="X9" i="129"/>
  <c r="C361" i="129"/>
  <c r="W40" i="129"/>
  <c r="C28" i="129"/>
  <c r="D30" i="129"/>
  <c r="AH67" i="129"/>
  <c r="D68" i="129"/>
  <c r="X40" i="129" l="1"/>
  <c r="D69" i="129"/>
  <c r="AH68" i="129"/>
  <c r="Y10" i="129"/>
  <c r="Y9" i="129"/>
  <c r="Y40" i="129" s="1"/>
  <c r="Z8" i="129"/>
  <c r="C362" i="129"/>
  <c r="D31" i="129"/>
  <c r="C29" i="129"/>
  <c r="C30" i="129" l="1"/>
  <c r="C363" i="129"/>
  <c r="Z10" i="129"/>
  <c r="Z9" i="129"/>
  <c r="AA8" i="129"/>
  <c r="D70" i="129"/>
  <c r="AH69" i="129"/>
  <c r="D32" i="129"/>
  <c r="N115" i="87"/>
  <c r="J39" i="72"/>
  <c r="I39" i="72"/>
  <c r="J38" i="72"/>
  <c r="I38" i="72"/>
  <c r="J37" i="72"/>
  <c r="I37" i="72"/>
  <c r="J36" i="72"/>
  <c r="I36" i="72"/>
  <c r="J32" i="72"/>
  <c r="I32" i="72"/>
  <c r="J31" i="72"/>
  <c r="I31" i="72"/>
  <c r="J30" i="72"/>
  <c r="I30" i="72"/>
  <c r="J29" i="72"/>
  <c r="I29" i="72"/>
  <c r="J25" i="72"/>
  <c r="I25" i="72"/>
  <c r="J24" i="72"/>
  <c r="I24" i="72"/>
  <c r="J23" i="72"/>
  <c r="I23" i="72"/>
  <c r="J22" i="72"/>
  <c r="I22" i="72"/>
  <c r="I16" i="72"/>
  <c r="J16" i="72"/>
  <c r="I17" i="72"/>
  <c r="J17" i="72"/>
  <c r="I18" i="72"/>
  <c r="J18" i="72"/>
  <c r="J15" i="72"/>
  <c r="I15" i="72"/>
  <c r="I8" i="72"/>
  <c r="J8" i="72"/>
  <c r="I9" i="72"/>
  <c r="J9" i="72"/>
  <c r="I10" i="72"/>
  <c r="J10" i="72"/>
  <c r="I11" i="72"/>
  <c r="J11" i="72"/>
  <c r="J7" i="72"/>
  <c r="E39" i="72"/>
  <c r="E38" i="72"/>
  <c r="E37" i="72"/>
  <c r="E36" i="72"/>
  <c r="E32" i="72"/>
  <c r="E31" i="72"/>
  <c r="E30" i="72"/>
  <c r="E29" i="72"/>
  <c r="E25" i="72"/>
  <c r="E24" i="72"/>
  <c r="E23" i="72"/>
  <c r="E22" i="72"/>
  <c r="E16" i="72"/>
  <c r="E17" i="72"/>
  <c r="E18" i="72"/>
  <c r="E15" i="72"/>
  <c r="E8" i="72"/>
  <c r="E9" i="72"/>
  <c r="E10" i="72"/>
  <c r="E11" i="72"/>
  <c r="E7" i="72"/>
  <c r="C15" i="88"/>
  <c r="F11" i="88"/>
  <c r="F12" i="88"/>
  <c r="F13" i="88"/>
  <c r="F14" i="88"/>
  <c r="E11" i="88"/>
  <c r="E12" i="88"/>
  <c r="E13" i="88"/>
  <c r="E14" i="88"/>
  <c r="C342" i="121"/>
  <c r="T340" i="121"/>
  <c r="U340" i="121" s="1"/>
  <c r="V340" i="121" s="1"/>
  <c r="W340" i="121" s="1"/>
  <c r="X340" i="121" s="1"/>
  <c r="Y340" i="121" s="1"/>
  <c r="Z340" i="121" s="1"/>
  <c r="AA340" i="121" s="1"/>
  <c r="AB340" i="121" s="1"/>
  <c r="AC340" i="121" s="1"/>
  <c r="AD340" i="121" s="1"/>
  <c r="AE340" i="121" s="1"/>
  <c r="AF340" i="121" s="1"/>
  <c r="AG340" i="121" s="1"/>
  <c r="E340" i="121"/>
  <c r="F340" i="121" s="1"/>
  <c r="G340" i="121" s="1"/>
  <c r="H340" i="121" s="1"/>
  <c r="I340" i="121" s="1"/>
  <c r="J340" i="121" s="1"/>
  <c r="K340" i="121" s="1"/>
  <c r="L340" i="121" s="1"/>
  <c r="M340" i="121" s="1"/>
  <c r="N340" i="121" s="1"/>
  <c r="O340" i="121" s="1"/>
  <c r="P340" i="121" s="1"/>
  <c r="Q340" i="121" s="1"/>
  <c r="R340" i="121" s="1"/>
  <c r="S340" i="121" s="1"/>
  <c r="AH337" i="121"/>
  <c r="AC337" i="121"/>
  <c r="AB337" i="121"/>
  <c r="Z337" i="121"/>
  <c r="X337" i="121"/>
  <c r="W337" i="121"/>
  <c r="U337" i="121"/>
  <c r="Q337" i="121"/>
  <c r="P337" i="121"/>
  <c r="N337" i="121"/>
  <c r="M337" i="121"/>
  <c r="L337" i="121"/>
  <c r="I337" i="121"/>
  <c r="E337" i="121"/>
  <c r="D337" i="121"/>
  <c r="AG336" i="121"/>
  <c r="AG337" i="121" s="1"/>
  <c r="AF336" i="121"/>
  <c r="AF337" i="121" s="1"/>
  <c r="AE336" i="121"/>
  <c r="AE335" i="121"/>
  <c r="AE337" i="121" s="1"/>
  <c r="AD334" i="121"/>
  <c r="AC334" i="121"/>
  <c r="AC335" i="121" s="1"/>
  <c r="AH335" i="121" s="1"/>
  <c r="AH333" i="121"/>
  <c r="AC333" i="121"/>
  <c r="AB333" i="121"/>
  <c r="AB334" i="121" s="1"/>
  <c r="AH334" i="121" s="1"/>
  <c r="AB332" i="121"/>
  <c r="AA332" i="121"/>
  <c r="AA333" i="121" s="1"/>
  <c r="Z332" i="121"/>
  <c r="AH332" i="121" s="1"/>
  <c r="AA331" i="121"/>
  <c r="AA337" i="121" s="1"/>
  <c r="Z331" i="121"/>
  <c r="Z330" i="121"/>
  <c r="Y329" i="121"/>
  <c r="X329" i="121"/>
  <c r="X330" i="121" s="1"/>
  <c r="AH330" i="121" s="1"/>
  <c r="W329" i="121"/>
  <c r="AH329" i="121" s="1"/>
  <c r="X328" i="121"/>
  <c r="W327" i="121"/>
  <c r="W328" i="121" s="1"/>
  <c r="V326" i="121"/>
  <c r="U326" i="121"/>
  <c r="U327" i="121" s="1"/>
  <c r="AH327" i="121" s="1"/>
  <c r="T326" i="121"/>
  <c r="AH326" i="121" s="1"/>
  <c r="U325" i="121"/>
  <c r="T325" i="121"/>
  <c r="S325" i="121"/>
  <c r="AH325" i="121" s="1"/>
  <c r="T324" i="121"/>
  <c r="T337" i="121" s="1"/>
  <c r="S324" i="121"/>
  <c r="S323" i="121"/>
  <c r="S337" i="121" s="1"/>
  <c r="AH322" i="121"/>
  <c r="R322" i="121"/>
  <c r="Q322" i="121"/>
  <c r="Q323" i="121" s="1"/>
  <c r="AH323" i="121" s="1"/>
  <c r="Q321" i="121"/>
  <c r="P321" i="121"/>
  <c r="P322" i="121" s="1"/>
  <c r="P320" i="121"/>
  <c r="O319" i="121"/>
  <c r="N319" i="121"/>
  <c r="N320" i="121" s="1"/>
  <c r="AH320" i="121" s="1"/>
  <c r="N318" i="121"/>
  <c r="M317" i="121"/>
  <c r="M318" i="121" s="1"/>
  <c r="M319" i="121" s="1"/>
  <c r="AH319" i="121" s="1"/>
  <c r="L316" i="121"/>
  <c r="L317" i="121" s="1"/>
  <c r="L318" i="121" s="1"/>
  <c r="AH318" i="121" s="1"/>
  <c r="K315" i="121"/>
  <c r="J314" i="121"/>
  <c r="J337" i="121" s="1"/>
  <c r="I314" i="121"/>
  <c r="I315" i="121" s="1"/>
  <c r="AH315" i="121" s="1"/>
  <c r="I313" i="121"/>
  <c r="H313" i="121"/>
  <c r="H314" i="121" s="1"/>
  <c r="AH314" i="121" s="1"/>
  <c r="G313" i="121"/>
  <c r="AH313" i="121" s="1"/>
  <c r="H312" i="121"/>
  <c r="H337" i="121" s="1"/>
  <c r="G312" i="121"/>
  <c r="AH311" i="121"/>
  <c r="G311" i="121"/>
  <c r="G337" i="121" s="1"/>
  <c r="F310" i="121"/>
  <c r="E310" i="121"/>
  <c r="E311" i="121" s="1"/>
  <c r="E309" i="121"/>
  <c r="D309" i="121"/>
  <c r="AH308" i="121"/>
  <c r="D308" i="121"/>
  <c r="C308" i="121"/>
  <c r="C309" i="121" s="1"/>
  <c r="C310" i="121" s="1"/>
  <c r="C311" i="121" s="1"/>
  <c r="C312" i="121" s="1"/>
  <c r="C313" i="121" s="1"/>
  <c r="C314" i="121" s="1"/>
  <c r="C315" i="121" s="1"/>
  <c r="C316" i="121" s="1"/>
  <c r="C317" i="121" s="1"/>
  <c r="C318" i="121" s="1"/>
  <c r="C319" i="121" s="1"/>
  <c r="C320" i="121" s="1"/>
  <c r="C321" i="121" s="1"/>
  <c r="C322" i="121" s="1"/>
  <c r="C323" i="121" s="1"/>
  <c r="C324" i="121" s="1"/>
  <c r="C325" i="121" s="1"/>
  <c r="C326" i="121" s="1"/>
  <c r="C327" i="121" s="1"/>
  <c r="C328" i="121" s="1"/>
  <c r="C329" i="121" s="1"/>
  <c r="C330" i="121" s="1"/>
  <c r="C331" i="121" s="1"/>
  <c r="C332" i="121" s="1"/>
  <c r="C333" i="121" s="1"/>
  <c r="C334" i="121" s="1"/>
  <c r="C335" i="121" s="1"/>
  <c r="C336" i="121" s="1"/>
  <c r="AH307" i="121"/>
  <c r="C307" i="121"/>
  <c r="AH306" i="121"/>
  <c r="F305" i="121"/>
  <c r="G305" i="121" s="1"/>
  <c r="H305" i="121" s="1"/>
  <c r="I305" i="121" s="1"/>
  <c r="J305" i="121" s="1"/>
  <c r="K305" i="121" s="1"/>
  <c r="L305" i="121" s="1"/>
  <c r="M305" i="121" s="1"/>
  <c r="N305" i="121" s="1"/>
  <c r="O305" i="121" s="1"/>
  <c r="P305" i="121" s="1"/>
  <c r="Q305" i="121" s="1"/>
  <c r="R305" i="121" s="1"/>
  <c r="S305" i="121" s="1"/>
  <c r="T305" i="121" s="1"/>
  <c r="U305" i="121" s="1"/>
  <c r="V305" i="121" s="1"/>
  <c r="W305" i="121" s="1"/>
  <c r="X305" i="121" s="1"/>
  <c r="Y305" i="121" s="1"/>
  <c r="Z305" i="121" s="1"/>
  <c r="AA305" i="121" s="1"/>
  <c r="AB305" i="121" s="1"/>
  <c r="AC305" i="121" s="1"/>
  <c r="AD305" i="121" s="1"/>
  <c r="AE305" i="121" s="1"/>
  <c r="AF305" i="121" s="1"/>
  <c r="AG305" i="121" s="1"/>
  <c r="E305" i="121"/>
  <c r="AH304" i="121"/>
  <c r="B304" i="121"/>
  <c r="AD299" i="121"/>
  <c r="Z299" i="121"/>
  <c r="Y299" i="121"/>
  <c r="U299" i="121"/>
  <c r="T299" i="121"/>
  <c r="S299" i="121"/>
  <c r="R299" i="121"/>
  <c r="Q299" i="121"/>
  <c r="N299" i="121"/>
  <c r="M299" i="121"/>
  <c r="I299" i="121"/>
  <c r="H299" i="121"/>
  <c r="G299" i="121"/>
  <c r="F299" i="121"/>
  <c r="E299" i="121"/>
  <c r="AG298" i="121"/>
  <c r="AG299" i="121" s="1"/>
  <c r="AF298" i="121"/>
  <c r="AF299" i="121" s="1"/>
  <c r="AE297" i="121"/>
  <c r="AE298" i="121" s="1"/>
  <c r="AD297" i="121"/>
  <c r="AD298" i="121" s="1"/>
  <c r="AC297" i="121"/>
  <c r="AC298" i="121" s="1"/>
  <c r="AD296" i="121"/>
  <c r="AH295" i="121"/>
  <c r="AC295" i="121"/>
  <c r="AC296" i="121" s="1"/>
  <c r="Z295" i="121"/>
  <c r="Z296" i="121" s="1"/>
  <c r="AH296" i="121" s="1"/>
  <c r="AB294" i="121"/>
  <c r="Y294" i="121"/>
  <c r="Y295" i="121" s="1"/>
  <c r="AH293" i="121"/>
  <c r="AA293" i="121"/>
  <c r="AA299" i="121" s="1"/>
  <c r="Z293" i="121"/>
  <c r="Z294" i="121" s="1"/>
  <c r="Z292" i="121"/>
  <c r="Y292" i="121"/>
  <c r="Y293" i="121" s="1"/>
  <c r="Y291" i="121"/>
  <c r="U291" i="121"/>
  <c r="AH291" i="121" s="1"/>
  <c r="X290" i="121"/>
  <c r="W290" i="121"/>
  <c r="W291" i="121" s="1"/>
  <c r="W292" i="121" s="1"/>
  <c r="W293" i="121" s="1"/>
  <c r="W289" i="121"/>
  <c r="W299" i="121" s="1"/>
  <c r="U289" i="121"/>
  <c r="U290" i="121" s="1"/>
  <c r="AH288" i="121"/>
  <c r="V288" i="121"/>
  <c r="U288" i="121"/>
  <c r="T288" i="121"/>
  <c r="T289" i="121" s="1"/>
  <c r="T290" i="121" s="1"/>
  <c r="AH290" i="121" s="1"/>
  <c r="U287" i="121"/>
  <c r="Q287" i="121"/>
  <c r="AH287" i="121" s="1"/>
  <c r="T286" i="121"/>
  <c r="T287" i="121" s="1"/>
  <c r="S285" i="121"/>
  <c r="S286" i="121" s="1"/>
  <c r="S287" i="121" s="1"/>
  <c r="S288" i="121" s="1"/>
  <c r="S289" i="121" s="1"/>
  <c r="AH289" i="121" s="1"/>
  <c r="R285" i="121"/>
  <c r="R286" i="121" s="1"/>
  <c r="R287" i="121" s="1"/>
  <c r="R288" i="121" s="1"/>
  <c r="Q285" i="121"/>
  <c r="Q286" i="121" s="1"/>
  <c r="R284" i="121"/>
  <c r="N284" i="121"/>
  <c r="AH284" i="121" s="1"/>
  <c r="Q283" i="121"/>
  <c r="Q284" i="121" s="1"/>
  <c r="P283" i="121"/>
  <c r="P284" i="121" s="1"/>
  <c r="P285" i="121" s="1"/>
  <c r="P286" i="121" s="1"/>
  <c r="AH286" i="121" s="1"/>
  <c r="P282" i="121"/>
  <c r="P299" i="121" s="1"/>
  <c r="N282" i="121"/>
  <c r="N283" i="121" s="1"/>
  <c r="M282" i="121"/>
  <c r="M283" i="121" s="1"/>
  <c r="AH283" i="121" s="1"/>
  <c r="O281" i="121"/>
  <c r="N281" i="121"/>
  <c r="N280" i="121"/>
  <c r="M280" i="121"/>
  <c r="M281" i="121" s="1"/>
  <c r="AH279" i="121"/>
  <c r="M279" i="121"/>
  <c r="L278" i="121"/>
  <c r="K278" i="121"/>
  <c r="K279" i="121" s="1"/>
  <c r="K280" i="121" s="1"/>
  <c r="K281" i="121" s="1"/>
  <c r="AH281" i="121" s="1"/>
  <c r="K277" i="121"/>
  <c r="K299" i="121" s="1"/>
  <c r="J277" i="121"/>
  <c r="J278" i="121" s="1"/>
  <c r="J279" i="121" s="1"/>
  <c r="J280" i="121" s="1"/>
  <c r="AH280" i="121" s="1"/>
  <c r="AH276" i="121"/>
  <c r="J276" i="121"/>
  <c r="J299" i="121" s="1"/>
  <c r="I276" i="121"/>
  <c r="I277" i="121" s="1"/>
  <c r="I278" i="121" s="1"/>
  <c r="I279" i="121" s="1"/>
  <c r="H276" i="121"/>
  <c r="H277" i="121" s="1"/>
  <c r="H278" i="121" s="1"/>
  <c r="AH278" i="121" s="1"/>
  <c r="I275" i="121"/>
  <c r="G275" i="121"/>
  <c r="G276" i="121" s="1"/>
  <c r="G277" i="121" s="1"/>
  <c r="AH277" i="121" s="1"/>
  <c r="E275" i="121"/>
  <c r="AH275" i="121" s="1"/>
  <c r="H274" i="121"/>
  <c r="H275" i="121" s="1"/>
  <c r="C274" i="121"/>
  <c r="C275" i="121" s="1"/>
  <c r="C276" i="121" s="1"/>
  <c r="C277" i="121" s="1"/>
  <c r="C278" i="121" s="1"/>
  <c r="C279" i="121" s="1"/>
  <c r="C280" i="121" s="1"/>
  <c r="C281" i="121" s="1"/>
  <c r="C282" i="121" s="1"/>
  <c r="C283" i="121" s="1"/>
  <c r="C284" i="121" s="1"/>
  <c r="C285" i="121" s="1"/>
  <c r="C286" i="121" s="1"/>
  <c r="C287" i="121" s="1"/>
  <c r="C288" i="121" s="1"/>
  <c r="C289" i="121" s="1"/>
  <c r="C290" i="121" s="1"/>
  <c r="C291" i="121" s="1"/>
  <c r="C292" i="121" s="1"/>
  <c r="C293" i="121" s="1"/>
  <c r="C294" i="121" s="1"/>
  <c r="C295" i="121" s="1"/>
  <c r="C296" i="121" s="1"/>
  <c r="C297" i="121" s="1"/>
  <c r="C298" i="121" s="1"/>
  <c r="G273" i="121"/>
  <c r="G274" i="121" s="1"/>
  <c r="F273" i="121"/>
  <c r="F274" i="121" s="1"/>
  <c r="F275" i="121" s="1"/>
  <c r="F276" i="121" s="1"/>
  <c r="E273" i="121"/>
  <c r="E274" i="121" s="1"/>
  <c r="F272" i="121"/>
  <c r="E271" i="121"/>
  <c r="E272" i="121" s="1"/>
  <c r="C271" i="121"/>
  <c r="C272" i="121" s="1"/>
  <c r="C273" i="121" s="1"/>
  <c r="D270" i="121"/>
  <c r="C270" i="121"/>
  <c r="AH269" i="121"/>
  <c r="C269" i="121"/>
  <c r="AH268" i="121"/>
  <c r="Z267" i="121"/>
  <c r="AA267" i="121" s="1"/>
  <c r="AB267" i="121" s="1"/>
  <c r="AC267" i="121" s="1"/>
  <c r="AD267" i="121" s="1"/>
  <c r="AE267" i="121" s="1"/>
  <c r="AF267" i="121" s="1"/>
  <c r="AG267" i="121" s="1"/>
  <c r="E267" i="121"/>
  <c r="F267" i="121" s="1"/>
  <c r="G267" i="121" s="1"/>
  <c r="H267" i="121" s="1"/>
  <c r="I267" i="121" s="1"/>
  <c r="J267" i="121" s="1"/>
  <c r="K267" i="121" s="1"/>
  <c r="L267" i="121" s="1"/>
  <c r="M267" i="121" s="1"/>
  <c r="N267" i="121" s="1"/>
  <c r="O267" i="121" s="1"/>
  <c r="P267" i="121" s="1"/>
  <c r="Q267" i="121" s="1"/>
  <c r="R267" i="121" s="1"/>
  <c r="S267" i="121" s="1"/>
  <c r="T267" i="121" s="1"/>
  <c r="U267" i="121" s="1"/>
  <c r="V267" i="121" s="1"/>
  <c r="W267" i="121" s="1"/>
  <c r="X267" i="121" s="1"/>
  <c r="Y267" i="121" s="1"/>
  <c r="AH266" i="121"/>
  <c r="B266" i="121"/>
  <c r="AF261" i="121"/>
  <c r="Z261" i="121"/>
  <c r="Y261" i="121"/>
  <c r="W261" i="121"/>
  <c r="V261" i="121"/>
  <c r="T261" i="121"/>
  <c r="O261" i="121"/>
  <c r="N261" i="121"/>
  <c r="J261" i="121"/>
  <c r="I261" i="121"/>
  <c r="H261" i="121"/>
  <c r="D261" i="121"/>
  <c r="AG260" i="121"/>
  <c r="AG261" i="121" s="1"/>
  <c r="AF260" i="121"/>
  <c r="AE260" i="121"/>
  <c r="AD260" i="121"/>
  <c r="AE259" i="121"/>
  <c r="AE261" i="121" s="1"/>
  <c r="AD259" i="121"/>
  <c r="AB259" i="121"/>
  <c r="AB260" i="121" s="1"/>
  <c r="AD258" i="121"/>
  <c r="AD261" i="121" s="1"/>
  <c r="AC257" i="121"/>
  <c r="AB257" i="121"/>
  <c r="AB258" i="121" s="1"/>
  <c r="AB256" i="121"/>
  <c r="AB261" i="121" s="1"/>
  <c r="AA256" i="121"/>
  <c r="AA257" i="121" s="1"/>
  <c r="AA258" i="121" s="1"/>
  <c r="AA259" i="121" s="1"/>
  <c r="AA260" i="121" s="1"/>
  <c r="Y256" i="121"/>
  <c r="Y257" i="121" s="1"/>
  <c r="Y258" i="121" s="1"/>
  <c r="Y259" i="121" s="1"/>
  <c r="AH259" i="121" s="1"/>
  <c r="AA255" i="121"/>
  <c r="AA261" i="121" s="1"/>
  <c r="Z255" i="121"/>
  <c r="Z256" i="121" s="1"/>
  <c r="Z257" i="121" s="1"/>
  <c r="Z258" i="121" s="1"/>
  <c r="Z259" i="121" s="1"/>
  <c r="Z260" i="121" s="1"/>
  <c r="AH260" i="121" s="1"/>
  <c r="W255" i="121"/>
  <c r="W256" i="121" s="1"/>
  <c r="W257" i="121" s="1"/>
  <c r="AH257" i="121" s="1"/>
  <c r="Z254" i="121"/>
  <c r="W254" i="121"/>
  <c r="Y253" i="121"/>
  <c r="Y254" i="121" s="1"/>
  <c r="Y255" i="121" s="1"/>
  <c r="W253" i="121"/>
  <c r="X252" i="121"/>
  <c r="W252" i="121"/>
  <c r="V252" i="121"/>
  <c r="V253" i="121" s="1"/>
  <c r="V254" i="121" s="1"/>
  <c r="V255" i="121" s="1"/>
  <c r="V256" i="121" s="1"/>
  <c r="AH256" i="121" s="1"/>
  <c r="W251" i="121"/>
  <c r="V251" i="121"/>
  <c r="V250" i="121"/>
  <c r="U249" i="121"/>
  <c r="T249" i="121"/>
  <c r="T250" i="121" s="1"/>
  <c r="T251" i="121" s="1"/>
  <c r="T252" i="121" s="1"/>
  <c r="T253" i="121" s="1"/>
  <c r="T254" i="121" s="1"/>
  <c r="AH254" i="121" s="1"/>
  <c r="AH248" i="121"/>
  <c r="T248" i="121"/>
  <c r="S248" i="121"/>
  <c r="S249" i="121" s="1"/>
  <c r="S250" i="121" s="1"/>
  <c r="S251" i="121" s="1"/>
  <c r="S252" i="121" s="1"/>
  <c r="S253" i="121" s="1"/>
  <c r="AH253" i="121" s="1"/>
  <c r="R248" i="121"/>
  <c r="R249" i="121" s="1"/>
  <c r="R250" i="121" s="1"/>
  <c r="R251" i="121" s="1"/>
  <c r="R252" i="121" s="1"/>
  <c r="AH252" i="121" s="1"/>
  <c r="S247" i="121"/>
  <c r="S261" i="121" s="1"/>
  <c r="R247" i="121"/>
  <c r="R246" i="121"/>
  <c r="R261" i="121" s="1"/>
  <c r="O246" i="121"/>
  <c r="O247" i="121" s="1"/>
  <c r="O248" i="121" s="1"/>
  <c r="O249" i="121" s="1"/>
  <c r="AH249" i="121" s="1"/>
  <c r="Q245" i="121"/>
  <c r="K245" i="121"/>
  <c r="AH245" i="121" s="1"/>
  <c r="P244" i="121"/>
  <c r="O243" i="121"/>
  <c r="O244" i="121" s="1"/>
  <c r="O245" i="121" s="1"/>
  <c r="N243" i="121"/>
  <c r="N244" i="121" s="1"/>
  <c r="N245" i="121" s="1"/>
  <c r="N246" i="121" s="1"/>
  <c r="N247" i="121" s="1"/>
  <c r="N248" i="121" s="1"/>
  <c r="N242" i="121"/>
  <c r="K242" i="121"/>
  <c r="K243" i="121" s="1"/>
  <c r="K244" i="121" s="1"/>
  <c r="M241" i="121"/>
  <c r="L240" i="121"/>
  <c r="K240" i="121"/>
  <c r="K241" i="121" s="1"/>
  <c r="J240" i="121"/>
  <c r="J241" i="121" s="1"/>
  <c r="J242" i="121" s="1"/>
  <c r="J243" i="121" s="1"/>
  <c r="J244" i="121" s="1"/>
  <c r="AH244" i="121" s="1"/>
  <c r="K239" i="121"/>
  <c r="K261" i="121" s="1"/>
  <c r="J239" i="121"/>
  <c r="H239" i="121"/>
  <c r="H240" i="121" s="1"/>
  <c r="H241" i="121" s="1"/>
  <c r="H242" i="121" s="1"/>
  <c r="AH242" i="121" s="1"/>
  <c r="J238" i="121"/>
  <c r="I237" i="121"/>
  <c r="I238" i="121" s="1"/>
  <c r="I239" i="121" s="1"/>
  <c r="I240" i="121" s="1"/>
  <c r="I241" i="121" s="1"/>
  <c r="I242" i="121" s="1"/>
  <c r="I243" i="121" s="1"/>
  <c r="AH243" i="121" s="1"/>
  <c r="G237" i="121"/>
  <c r="G238" i="121" s="1"/>
  <c r="G239" i="121" s="1"/>
  <c r="G240" i="121" s="1"/>
  <c r="G241" i="121" s="1"/>
  <c r="AH241" i="121" s="1"/>
  <c r="H236" i="121"/>
  <c r="H237" i="121" s="1"/>
  <c r="H238" i="121" s="1"/>
  <c r="G236" i="121"/>
  <c r="G235" i="121"/>
  <c r="G261" i="121" s="1"/>
  <c r="C235" i="121"/>
  <c r="C236" i="121" s="1"/>
  <c r="C237" i="121" s="1"/>
  <c r="C238" i="121" s="1"/>
  <c r="C239" i="121" s="1"/>
  <c r="C240" i="121" s="1"/>
  <c r="C241" i="121" s="1"/>
  <c r="C242" i="121" s="1"/>
  <c r="C243" i="121" s="1"/>
  <c r="C244" i="121" s="1"/>
  <c r="C245" i="121" s="1"/>
  <c r="C246" i="121" s="1"/>
  <c r="C247" i="121" s="1"/>
  <c r="C248" i="121" s="1"/>
  <c r="C249" i="121" s="1"/>
  <c r="C250" i="121" s="1"/>
  <c r="C251" i="121" s="1"/>
  <c r="C252" i="121" s="1"/>
  <c r="C253" i="121" s="1"/>
  <c r="C254" i="121" s="1"/>
  <c r="C255" i="121" s="1"/>
  <c r="C256" i="121" s="1"/>
  <c r="C257" i="121" s="1"/>
  <c r="C258" i="121" s="1"/>
  <c r="C259" i="121" s="1"/>
  <c r="C260" i="121" s="1"/>
  <c r="F234" i="121"/>
  <c r="E234" i="121"/>
  <c r="E235" i="121" s="1"/>
  <c r="E236" i="121" s="1"/>
  <c r="E237" i="121" s="1"/>
  <c r="E238" i="121" s="1"/>
  <c r="E239" i="121" s="1"/>
  <c r="AH239" i="121" s="1"/>
  <c r="C234" i="121"/>
  <c r="E233" i="121"/>
  <c r="E261" i="121" s="1"/>
  <c r="D232" i="121"/>
  <c r="AH231" i="121"/>
  <c r="C231" i="121"/>
  <c r="C232" i="121" s="1"/>
  <c r="C233" i="121" s="1"/>
  <c r="AH230" i="121"/>
  <c r="J229" i="121"/>
  <c r="K229" i="121" s="1"/>
  <c r="L229" i="121" s="1"/>
  <c r="M229" i="121" s="1"/>
  <c r="N229" i="121" s="1"/>
  <c r="O229" i="121" s="1"/>
  <c r="P229" i="121" s="1"/>
  <c r="Q229" i="121" s="1"/>
  <c r="R229" i="121" s="1"/>
  <c r="S229" i="121" s="1"/>
  <c r="T229" i="121" s="1"/>
  <c r="U229" i="121" s="1"/>
  <c r="V229" i="121" s="1"/>
  <c r="W229" i="121" s="1"/>
  <c r="X229" i="121" s="1"/>
  <c r="Y229" i="121" s="1"/>
  <c r="Z229" i="121" s="1"/>
  <c r="AA229" i="121" s="1"/>
  <c r="AB229" i="121" s="1"/>
  <c r="AC229" i="121" s="1"/>
  <c r="AD229" i="121" s="1"/>
  <c r="AE229" i="121" s="1"/>
  <c r="AF229" i="121" s="1"/>
  <c r="AG229" i="121" s="1"/>
  <c r="G229" i="121"/>
  <c r="H229" i="121" s="1"/>
  <c r="I229" i="121" s="1"/>
  <c r="F229" i="121"/>
  <c r="E229" i="121"/>
  <c r="AH228" i="121"/>
  <c r="B228" i="121" s="1"/>
  <c r="AF225" i="121"/>
  <c r="AE225" i="121"/>
  <c r="AD225" i="121"/>
  <c r="AC225" i="121"/>
  <c r="AB225" i="121"/>
  <c r="AA225" i="121"/>
  <c r="Z225" i="121"/>
  <c r="V225" i="121"/>
  <c r="U225" i="121"/>
  <c r="T225" i="121"/>
  <c r="S225" i="121"/>
  <c r="R225" i="121"/>
  <c r="O225" i="121"/>
  <c r="N225" i="121"/>
  <c r="H225" i="121"/>
  <c r="G225" i="121"/>
  <c r="F225" i="121"/>
  <c r="D225" i="121"/>
  <c r="AG224" i="121"/>
  <c r="AG225" i="121" s="1"/>
  <c r="AF224" i="121"/>
  <c r="AB224" i="121"/>
  <c r="AE223" i="121"/>
  <c r="AE224" i="121" s="1"/>
  <c r="AD222" i="121"/>
  <c r="AD223" i="121" s="1"/>
  <c r="AD224" i="121" s="1"/>
  <c r="AA222" i="121"/>
  <c r="AA223" i="121" s="1"/>
  <c r="AA224" i="121" s="1"/>
  <c r="Z222" i="121"/>
  <c r="Z223" i="121" s="1"/>
  <c r="Z224" i="121" s="1"/>
  <c r="AC221" i="121"/>
  <c r="AC222" i="121" s="1"/>
  <c r="AC223" i="121" s="1"/>
  <c r="AC224" i="121" s="1"/>
  <c r="Z221" i="121"/>
  <c r="AB220" i="121"/>
  <c r="AB221" i="121" s="1"/>
  <c r="AB222" i="121" s="1"/>
  <c r="AB223" i="121" s="1"/>
  <c r="V220" i="121"/>
  <c r="V221" i="121" s="1"/>
  <c r="V222" i="121" s="1"/>
  <c r="V223" i="121" s="1"/>
  <c r="AH223" i="121" s="1"/>
  <c r="AA219" i="121"/>
  <c r="AA220" i="121" s="1"/>
  <c r="AA221" i="121" s="1"/>
  <c r="W219" i="121"/>
  <c r="W220" i="121" s="1"/>
  <c r="W221" i="121" s="1"/>
  <c r="W222" i="121" s="1"/>
  <c r="W223" i="121" s="1"/>
  <c r="W224" i="121" s="1"/>
  <c r="AH224" i="121" s="1"/>
  <c r="Z218" i="121"/>
  <c r="Z219" i="121" s="1"/>
  <c r="Z220" i="121" s="1"/>
  <c r="Y217" i="121"/>
  <c r="Y225" i="121" s="1"/>
  <c r="V217" i="121"/>
  <c r="V218" i="121" s="1"/>
  <c r="V219" i="121" s="1"/>
  <c r="T217" i="121"/>
  <c r="T218" i="121" s="1"/>
  <c r="T219" i="121" s="1"/>
  <c r="T220" i="121" s="1"/>
  <c r="T221" i="121" s="1"/>
  <c r="AH221" i="121" s="1"/>
  <c r="X216" i="121"/>
  <c r="X225" i="121" s="1"/>
  <c r="U216" i="121"/>
  <c r="U217" i="121" s="1"/>
  <c r="U218" i="121" s="1"/>
  <c r="U219" i="121" s="1"/>
  <c r="U220" i="121" s="1"/>
  <c r="U221" i="121" s="1"/>
  <c r="U222" i="121" s="1"/>
  <c r="AH222" i="121" s="1"/>
  <c r="W215" i="121"/>
  <c r="W216" i="121" s="1"/>
  <c r="W217" i="121" s="1"/>
  <c r="W218" i="121" s="1"/>
  <c r="T215" i="121"/>
  <c r="T216" i="121" s="1"/>
  <c r="S215" i="121"/>
  <c r="S216" i="121" s="1"/>
  <c r="S217" i="121" s="1"/>
  <c r="S218" i="121" s="1"/>
  <c r="S219" i="121" s="1"/>
  <c r="S220" i="121" s="1"/>
  <c r="AH220" i="121" s="1"/>
  <c r="V214" i="121"/>
  <c r="V215" i="121" s="1"/>
  <c r="V216" i="121" s="1"/>
  <c r="R214" i="121"/>
  <c r="R215" i="121" s="1"/>
  <c r="R216" i="121" s="1"/>
  <c r="R217" i="121" s="1"/>
  <c r="R218" i="121" s="1"/>
  <c r="R219" i="121" s="1"/>
  <c r="AH219" i="121" s="1"/>
  <c r="O214" i="121"/>
  <c r="O215" i="121" s="1"/>
  <c r="O216" i="121" s="1"/>
  <c r="AH216" i="121" s="1"/>
  <c r="U213" i="121"/>
  <c r="U214" i="121" s="1"/>
  <c r="U215" i="121" s="1"/>
  <c r="T212" i="121"/>
  <c r="T213" i="121" s="1"/>
  <c r="T214" i="121" s="1"/>
  <c r="S211" i="121"/>
  <c r="S212" i="121" s="1"/>
  <c r="S213" i="121" s="1"/>
  <c r="S214" i="121" s="1"/>
  <c r="R210" i="121"/>
  <c r="R211" i="121" s="1"/>
  <c r="R212" i="121" s="1"/>
  <c r="R213" i="121" s="1"/>
  <c r="O210" i="121"/>
  <c r="O211" i="121" s="1"/>
  <c r="O212" i="121" s="1"/>
  <c r="O213" i="121" s="1"/>
  <c r="N210" i="121"/>
  <c r="N211" i="121" s="1"/>
  <c r="N212" i="121" s="1"/>
  <c r="N213" i="121" s="1"/>
  <c r="N214" i="121" s="1"/>
  <c r="N215" i="121" s="1"/>
  <c r="AH215" i="121" s="1"/>
  <c r="M210" i="121"/>
  <c r="M211" i="121" s="1"/>
  <c r="M212" i="121" s="1"/>
  <c r="M213" i="121" s="1"/>
  <c r="M214" i="121" s="1"/>
  <c r="AH214" i="121" s="1"/>
  <c r="Q209" i="121"/>
  <c r="N209" i="121"/>
  <c r="P208" i="121"/>
  <c r="O207" i="121"/>
  <c r="O208" i="121" s="1"/>
  <c r="O209" i="121" s="1"/>
  <c r="N207" i="121"/>
  <c r="N208" i="121" s="1"/>
  <c r="M207" i="121"/>
  <c r="M208" i="121" s="1"/>
  <c r="M209" i="121" s="1"/>
  <c r="N206" i="121"/>
  <c r="M206" i="121"/>
  <c r="L206" i="121"/>
  <c r="L207" i="121" s="1"/>
  <c r="L208" i="121" s="1"/>
  <c r="L209" i="121" s="1"/>
  <c r="L210" i="121" s="1"/>
  <c r="L211" i="121" s="1"/>
  <c r="L212" i="121" s="1"/>
  <c r="L213" i="121" s="1"/>
  <c r="AH213" i="121" s="1"/>
  <c r="M205" i="121"/>
  <c r="M225" i="121" s="1"/>
  <c r="L205" i="121"/>
  <c r="J205" i="121"/>
  <c r="J206" i="121" s="1"/>
  <c r="J207" i="121" s="1"/>
  <c r="J208" i="121" s="1"/>
  <c r="J209" i="121" s="1"/>
  <c r="J210" i="121" s="1"/>
  <c r="J211" i="121" s="1"/>
  <c r="AH211" i="121" s="1"/>
  <c r="L204" i="121"/>
  <c r="L225" i="121" s="1"/>
  <c r="J204" i="121"/>
  <c r="G204" i="121"/>
  <c r="G205" i="121" s="1"/>
  <c r="G206" i="121" s="1"/>
  <c r="G207" i="121" s="1"/>
  <c r="G208" i="121" s="1"/>
  <c r="AH208" i="121" s="1"/>
  <c r="K203" i="121"/>
  <c r="J203" i="121"/>
  <c r="J202" i="121"/>
  <c r="J225" i="121" s="1"/>
  <c r="I201" i="121"/>
  <c r="H201" i="121"/>
  <c r="H202" i="121" s="1"/>
  <c r="H203" i="121" s="1"/>
  <c r="H204" i="121" s="1"/>
  <c r="H205" i="121" s="1"/>
  <c r="H206" i="121" s="1"/>
  <c r="H207" i="121" s="1"/>
  <c r="H208" i="121" s="1"/>
  <c r="H209" i="121" s="1"/>
  <c r="AH209" i="121" s="1"/>
  <c r="H200" i="121"/>
  <c r="G200" i="121"/>
  <c r="G201" i="121" s="1"/>
  <c r="G202" i="121" s="1"/>
  <c r="G203" i="121" s="1"/>
  <c r="AH199" i="121"/>
  <c r="G199" i="121"/>
  <c r="AH198" i="121"/>
  <c r="F198" i="121"/>
  <c r="F199" i="121" s="1"/>
  <c r="F200" i="121" s="1"/>
  <c r="F201" i="121" s="1"/>
  <c r="F202" i="121" s="1"/>
  <c r="F203" i="121" s="1"/>
  <c r="F204" i="121" s="1"/>
  <c r="F205" i="121" s="1"/>
  <c r="F206" i="121" s="1"/>
  <c r="F207" i="121" s="1"/>
  <c r="AH207" i="121" s="1"/>
  <c r="E198" i="121"/>
  <c r="E199" i="121" s="1"/>
  <c r="E200" i="121" s="1"/>
  <c r="E201" i="121" s="1"/>
  <c r="E202" i="121" s="1"/>
  <c r="E203" i="121" s="1"/>
  <c r="E204" i="121" s="1"/>
  <c r="E205" i="121" s="1"/>
  <c r="E206" i="121" s="1"/>
  <c r="AH206" i="121" s="1"/>
  <c r="D198" i="121"/>
  <c r="D199" i="121" s="1"/>
  <c r="D200" i="121" s="1"/>
  <c r="E197" i="121"/>
  <c r="E225" i="121" s="1"/>
  <c r="C197" i="121"/>
  <c r="C198" i="121" s="1"/>
  <c r="C199" i="121" s="1"/>
  <c r="C200" i="121" s="1"/>
  <c r="C201" i="121" s="1"/>
  <c r="C202" i="121" s="1"/>
  <c r="C203" i="121" s="1"/>
  <c r="C204" i="121" s="1"/>
  <c r="C205" i="121" s="1"/>
  <c r="C206" i="121" s="1"/>
  <c r="C207" i="121" s="1"/>
  <c r="C208" i="121" s="1"/>
  <c r="C209" i="121" s="1"/>
  <c r="C210" i="121" s="1"/>
  <c r="C211" i="121" s="1"/>
  <c r="C212" i="121" s="1"/>
  <c r="C213" i="121" s="1"/>
  <c r="C214" i="121" s="1"/>
  <c r="C215" i="121" s="1"/>
  <c r="C216" i="121" s="1"/>
  <c r="C217" i="121" s="1"/>
  <c r="C218" i="121" s="1"/>
  <c r="C219" i="121" s="1"/>
  <c r="C220" i="121" s="1"/>
  <c r="C221" i="121" s="1"/>
  <c r="C222" i="121" s="1"/>
  <c r="C223" i="121" s="1"/>
  <c r="C224" i="121" s="1"/>
  <c r="AH196" i="121"/>
  <c r="D196" i="121"/>
  <c r="D197" i="121" s="1"/>
  <c r="AH197" i="121" s="1"/>
  <c r="AH195" i="121"/>
  <c r="C195" i="121"/>
  <c r="C196" i="121" s="1"/>
  <c r="AH194" i="121"/>
  <c r="H193" i="121"/>
  <c r="I193" i="121" s="1"/>
  <c r="J193" i="121" s="1"/>
  <c r="K193" i="121" s="1"/>
  <c r="L193" i="121" s="1"/>
  <c r="M193" i="121" s="1"/>
  <c r="N193" i="121" s="1"/>
  <c r="O193" i="121" s="1"/>
  <c r="P193" i="121" s="1"/>
  <c r="Q193" i="121" s="1"/>
  <c r="R193" i="121" s="1"/>
  <c r="S193" i="121" s="1"/>
  <c r="T193" i="121" s="1"/>
  <c r="U193" i="121" s="1"/>
  <c r="V193" i="121" s="1"/>
  <c r="W193" i="121" s="1"/>
  <c r="X193" i="121" s="1"/>
  <c r="Y193" i="121" s="1"/>
  <c r="Z193" i="121" s="1"/>
  <c r="AA193" i="121" s="1"/>
  <c r="AB193" i="121" s="1"/>
  <c r="AC193" i="121" s="1"/>
  <c r="AD193" i="121" s="1"/>
  <c r="AE193" i="121" s="1"/>
  <c r="AF193" i="121" s="1"/>
  <c r="AG193" i="121" s="1"/>
  <c r="F193" i="121"/>
  <c r="G193" i="121" s="1"/>
  <c r="E193" i="121"/>
  <c r="AH192" i="121"/>
  <c r="B192" i="121" s="1"/>
  <c r="AF188" i="121"/>
  <c r="AE188" i="121"/>
  <c r="AA188" i="121"/>
  <c r="Z188" i="121"/>
  <c r="X188" i="121"/>
  <c r="T188" i="121"/>
  <c r="Q188" i="121"/>
  <c r="P188" i="121"/>
  <c r="I188" i="121"/>
  <c r="H188" i="121"/>
  <c r="G188" i="121"/>
  <c r="AG187" i="121"/>
  <c r="AG188" i="121" s="1"/>
  <c r="AF187" i="121"/>
  <c r="AE187" i="121"/>
  <c r="AD187" i="121"/>
  <c r="AA187" i="121"/>
  <c r="AE186" i="121"/>
  <c r="AD185" i="121"/>
  <c r="AD186" i="121" s="1"/>
  <c r="AC184" i="121"/>
  <c r="AA184" i="121"/>
  <c r="AA185" i="121" s="1"/>
  <c r="AA186" i="121" s="1"/>
  <c r="V184" i="121"/>
  <c r="V185" i="121" s="1"/>
  <c r="V186" i="121" s="1"/>
  <c r="V187" i="121" s="1"/>
  <c r="AH183" i="121"/>
  <c r="AB183" i="121"/>
  <c r="Z183" i="121"/>
  <c r="Z184" i="121" s="1"/>
  <c r="Z185" i="121" s="1"/>
  <c r="Z186" i="121" s="1"/>
  <c r="Z187" i="121" s="1"/>
  <c r="AA182" i="121"/>
  <c r="AA183" i="121" s="1"/>
  <c r="Z182" i="121"/>
  <c r="X182" i="121"/>
  <c r="X183" i="121" s="1"/>
  <c r="X184" i="121" s="1"/>
  <c r="X185" i="121" s="1"/>
  <c r="X186" i="121" s="1"/>
  <c r="X187" i="121" s="1"/>
  <c r="T182" i="121"/>
  <c r="T183" i="121" s="1"/>
  <c r="T184" i="121" s="1"/>
  <c r="T185" i="121" s="1"/>
  <c r="T186" i="121" s="1"/>
  <c r="AH186" i="121" s="1"/>
  <c r="S182" i="121"/>
  <c r="S183" i="121" s="1"/>
  <c r="S184" i="121" s="1"/>
  <c r="S185" i="121" s="1"/>
  <c r="AH185" i="121" s="1"/>
  <c r="Z181" i="121"/>
  <c r="Y180" i="121"/>
  <c r="X179" i="121"/>
  <c r="X180" i="121" s="1"/>
  <c r="X181" i="121" s="1"/>
  <c r="W178" i="121"/>
  <c r="V178" i="121"/>
  <c r="V179" i="121" s="1"/>
  <c r="V180" i="121" s="1"/>
  <c r="V181" i="121" s="1"/>
  <c r="V182" i="121" s="1"/>
  <c r="V183" i="121" s="1"/>
  <c r="S178" i="121"/>
  <c r="S179" i="121" s="1"/>
  <c r="S180" i="121" s="1"/>
  <c r="S181" i="121" s="1"/>
  <c r="V177" i="121"/>
  <c r="V188" i="121" s="1"/>
  <c r="T177" i="121"/>
  <c r="T178" i="121" s="1"/>
  <c r="T179" i="121" s="1"/>
  <c r="T180" i="121" s="1"/>
  <c r="T181" i="121" s="1"/>
  <c r="U176" i="121"/>
  <c r="T176" i="121"/>
  <c r="T175" i="121"/>
  <c r="S175" i="121"/>
  <c r="S176" i="121" s="1"/>
  <c r="S177" i="121" s="1"/>
  <c r="S174" i="121"/>
  <c r="S188" i="121" s="1"/>
  <c r="R173" i="121"/>
  <c r="R174" i="121" s="1"/>
  <c r="R175" i="121" s="1"/>
  <c r="R176" i="121" s="1"/>
  <c r="R177" i="121" s="1"/>
  <c r="R178" i="121" s="1"/>
  <c r="R179" i="121" s="1"/>
  <c r="R180" i="121" s="1"/>
  <c r="R181" i="121" s="1"/>
  <c r="R182" i="121" s="1"/>
  <c r="R183" i="121" s="1"/>
  <c r="R184" i="121" s="1"/>
  <c r="AH184" i="121" s="1"/>
  <c r="Q173" i="121"/>
  <c r="Q174" i="121" s="1"/>
  <c r="Q175" i="121" s="1"/>
  <c r="Q176" i="121" s="1"/>
  <c r="Q177" i="121" s="1"/>
  <c r="Q178" i="121" s="1"/>
  <c r="Q179" i="121" s="1"/>
  <c r="Q180" i="121" s="1"/>
  <c r="Q181" i="121" s="1"/>
  <c r="Q182" i="121" s="1"/>
  <c r="Q183" i="121" s="1"/>
  <c r="P173" i="121"/>
  <c r="P174" i="121" s="1"/>
  <c r="P175" i="121" s="1"/>
  <c r="P176" i="121" s="1"/>
  <c r="P177" i="121" s="1"/>
  <c r="P178" i="121" s="1"/>
  <c r="P179" i="121" s="1"/>
  <c r="P180" i="121" s="1"/>
  <c r="P181" i="121" s="1"/>
  <c r="P182" i="121" s="1"/>
  <c r="AH182" i="121" s="1"/>
  <c r="Q172" i="121"/>
  <c r="P172" i="121"/>
  <c r="L172" i="121"/>
  <c r="L173" i="121" s="1"/>
  <c r="L174" i="121" s="1"/>
  <c r="L175" i="121" s="1"/>
  <c r="L176" i="121" s="1"/>
  <c r="L177" i="121" s="1"/>
  <c r="L178" i="121" s="1"/>
  <c r="AH178" i="121" s="1"/>
  <c r="P171" i="121"/>
  <c r="O170" i="121"/>
  <c r="K170" i="121"/>
  <c r="K171" i="121" s="1"/>
  <c r="K172" i="121" s="1"/>
  <c r="K173" i="121" s="1"/>
  <c r="K174" i="121" s="1"/>
  <c r="K175" i="121" s="1"/>
  <c r="K176" i="121" s="1"/>
  <c r="K177" i="121" s="1"/>
  <c r="AH177" i="121" s="1"/>
  <c r="I170" i="121"/>
  <c r="I171" i="121" s="1"/>
  <c r="I172" i="121" s="1"/>
  <c r="I173" i="121" s="1"/>
  <c r="I174" i="121" s="1"/>
  <c r="I175" i="121" s="1"/>
  <c r="AH175" i="121" s="1"/>
  <c r="N169" i="121"/>
  <c r="H169" i="121"/>
  <c r="H170" i="121" s="1"/>
  <c r="H171" i="121" s="1"/>
  <c r="H172" i="121" s="1"/>
  <c r="H173" i="121" s="1"/>
  <c r="H174" i="121" s="1"/>
  <c r="AH174" i="121" s="1"/>
  <c r="C169" i="121"/>
  <c r="C170" i="121" s="1"/>
  <c r="C171" i="121" s="1"/>
  <c r="C172" i="121" s="1"/>
  <c r="C173" i="121" s="1"/>
  <c r="C174" i="121" s="1"/>
  <c r="C175" i="121" s="1"/>
  <c r="C176" i="121" s="1"/>
  <c r="C177" i="121" s="1"/>
  <c r="C178" i="121" s="1"/>
  <c r="C179" i="121" s="1"/>
  <c r="C180" i="121" s="1"/>
  <c r="C181" i="121" s="1"/>
  <c r="C182" i="121" s="1"/>
  <c r="C183" i="121" s="1"/>
  <c r="C184" i="121" s="1"/>
  <c r="C185" i="121" s="1"/>
  <c r="C186" i="121" s="1"/>
  <c r="C187" i="121" s="1"/>
  <c r="M168" i="121"/>
  <c r="L167" i="121"/>
  <c r="L168" i="121" s="1"/>
  <c r="L169" i="121" s="1"/>
  <c r="L170" i="121" s="1"/>
  <c r="L171" i="121" s="1"/>
  <c r="K167" i="121"/>
  <c r="K168" i="121" s="1"/>
  <c r="K169" i="121" s="1"/>
  <c r="I167" i="121"/>
  <c r="I168" i="121" s="1"/>
  <c r="I169" i="121" s="1"/>
  <c r="K166" i="121"/>
  <c r="K188" i="121" s="1"/>
  <c r="J166" i="121"/>
  <c r="J167" i="121" s="1"/>
  <c r="J168" i="121" s="1"/>
  <c r="J169" i="121" s="1"/>
  <c r="J170" i="121" s="1"/>
  <c r="J171" i="121" s="1"/>
  <c r="J172" i="121" s="1"/>
  <c r="J173" i="121" s="1"/>
  <c r="J174" i="121" s="1"/>
  <c r="J175" i="121" s="1"/>
  <c r="J176" i="121" s="1"/>
  <c r="AH176" i="121" s="1"/>
  <c r="J165" i="121"/>
  <c r="J188" i="121" s="1"/>
  <c r="H165" i="121"/>
  <c r="H166" i="121" s="1"/>
  <c r="H167" i="121" s="1"/>
  <c r="H168" i="121" s="1"/>
  <c r="I164" i="121"/>
  <c r="I165" i="121" s="1"/>
  <c r="I166" i="121" s="1"/>
  <c r="H164" i="121"/>
  <c r="G164" i="121"/>
  <c r="G165" i="121" s="1"/>
  <c r="G166" i="121" s="1"/>
  <c r="G167" i="121" s="1"/>
  <c r="G168" i="121" s="1"/>
  <c r="G169" i="121" s="1"/>
  <c r="G170" i="121" s="1"/>
  <c r="G171" i="121" s="1"/>
  <c r="G172" i="121" s="1"/>
  <c r="G173" i="121" s="1"/>
  <c r="AH173" i="121" s="1"/>
  <c r="H163" i="121"/>
  <c r="G163" i="121"/>
  <c r="G162" i="121"/>
  <c r="F161" i="121"/>
  <c r="C161" i="121"/>
  <c r="C162" i="121" s="1"/>
  <c r="C163" i="121" s="1"/>
  <c r="C164" i="121" s="1"/>
  <c r="C165" i="121" s="1"/>
  <c r="C166" i="121" s="1"/>
  <c r="C167" i="121" s="1"/>
  <c r="C168" i="121" s="1"/>
  <c r="E160" i="121"/>
  <c r="AH159" i="121"/>
  <c r="D159" i="121"/>
  <c r="C159" i="121"/>
  <c r="C160" i="121" s="1"/>
  <c r="AH158" i="121"/>
  <c r="C158" i="121"/>
  <c r="AH157" i="121"/>
  <c r="T156" i="121"/>
  <c r="U156" i="121" s="1"/>
  <c r="V156" i="121" s="1"/>
  <c r="W156" i="121" s="1"/>
  <c r="X156" i="121" s="1"/>
  <c r="Y156" i="121" s="1"/>
  <c r="Z156" i="121" s="1"/>
  <c r="AA156" i="121" s="1"/>
  <c r="AB156" i="121" s="1"/>
  <c r="AC156" i="121" s="1"/>
  <c r="AD156" i="121" s="1"/>
  <c r="AE156" i="121" s="1"/>
  <c r="AF156" i="121" s="1"/>
  <c r="AG156" i="121" s="1"/>
  <c r="F156" i="121"/>
  <c r="G156" i="121" s="1"/>
  <c r="H156" i="121" s="1"/>
  <c r="I156" i="121" s="1"/>
  <c r="J156" i="121" s="1"/>
  <c r="K156" i="121" s="1"/>
  <c r="L156" i="121" s="1"/>
  <c r="M156" i="121" s="1"/>
  <c r="N156" i="121" s="1"/>
  <c r="O156" i="121" s="1"/>
  <c r="P156" i="121" s="1"/>
  <c r="Q156" i="121" s="1"/>
  <c r="R156" i="121" s="1"/>
  <c r="S156" i="121" s="1"/>
  <c r="E156" i="121"/>
  <c r="AH155" i="121"/>
  <c r="B155" i="121"/>
  <c r="AG151" i="121"/>
  <c r="AC151" i="121"/>
  <c r="Z151" i="121"/>
  <c r="V151" i="121"/>
  <c r="T151" i="121"/>
  <c r="S151" i="121"/>
  <c r="Q151" i="121"/>
  <c r="O151" i="121"/>
  <c r="N151" i="121"/>
  <c r="G151" i="121"/>
  <c r="F151" i="121"/>
  <c r="E151" i="121"/>
  <c r="D151" i="121"/>
  <c r="AF150" i="121"/>
  <c r="AF151" i="121" s="1"/>
  <c r="AC150" i="121"/>
  <c r="AE149" i="121"/>
  <c r="Y149" i="121"/>
  <c r="Y150" i="121" s="1"/>
  <c r="AD148" i="121"/>
  <c r="AD149" i="121" s="1"/>
  <c r="AD150" i="121" s="1"/>
  <c r="AC147" i="121"/>
  <c r="AC148" i="121" s="1"/>
  <c r="AC149" i="121" s="1"/>
  <c r="AB146" i="121"/>
  <c r="Z146" i="121"/>
  <c r="Z147" i="121" s="1"/>
  <c r="Z148" i="121" s="1"/>
  <c r="Z149" i="121" s="1"/>
  <c r="Z150" i="121" s="1"/>
  <c r="X146" i="121"/>
  <c r="X147" i="121" s="1"/>
  <c r="X148" i="121" s="1"/>
  <c r="X149" i="121" s="1"/>
  <c r="X150" i="121" s="1"/>
  <c r="U146" i="121"/>
  <c r="U147" i="121" s="1"/>
  <c r="U148" i="121" s="1"/>
  <c r="U149" i="121" s="1"/>
  <c r="U150" i="121" s="1"/>
  <c r="AA145" i="121"/>
  <c r="Z145" i="121"/>
  <c r="Z144" i="121"/>
  <c r="Y144" i="121"/>
  <c r="Y145" i="121" s="1"/>
  <c r="Y146" i="121" s="1"/>
  <c r="Y147" i="121" s="1"/>
  <c r="Y148" i="121" s="1"/>
  <c r="T144" i="121"/>
  <c r="T145" i="121" s="1"/>
  <c r="T146" i="121" s="1"/>
  <c r="T147" i="121" s="1"/>
  <c r="T148" i="121" s="1"/>
  <c r="T149" i="121" s="1"/>
  <c r="T150" i="121" s="1"/>
  <c r="S144" i="121"/>
  <c r="S145" i="121" s="1"/>
  <c r="S146" i="121" s="1"/>
  <c r="S147" i="121" s="1"/>
  <c r="S148" i="121" s="1"/>
  <c r="S149" i="121" s="1"/>
  <c r="S150" i="121" s="1"/>
  <c r="Y143" i="121"/>
  <c r="Y151" i="121" s="1"/>
  <c r="X143" i="121"/>
  <c r="X144" i="121" s="1"/>
  <c r="X145" i="121" s="1"/>
  <c r="X142" i="121"/>
  <c r="X151" i="121" s="1"/>
  <c r="W142" i="121"/>
  <c r="W143" i="121" s="1"/>
  <c r="W144" i="121" s="1"/>
  <c r="W145" i="121" s="1"/>
  <c r="W146" i="121" s="1"/>
  <c r="W147" i="121" s="1"/>
  <c r="W148" i="121" s="1"/>
  <c r="W149" i="121" s="1"/>
  <c r="W150" i="121" s="1"/>
  <c r="N142" i="121"/>
  <c r="N143" i="121" s="1"/>
  <c r="N144" i="121" s="1"/>
  <c r="N145" i="121" s="1"/>
  <c r="N146" i="121" s="1"/>
  <c r="AH146" i="121" s="1"/>
  <c r="W141" i="121"/>
  <c r="W151" i="121" s="1"/>
  <c r="V140" i="121"/>
  <c r="V141" i="121" s="1"/>
  <c r="V142" i="121" s="1"/>
  <c r="V143" i="121" s="1"/>
  <c r="V144" i="121" s="1"/>
  <c r="V145" i="121" s="1"/>
  <c r="V146" i="121" s="1"/>
  <c r="V147" i="121" s="1"/>
  <c r="V148" i="121" s="1"/>
  <c r="V149" i="121" s="1"/>
  <c r="V150" i="121" s="1"/>
  <c r="U140" i="121"/>
  <c r="U141" i="121" s="1"/>
  <c r="U142" i="121" s="1"/>
  <c r="U143" i="121" s="1"/>
  <c r="U144" i="121" s="1"/>
  <c r="U145" i="121" s="1"/>
  <c r="U139" i="121"/>
  <c r="U151" i="121" s="1"/>
  <c r="S139" i="121"/>
  <c r="S140" i="121" s="1"/>
  <c r="S141" i="121" s="1"/>
  <c r="S142" i="121" s="1"/>
  <c r="S143" i="121" s="1"/>
  <c r="T138" i="121"/>
  <c r="T139" i="121" s="1"/>
  <c r="T140" i="121" s="1"/>
  <c r="T141" i="121" s="1"/>
  <c r="T142" i="121" s="1"/>
  <c r="T143" i="121" s="1"/>
  <c r="S138" i="121"/>
  <c r="S137" i="121"/>
  <c r="Q137" i="121"/>
  <c r="Q138" i="121" s="1"/>
  <c r="Q139" i="121" s="1"/>
  <c r="Q140" i="121" s="1"/>
  <c r="Q141" i="121" s="1"/>
  <c r="Q142" i="121" s="1"/>
  <c r="Q143" i="121" s="1"/>
  <c r="Q144" i="121" s="1"/>
  <c r="Q145" i="121" s="1"/>
  <c r="Q146" i="121" s="1"/>
  <c r="Q147" i="121" s="1"/>
  <c r="Q148" i="121" s="1"/>
  <c r="Q149" i="121" s="1"/>
  <c r="AH149" i="121" s="1"/>
  <c r="O137" i="121"/>
  <c r="O138" i="121" s="1"/>
  <c r="O139" i="121" s="1"/>
  <c r="O140" i="121" s="1"/>
  <c r="O141" i="121" s="1"/>
  <c r="O142" i="121" s="1"/>
  <c r="O143" i="121" s="1"/>
  <c r="O144" i="121" s="1"/>
  <c r="O145" i="121" s="1"/>
  <c r="O146" i="121" s="1"/>
  <c r="O147" i="121" s="1"/>
  <c r="AH147" i="121" s="1"/>
  <c r="R136" i="121"/>
  <c r="Q136" i="121"/>
  <c r="Q135" i="121"/>
  <c r="F135" i="121"/>
  <c r="F136" i="121" s="1"/>
  <c r="F137" i="121" s="1"/>
  <c r="F138" i="121" s="1"/>
  <c r="AH138" i="121" s="1"/>
  <c r="P134" i="121"/>
  <c r="O133" i="121"/>
  <c r="O134" i="121" s="1"/>
  <c r="O135" i="121" s="1"/>
  <c r="O136" i="121" s="1"/>
  <c r="N133" i="121"/>
  <c r="N134" i="121" s="1"/>
  <c r="N135" i="121" s="1"/>
  <c r="N136" i="121" s="1"/>
  <c r="N137" i="121" s="1"/>
  <c r="N138" i="121" s="1"/>
  <c r="N139" i="121" s="1"/>
  <c r="N140" i="121" s="1"/>
  <c r="N141" i="121" s="1"/>
  <c r="N132" i="121"/>
  <c r="M132" i="121"/>
  <c r="M133" i="121" s="1"/>
  <c r="M134" i="121" s="1"/>
  <c r="M135" i="121" s="1"/>
  <c r="M136" i="121" s="1"/>
  <c r="M137" i="121" s="1"/>
  <c r="M138" i="121" s="1"/>
  <c r="M139" i="121" s="1"/>
  <c r="M140" i="121" s="1"/>
  <c r="M141" i="121" s="1"/>
  <c r="M142" i="121" s="1"/>
  <c r="M143" i="121" s="1"/>
  <c r="M144" i="121" s="1"/>
  <c r="M145" i="121" s="1"/>
  <c r="AH145" i="121" s="1"/>
  <c r="M131" i="121"/>
  <c r="M151" i="121" s="1"/>
  <c r="G131" i="121"/>
  <c r="G132" i="121" s="1"/>
  <c r="G133" i="121" s="1"/>
  <c r="G134" i="121" s="1"/>
  <c r="G135" i="121" s="1"/>
  <c r="G136" i="121" s="1"/>
  <c r="G137" i="121" s="1"/>
  <c r="G138" i="121" s="1"/>
  <c r="G139" i="121" s="1"/>
  <c r="AH139" i="121" s="1"/>
  <c r="L130" i="121"/>
  <c r="K129" i="121"/>
  <c r="J129" i="121"/>
  <c r="J130" i="121" s="1"/>
  <c r="J131" i="121" s="1"/>
  <c r="J132" i="121" s="1"/>
  <c r="J133" i="121" s="1"/>
  <c r="J134" i="121" s="1"/>
  <c r="J135" i="121" s="1"/>
  <c r="J136" i="121" s="1"/>
  <c r="J137" i="121" s="1"/>
  <c r="J138" i="121" s="1"/>
  <c r="J139" i="121" s="1"/>
  <c r="J140" i="121" s="1"/>
  <c r="J141" i="121" s="1"/>
  <c r="J142" i="121" s="1"/>
  <c r="AH142" i="121" s="1"/>
  <c r="J128" i="121"/>
  <c r="J151" i="121" s="1"/>
  <c r="I128" i="121"/>
  <c r="I129" i="121" s="1"/>
  <c r="I130" i="121" s="1"/>
  <c r="I131" i="121" s="1"/>
  <c r="I132" i="121" s="1"/>
  <c r="I133" i="121" s="1"/>
  <c r="I134" i="121" s="1"/>
  <c r="I135" i="121" s="1"/>
  <c r="I136" i="121" s="1"/>
  <c r="I137" i="121" s="1"/>
  <c r="I138" i="121" s="1"/>
  <c r="I139" i="121" s="1"/>
  <c r="I140" i="121" s="1"/>
  <c r="I141" i="121" s="1"/>
  <c r="AH141" i="121" s="1"/>
  <c r="G128" i="121"/>
  <c r="G129" i="121" s="1"/>
  <c r="G130" i="121" s="1"/>
  <c r="I127" i="121"/>
  <c r="I151" i="121" s="1"/>
  <c r="G127" i="121"/>
  <c r="H126" i="121"/>
  <c r="F126" i="121"/>
  <c r="F127" i="121" s="1"/>
  <c r="F128" i="121" s="1"/>
  <c r="F129" i="121" s="1"/>
  <c r="F130" i="121" s="1"/>
  <c r="F131" i="121" s="1"/>
  <c r="F132" i="121" s="1"/>
  <c r="F133" i="121" s="1"/>
  <c r="F134" i="121" s="1"/>
  <c r="G125" i="121"/>
  <c r="G126" i="121" s="1"/>
  <c r="F125" i="121"/>
  <c r="F124" i="121"/>
  <c r="C124" i="121"/>
  <c r="C125" i="121" s="1"/>
  <c r="C126" i="121" s="1"/>
  <c r="C127" i="121" s="1"/>
  <c r="C128" i="121" s="1"/>
  <c r="C129" i="121" s="1"/>
  <c r="C130" i="121" s="1"/>
  <c r="C131" i="121" s="1"/>
  <c r="C132" i="121" s="1"/>
  <c r="C133" i="121" s="1"/>
  <c r="C134" i="121" s="1"/>
  <c r="C135" i="121" s="1"/>
  <c r="C136" i="121" s="1"/>
  <c r="C137" i="121" s="1"/>
  <c r="C138" i="121" s="1"/>
  <c r="C139" i="121" s="1"/>
  <c r="C140" i="121" s="1"/>
  <c r="C141" i="121" s="1"/>
  <c r="C142" i="121" s="1"/>
  <c r="C143" i="121" s="1"/>
  <c r="C144" i="121" s="1"/>
  <c r="C145" i="121" s="1"/>
  <c r="C146" i="121" s="1"/>
  <c r="C147" i="121" s="1"/>
  <c r="C148" i="121" s="1"/>
  <c r="C149" i="121" s="1"/>
  <c r="C150" i="121" s="1"/>
  <c r="E123" i="121"/>
  <c r="E124" i="121" s="1"/>
  <c r="E125" i="121" s="1"/>
  <c r="E126" i="121" s="1"/>
  <c r="E127" i="121" s="1"/>
  <c r="E128" i="121" s="1"/>
  <c r="E129" i="121" s="1"/>
  <c r="E130" i="121" s="1"/>
  <c r="E131" i="121" s="1"/>
  <c r="E132" i="121" s="1"/>
  <c r="E133" i="121" s="1"/>
  <c r="E134" i="121" s="1"/>
  <c r="E135" i="121" s="1"/>
  <c r="E136" i="121" s="1"/>
  <c r="E137" i="121" s="1"/>
  <c r="AH137" i="121" s="1"/>
  <c r="D123" i="121"/>
  <c r="D124" i="121" s="1"/>
  <c r="AH122" i="121"/>
  <c r="D122" i="121"/>
  <c r="C122" i="121"/>
  <c r="C123" i="121" s="1"/>
  <c r="AH121" i="121"/>
  <c r="C121" i="121"/>
  <c r="AH120" i="121"/>
  <c r="G119" i="121"/>
  <c r="H119" i="121" s="1"/>
  <c r="I119" i="121" s="1"/>
  <c r="J119" i="121" s="1"/>
  <c r="K119" i="121" s="1"/>
  <c r="L119" i="121" s="1"/>
  <c r="M119" i="121" s="1"/>
  <c r="N119" i="121" s="1"/>
  <c r="O119" i="121" s="1"/>
  <c r="P119" i="121" s="1"/>
  <c r="Q119" i="121" s="1"/>
  <c r="R119" i="121" s="1"/>
  <c r="S119" i="121" s="1"/>
  <c r="T119" i="121" s="1"/>
  <c r="U119" i="121" s="1"/>
  <c r="V119" i="121" s="1"/>
  <c r="W119" i="121" s="1"/>
  <c r="X119" i="121" s="1"/>
  <c r="Y119" i="121" s="1"/>
  <c r="Z119" i="121" s="1"/>
  <c r="AA119" i="121" s="1"/>
  <c r="AB119" i="121" s="1"/>
  <c r="AC119" i="121" s="1"/>
  <c r="AD119" i="121" s="1"/>
  <c r="AE119" i="121" s="1"/>
  <c r="AF119" i="121" s="1"/>
  <c r="AG119" i="121" s="1"/>
  <c r="F119" i="121"/>
  <c r="E119" i="121"/>
  <c r="AH118" i="121"/>
  <c r="B118" i="121" s="1"/>
  <c r="AF114" i="121"/>
  <c r="AB114" i="121"/>
  <c r="Z114" i="121"/>
  <c r="X114" i="121"/>
  <c r="V114" i="121"/>
  <c r="U114" i="121"/>
  <c r="T114" i="121"/>
  <c r="P114" i="121"/>
  <c r="L114" i="121"/>
  <c r="H114" i="121"/>
  <c r="F114" i="121"/>
  <c r="D114" i="121"/>
  <c r="AG113" i="121"/>
  <c r="AG114" i="121" s="1"/>
  <c r="AF113" i="121"/>
  <c r="AB113" i="121"/>
  <c r="AE112" i="121"/>
  <c r="AE114" i="121" s="1"/>
  <c r="AD112" i="121"/>
  <c r="AD113" i="121" s="1"/>
  <c r="AD111" i="121"/>
  <c r="AD114" i="121" s="1"/>
  <c r="AC111" i="121"/>
  <c r="AC112" i="121" s="1"/>
  <c r="AC113" i="121" s="1"/>
  <c r="AA111" i="121"/>
  <c r="AA112" i="121" s="1"/>
  <c r="AA113" i="121" s="1"/>
  <c r="AC110" i="121"/>
  <c r="AC114" i="121" s="1"/>
  <c r="AB110" i="121"/>
  <c r="AB111" i="121" s="1"/>
  <c r="AB112" i="121" s="1"/>
  <c r="X110" i="121"/>
  <c r="X111" i="121" s="1"/>
  <c r="X112" i="121" s="1"/>
  <c r="X113" i="121" s="1"/>
  <c r="AB109" i="121"/>
  <c r="AA109" i="121"/>
  <c r="AA110" i="121" s="1"/>
  <c r="P109" i="121"/>
  <c r="P110" i="121" s="1"/>
  <c r="P111" i="121" s="1"/>
  <c r="P112" i="121" s="1"/>
  <c r="P113" i="121" s="1"/>
  <c r="AA108" i="121"/>
  <c r="AA114" i="121" s="1"/>
  <c r="Z107" i="121"/>
  <c r="Z108" i="121" s="1"/>
  <c r="Z109" i="121" s="1"/>
  <c r="Z110" i="121" s="1"/>
  <c r="Z111" i="121" s="1"/>
  <c r="Z112" i="121" s="1"/>
  <c r="Z113" i="121" s="1"/>
  <c r="Y106" i="121"/>
  <c r="Y107" i="121" s="1"/>
  <c r="Y108" i="121" s="1"/>
  <c r="Y109" i="121" s="1"/>
  <c r="Y110" i="121" s="1"/>
  <c r="Y111" i="121" s="1"/>
  <c r="Y112" i="121" s="1"/>
  <c r="Y113" i="121" s="1"/>
  <c r="X106" i="121"/>
  <c r="X107" i="121" s="1"/>
  <c r="X108" i="121" s="1"/>
  <c r="X109" i="121" s="1"/>
  <c r="X105" i="121"/>
  <c r="U105" i="121"/>
  <c r="U106" i="121" s="1"/>
  <c r="U107" i="121" s="1"/>
  <c r="U108" i="121" s="1"/>
  <c r="U109" i="121" s="1"/>
  <c r="U110" i="121" s="1"/>
  <c r="U111" i="121" s="1"/>
  <c r="U112" i="121" s="1"/>
  <c r="U113" i="121" s="1"/>
  <c r="W104" i="121"/>
  <c r="W105" i="121" s="1"/>
  <c r="W106" i="121" s="1"/>
  <c r="W107" i="121" s="1"/>
  <c r="W108" i="121" s="1"/>
  <c r="W109" i="121" s="1"/>
  <c r="W110" i="121" s="1"/>
  <c r="W111" i="121" s="1"/>
  <c r="W112" i="121" s="1"/>
  <c r="W113" i="121" s="1"/>
  <c r="V104" i="121"/>
  <c r="V105" i="121" s="1"/>
  <c r="V106" i="121" s="1"/>
  <c r="V107" i="121" s="1"/>
  <c r="V108" i="121" s="1"/>
  <c r="V109" i="121" s="1"/>
  <c r="V110" i="121" s="1"/>
  <c r="V111" i="121" s="1"/>
  <c r="V112" i="121" s="1"/>
  <c r="V113" i="121" s="1"/>
  <c r="T104" i="121"/>
  <c r="T105" i="121" s="1"/>
  <c r="T106" i="121" s="1"/>
  <c r="T107" i="121" s="1"/>
  <c r="T108" i="121" s="1"/>
  <c r="T109" i="121" s="1"/>
  <c r="T110" i="121" s="1"/>
  <c r="T111" i="121" s="1"/>
  <c r="T112" i="121" s="1"/>
  <c r="T113" i="121" s="1"/>
  <c r="V103" i="121"/>
  <c r="U103" i="121"/>
  <c r="U104" i="121" s="1"/>
  <c r="T103" i="121"/>
  <c r="U102" i="121"/>
  <c r="T102" i="121"/>
  <c r="T101" i="121"/>
  <c r="S101" i="121"/>
  <c r="S102" i="121" s="1"/>
  <c r="S103" i="121" s="1"/>
  <c r="S104" i="121" s="1"/>
  <c r="S105" i="121" s="1"/>
  <c r="S106" i="121" s="1"/>
  <c r="S107" i="121" s="1"/>
  <c r="S108" i="121" s="1"/>
  <c r="S109" i="121" s="1"/>
  <c r="S110" i="121" s="1"/>
  <c r="S111" i="121" s="1"/>
  <c r="S112" i="121" s="1"/>
  <c r="S113" i="121" s="1"/>
  <c r="Q101" i="121"/>
  <c r="Q102" i="121" s="1"/>
  <c r="Q103" i="121" s="1"/>
  <c r="Q104" i="121" s="1"/>
  <c r="Q105" i="121" s="1"/>
  <c r="Q106" i="121" s="1"/>
  <c r="Q107" i="121" s="1"/>
  <c r="Q108" i="121" s="1"/>
  <c r="Q109" i="121" s="1"/>
  <c r="Q110" i="121" s="1"/>
  <c r="Q111" i="121" s="1"/>
  <c r="Q112" i="121" s="1"/>
  <c r="Q113" i="121" s="1"/>
  <c r="S100" i="121"/>
  <c r="S114" i="121" s="1"/>
  <c r="Q100" i="121"/>
  <c r="M100" i="121"/>
  <c r="M101" i="121" s="1"/>
  <c r="M102" i="121" s="1"/>
  <c r="M103" i="121" s="1"/>
  <c r="M104" i="121" s="1"/>
  <c r="M105" i="121" s="1"/>
  <c r="M106" i="121" s="1"/>
  <c r="M107" i="121" s="1"/>
  <c r="M108" i="121" s="1"/>
  <c r="M109" i="121" s="1"/>
  <c r="M110" i="121" s="1"/>
  <c r="M111" i="121" s="1"/>
  <c r="M112" i="121" s="1"/>
  <c r="M113" i="121" s="1"/>
  <c r="AH113" i="121" s="1"/>
  <c r="R99" i="121"/>
  <c r="Q99" i="121"/>
  <c r="P99" i="121"/>
  <c r="P100" i="121" s="1"/>
  <c r="P101" i="121" s="1"/>
  <c r="P102" i="121" s="1"/>
  <c r="P103" i="121" s="1"/>
  <c r="P104" i="121" s="1"/>
  <c r="P105" i="121" s="1"/>
  <c r="P106" i="121" s="1"/>
  <c r="P107" i="121" s="1"/>
  <c r="P108" i="121" s="1"/>
  <c r="Q98" i="121"/>
  <c r="Q114" i="121" s="1"/>
  <c r="P97" i="121"/>
  <c r="P98" i="121" s="1"/>
  <c r="L97" i="121"/>
  <c r="L98" i="121" s="1"/>
  <c r="L99" i="121" s="1"/>
  <c r="L100" i="121" s="1"/>
  <c r="L101" i="121" s="1"/>
  <c r="L102" i="121" s="1"/>
  <c r="L103" i="121" s="1"/>
  <c r="L104" i="121" s="1"/>
  <c r="L105" i="121" s="1"/>
  <c r="L106" i="121" s="1"/>
  <c r="L107" i="121" s="1"/>
  <c r="L108" i="121" s="1"/>
  <c r="L109" i="121" s="1"/>
  <c r="L110" i="121" s="1"/>
  <c r="L111" i="121" s="1"/>
  <c r="L112" i="121" s="1"/>
  <c r="AH112" i="121" s="1"/>
  <c r="O96" i="121"/>
  <c r="O114" i="121" s="1"/>
  <c r="N96" i="121"/>
  <c r="N97" i="121" s="1"/>
  <c r="N98" i="121" s="1"/>
  <c r="N99" i="121" s="1"/>
  <c r="N100" i="121" s="1"/>
  <c r="N101" i="121" s="1"/>
  <c r="N102" i="121" s="1"/>
  <c r="N103" i="121" s="1"/>
  <c r="N104" i="121" s="1"/>
  <c r="N105" i="121" s="1"/>
  <c r="N106" i="121" s="1"/>
  <c r="N107" i="121" s="1"/>
  <c r="N108" i="121" s="1"/>
  <c r="N109" i="121" s="1"/>
  <c r="N110" i="121" s="1"/>
  <c r="N111" i="121" s="1"/>
  <c r="N112" i="121" s="1"/>
  <c r="N113" i="121" s="1"/>
  <c r="M96" i="121"/>
  <c r="M97" i="121" s="1"/>
  <c r="M98" i="121" s="1"/>
  <c r="M99" i="121" s="1"/>
  <c r="N95" i="121"/>
  <c r="N114" i="121" s="1"/>
  <c r="L95" i="121"/>
  <c r="L96" i="121" s="1"/>
  <c r="J95" i="121"/>
  <c r="J96" i="121" s="1"/>
  <c r="J97" i="121" s="1"/>
  <c r="J98" i="121" s="1"/>
  <c r="J99" i="121" s="1"/>
  <c r="J100" i="121" s="1"/>
  <c r="J101" i="121" s="1"/>
  <c r="J102" i="121" s="1"/>
  <c r="J103" i="121" s="1"/>
  <c r="J104" i="121" s="1"/>
  <c r="J105" i="121" s="1"/>
  <c r="J106" i="121" s="1"/>
  <c r="J107" i="121" s="1"/>
  <c r="J108" i="121" s="1"/>
  <c r="J109" i="121" s="1"/>
  <c r="J110" i="121" s="1"/>
  <c r="AH110" i="121" s="1"/>
  <c r="M94" i="121"/>
  <c r="M95" i="121" s="1"/>
  <c r="L94" i="121"/>
  <c r="H94" i="121"/>
  <c r="H95" i="121" s="1"/>
  <c r="H96" i="121" s="1"/>
  <c r="H97" i="121" s="1"/>
  <c r="H98" i="121" s="1"/>
  <c r="H99" i="121" s="1"/>
  <c r="H100" i="121" s="1"/>
  <c r="H101" i="121" s="1"/>
  <c r="H102" i="121" s="1"/>
  <c r="H103" i="121" s="1"/>
  <c r="H104" i="121" s="1"/>
  <c r="H105" i="121" s="1"/>
  <c r="H106" i="121" s="1"/>
  <c r="H107" i="121" s="1"/>
  <c r="H108" i="121" s="1"/>
  <c r="AH108" i="121" s="1"/>
  <c r="F94" i="121"/>
  <c r="F95" i="121" s="1"/>
  <c r="F96" i="121" s="1"/>
  <c r="F97" i="121" s="1"/>
  <c r="F98" i="121" s="1"/>
  <c r="F99" i="121" s="1"/>
  <c r="F100" i="121" s="1"/>
  <c r="F101" i="121" s="1"/>
  <c r="F102" i="121" s="1"/>
  <c r="F103" i="121" s="1"/>
  <c r="F104" i="121" s="1"/>
  <c r="F105" i="121" s="1"/>
  <c r="F106" i="121" s="1"/>
  <c r="AH106" i="121" s="1"/>
  <c r="L93" i="121"/>
  <c r="K92" i="121"/>
  <c r="I92" i="121"/>
  <c r="I93" i="121" s="1"/>
  <c r="I94" i="121" s="1"/>
  <c r="I95" i="121" s="1"/>
  <c r="I96" i="121" s="1"/>
  <c r="I97" i="121" s="1"/>
  <c r="I98" i="121" s="1"/>
  <c r="I99" i="121" s="1"/>
  <c r="I100" i="121" s="1"/>
  <c r="I101" i="121" s="1"/>
  <c r="I102" i="121" s="1"/>
  <c r="I103" i="121" s="1"/>
  <c r="I104" i="121" s="1"/>
  <c r="I105" i="121" s="1"/>
  <c r="I106" i="121" s="1"/>
  <c r="I107" i="121" s="1"/>
  <c r="I108" i="121" s="1"/>
  <c r="I109" i="121" s="1"/>
  <c r="AH109" i="121" s="1"/>
  <c r="J91" i="121"/>
  <c r="J92" i="121" s="1"/>
  <c r="J93" i="121" s="1"/>
  <c r="J94" i="121" s="1"/>
  <c r="I91" i="121"/>
  <c r="H91" i="121"/>
  <c r="H92" i="121" s="1"/>
  <c r="H93" i="121" s="1"/>
  <c r="I90" i="121"/>
  <c r="I114" i="121" s="1"/>
  <c r="H90" i="121"/>
  <c r="H89" i="121"/>
  <c r="G89" i="121"/>
  <c r="G90" i="121" s="1"/>
  <c r="G91" i="121" s="1"/>
  <c r="G92" i="121" s="1"/>
  <c r="G93" i="121" s="1"/>
  <c r="G94" i="121" s="1"/>
  <c r="G95" i="121" s="1"/>
  <c r="G96" i="121" s="1"/>
  <c r="G97" i="121" s="1"/>
  <c r="G98" i="121" s="1"/>
  <c r="G99" i="121" s="1"/>
  <c r="G100" i="121" s="1"/>
  <c r="G101" i="121" s="1"/>
  <c r="G102" i="121" s="1"/>
  <c r="G103" i="121" s="1"/>
  <c r="G104" i="121" s="1"/>
  <c r="G105" i="121" s="1"/>
  <c r="G106" i="121" s="1"/>
  <c r="G107" i="121" s="1"/>
  <c r="AH107" i="121" s="1"/>
  <c r="F89" i="121"/>
  <c r="F90" i="121" s="1"/>
  <c r="F91" i="121" s="1"/>
  <c r="F92" i="121" s="1"/>
  <c r="F93" i="121" s="1"/>
  <c r="C89" i="121"/>
  <c r="C90" i="121" s="1"/>
  <c r="C91" i="121" s="1"/>
  <c r="C92" i="121" s="1"/>
  <c r="C93" i="121" s="1"/>
  <c r="C94" i="121" s="1"/>
  <c r="C95" i="121" s="1"/>
  <c r="C96" i="121" s="1"/>
  <c r="C97" i="121" s="1"/>
  <c r="C98" i="121" s="1"/>
  <c r="C99" i="121" s="1"/>
  <c r="C100" i="121" s="1"/>
  <c r="C101" i="121" s="1"/>
  <c r="C102" i="121" s="1"/>
  <c r="C103" i="121" s="1"/>
  <c r="C104" i="121" s="1"/>
  <c r="C105" i="121" s="1"/>
  <c r="C106" i="121" s="1"/>
  <c r="C107" i="121" s="1"/>
  <c r="C108" i="121" s="1"/>
  <c r="C109" i="121" s="1"/>
  <c r="C110" i="121" s="1"/>
  <c r="C111" i="121" s="1"/>
  <c r="C112" i="121" s="1"/>
  <c r="C113" i="121" s="1"/>
  <c r="G88" i="121"/>
  <c r="G114" i="121" s="1"/>
  <c r="F88" i="121"/>
  <c r="E88" i="121"/>
  <c r="E89" i="121" s="1"/>
  <c r="E90" i="121" s="1"/>
  <c r="E91" i="121" s="1"/>
  <c r="E92" i="121" s="1"/>
  <c r="E93" i="121" s="1"/>
  <c r="E94" i="121" s="1"/>
  <c r="E95" i="121" s="1"/>
  <c r="E96" i="121" s="1"/>
  <c r="E97" i="121" s="1"/>
  <c r="E98" i="121" s="1"/>
  <c r="E99" i="121" s="1"/>
  <c r="E100" i="121" s="1"/>
  <c r="E101" i="121" s="1"/>
  <c r="E102" i="121" s="1"/>
  <c r="E103" i="121" s="1"/>
  <c r="E104" i="121" s="1"/>
  <c r="E105" i="121" s="1"/>
  <c r="AH105" i="121" s="1"/>
  <c r="F87" i="121"/>
  <c r="E87" i="121"/>
  <c r="E86" i="121"/>
  <c r="E114" i="121" s="1"/>
  <c r="D86" i="121"/>
  <c r="D87" i="121" s="1"/>
  <c r="AH85" i="121"/>
  <c r="D85" i="121"/>
  <c r="C85" i="121"/>
  <c r="C86" i="121" s="1"/>
  <c r="C87" i="121" s="1"/>
  <c r="C88" i="121" s="1"/>
  <c r="AH84" i="121"/>
  <c r="AH83" i="121"/>
  <c r="C83" i="121"/>
  <c r="C84" i="121" s="1"/>
  <c r="E82" i="121"/>
  <c r="F82" i="121" s="1"/>
  <c r="G82" i="121" s="1"/>
  <c r="H82" i="121" s="1"/>
  <c r="I82" i="121" s="1"/>
  <c r="J82" i="121" s="1"/>
  <c r="K82" i="121" s="1"/>
  <c r="L82" i="121" s="1"/>
  <c r="M82" i="121" s="1"/>
  <c r="N82" i="121" s="1"/>
  <c r="O82" i="121" s="1"/>
  <c r="P82" i="121" s="1"/>
  <c r="Q82" i="121" s="1"/>
  <c r="R82" i="121" s="1"/>
  <c r="S82" i="121" s="1"/>
  <c r="T82" i="121" s="1"/>
  <c r="U82" i="121" s="1"/>
  <c r="V82" i="121" s="1"/>
  <c r="W82" i="121" s="1"/>
  <c r="X82" i="121" s="1"/>
  <c r="Y82" i="121" s="1"/>
  <c r="Z82" i="121" s="1"/>
  <c r="AA82" i="121" s="1"/>
  <c r="AB82" i="121" s="1"/>
  <c r="AC82" i="121" s="1"/>
  <c r="AD82" i="121" s="1"/>
  <c r="AE82" i="121" s="1"/>
  <c r="AF82" i="121" s="1"/>
  <c r="AG82" i="121" s="1"/>
  <c r="AH81" i="121"/>
  <c r="B81" i="121" s="1"/>
  <c r="AF77" i="121"/>
  <c r="AD77" i="121"/>
  <c r="AA77" i="121"/>
  <c r="Y77" i="121"/>
  <c r="V77" i="121"/>
  <c r="Q77" i="121"/>
  <c r="M77" i="121"/>
  <c r="L77" i="121"/>
  <c r="J77" i="121"/>
  <c r="H77" i="121"/>
  <c r="G77" i="121"/>
  <c r="F77" i="121"/>
  <c r="AG76" i="121"/>
  <c r="AG77" i="121" s="1"/>
  <c r="AF76" i="121"/>
  <c r="AE76" i="121"/>
  <c r="AE75" i="121"/>
  <c r="AE77" i="121" s="1"/>
  <c r="AD74" i="121"/>
  <c r="AD75" i="121" s="1"/>
  <c r="AD76" i="121" s="1"/>
  <c r="AC74" i="121"/>
  <c r="AC75" i="121" s="1"/>
  <c r="AC76" i="121" s="1"/>
  <c r="AC73" i="121"/>
  <c r="AC77" i="121" s="1"/>
  <c r="AB72" i="121"/>
  <c r="AA72" i="121"/>
  <c r="AA73" i="121" s="1"/>
  <c r="AA74" i="121" s="1"/>
  <c r="AA75" i="121" s="1"/>
  <c r="AA76" i="121" s="1"/>
  <c r="AA71" i="121"/>
  <c r="Z70" i="121"/>
  <c r="Z71" i="121" s="1"/>
  <c r="Z72" i="121" s="1"/>
  <c r="Z73" i="121" s="1"/>
  <c r="Z74" i="121" s="1"/>
  <c r="Z75" i="121" s="1"/>
  <c r="Z76" i="121" s="1"/>
  <c r="Y70" i="121"/>
  <c r="Y71" i="121" s="1"/>
  <c r="Y72" i="121" s="1"/>
  <c r="Y73" i="121" s="1"/>
  <c r="Y74" i="121" s="1"/>
  <c r="Y75" i="121" s="1"/>
  <c r="Y76" i="121" s="1"/>
  <c r="W70" i="121"/>
  <c r="W71" i="121" s="1"/>
  <c r="W72" i="121" s="1"/>
  <c r="W73" i="121" s="1"/>
  <c r="W74" i="121" s="1"/>
  <c r="W75" i="121" s="1"/>
  <c r="W76" i="121" s="1"/>
  <c r="V70" i="121"/>
  <c r="V71" i="121" s="1"/>
  <c r="V72" i="121" s="1"/>
  <c r="V73" i="121" s="1"/>
  <c r="V74" i="121" s="1"/>
  <c r="V75" i="121" s="1"/>
  <c r="V76" i="121" s="1"/>
  <c r="Y69" i="121"/>
  <c r="X68" i="121"/>
  <c r="W68" i="121"/>
  <c r="W69" i="121" s="1"/>
  <c r="S68" i="121"/>
  <c r="S69" i="121" s="1"/>
  <c r="S70" i="121" s="1"/>
  <c r="S71" i="121" s="1"/>
  <c r="S72" i="121" s="1"/>
  <c r="S73" i="121" s="1"/>
  <c r="S74" i="121" s="1"/>
  <c r="S75" i="121" s="1"/>
  <c r="S76" i="121" s="1"/>
  <c r="W67" i="121"/>
  <c r="W77" i="121" s="1"/>
  <c r="V67" i="121"/>
  <c r="V68" i="121" s="1"/>
  <c r="V69" i="121" s="1"/>
  <c r="V66" i="121"/>
  <c r="U65" i="121"/>
  <c r="T64" i="121"/>
  <c r="T77" i="121" s="1"/>
  <c r="S64" i="121"/>
  <c r="S65" i="121" s="1"/>
  <c r="S66" i="121" s="1"/>
  <c r="S67" i="121" s="1"/>
  <c r="M64" i="121"/>
  <c r="M65" i="121" s="1"/>
  <c r="M66" i="121" s="1"/>
  <c r="M67" i="121" s="1"/>
  <c r="M68" i="121" s="1"/>
  <c r="M69" i="121" s="1"/>
  <c r="M70" i="121" s="1"/>
  <c r="M71" i="121" s="1"/>
  <c r="M72" i="121" s="1"/>
  <c r="M73" i="121" s="1"/>
  <c r="M74" i="121" s="1"/>
  <c r="M75" i="121" s="1"/>
  <c r="M76" i="121" s="1"/>
  <c r="S63" i="121"/>
  <c r="S77" i="121" s="1"/>
  <c r="Q63" i="121"/>
  <c r="Q64" i="121" s="1"/>
  <c r="Q65" i="121" s="1"/>
  <c r="Q66" i="121" s="1"/>
  <c r="Q67" i="121" s="1"/>
  <c r="Q68" i="121" s="1"/>
  <c r="Q69" i="121" s="1"/>
  <c r="Q70" i="121" s="1"/>
  <c r="Q71" i="121" s="1"/>
  <c r="Q72" i="121" s="1"/>
  <c r="Q73" i="121" s="1"/>
  <c r="Q74" i="121" s="1"/>
  <c r="Q75" i="121" s="1"/>
  <c r="Q76" i="121" s="1"/>
  <c r="R62" i="121"/>
  <c r="Q62" i="121"/>
  <c r="Q61" i="121"/>
  <c r="P61" i="121"/>
  <c r="P62" i="121" s="1"/>
  <c r="P63" i="121" s="1"/>
  <c r="P64" i="121" s="1"/>
  <c r="P65" i="121" s="1"/>
  <c r="P66" i="121" s="1"/>
  <c r="P67" i="121" s="1"/>
  <c r="P68" i="121" s="1"/>
  <c r="P69" i="121" s="1"/>
  <c r="P70" i="121" s="1"/>
  <c r="P71" i="121" s="1"/>
  <c r="P72" i="121" s="1"/>
  <c r="P73" i="121" s="1"/>
  <c r="P74" i="121" s="1"/>
  <c r="P75" i="121" s="1"/>
  <c r="P76" i="121" s="1"/>
  <c r="P60" i="121"/>
  <c r="P77" i="121" s="1"/>
  <c r="L60" i="121"/>
  <c r="L61" i="121" s="1"/>
  <c r="L62" i="121" s="1"/>
  <c r="L63" i="121" s="1"/>
  <c r="L64" i="121" s="1"/>
  <c r="L65" i="121" s="1"/>
  <c r="L66" i="121" s="1"/>
  <c r="L67" i="121" s="1"/>
  <c r="L68" i="121" s="1"/>
  <c r="L69" i="121" s="1"/>
  <c r="L70" i="121" s="1"/>
  <c r="L71" i="121" s="1"/>
  <c r="L72" i="121" s="1"/>
  <c r="L73" i="121" s="1"/>
  <c r="L74" i="121" s="1"/>
  <c r="L75" i="121" s="1"/>
  <c r="L76" i="121" s="1"/>
  <c r="O59" i="121"/>
  <c r="N58" i="121"/>
  <c r="M58" i="121"/>
  <c r="M59" i="121" s="1"/>
  <c r="M60" i="121" s="1"/>
  <c r="M61" i="121" s="1"/>
  <c r="M62" i="121" s="1"/>
  <c r="M63" i="121" s="1"/>
  <c r="M57" i="121"/>
  <c r="J57" i="121"/>
  <c r="J58" i="121" s="1"/>
  <c r="J59" i="121" s="1"/>
  <c r="J60" i="121" s="1"/>
  <c r="J61" i="121" s="1"/>
  <c r="J62" i="121" s="1"/>
  <c r="J63" i="121" s="1"/>
  <c r="J64" i="121" s="1"/>
  <c r="J65" i="121" s="1"/>
  <c r="J66" i="121" s="1"/>
  <c r="J67" i="121" s="1"/>
  <c r="J68" i="121" s="1"/>
  <c r="J69" i="121" s="1"/>
  <c r="J70" i="121" s="1"/>
  <c r="J71" i="121" s="1"/>
  <c r="J72" i="121" s="1"/>
  <c r="J73" i="121" s="1"/>
  <c r="J74" i="121" s="1"/>
  <c r="J75" i="121" s="1"/>
  <c r="J76" i="121" s="1"/>
  <c r="L56" i="121"/>
  <c r="L57" i="121" s="1"/>
  <c r="L58" i="121" s="1"/>
  <c r="L59" i="121" s="1"/>
  <c r="K55" i="121"/>
  <c r="K77" i="121" s="1"/>
  <c r="J55" i="121"/>
  <c r="J56" i="121" s="1"/>
  <c r="G55" i="121"/>
  <c r="G56" i="121" s="1"/>
  <c r="G57" i="121" s="1"/>
  <c r="G58" i="121" s="1"/>
  <c r="G59" i="121" s="1"/>
  <c r="G60" i="121" s="1"/>
  <c r="G61" i="121" s="1"/>
  <c r="G62" i="121" s="1"/>
  <c r="G63" i="121" s="1"/>
  <c r="G64" i="121" s="1"/>
  <c r="G65" i="121" s="1"/>
  <c r="G66" i="121" s="1"/>
  <c r="G67" i="121" s="1"/>
  <c r="G68" i="121" s="1"/>
  <c r="G69" i="121" s="1"/>
  <c r="G70" i="121" s="1"/>
  <c r="G71" i="121" s="1"/>
  <c r="G72" i="121" s="1"/>
  <c r="G73" i="121" s="1"/>
  <c r="G74" i="121" s="1"/>
  <c r="G75" i="121" s="1"/>
  <c r="AH75" i="121" s="1"/>
  <c r="J54" i="121"/>
  <c r="I53" i="121"/>
  <c r="H53" i="121"/>
  <c r="H54" i="121" s="1"/>
  <c r="H55" i="121" s="1"/>
  <c r="H56" i="121" s="1"/>
  <c r="H57" i="121" s="1"/>
  <c r="H58" i="121" s="1"/>
  <c r="H59" i="121" s="1"/>
  <c r="H60" i="121" s="1"/>
  <c r="H61" i="121" s="1"/>
  <c r="H62" i="121" s="1"/>
  <c r="H63" i="121" s="1"/>
  <c r="H64" i="121" s="1"/>
  <c r="H65" i="121" s="1"/>
  <c r="H66" i="121" s="1"/>
  <c r="H67" i="121" s="1"/>
  <c r="H68" i="121" s="1"/>
  <c r="H69" i="121" s="1"/>
  <c r="H70" i="121" s="1"/>
  <c r="H71" i="121" s="1"/>
  <c r="H72" i="121" s="1"/>
  <c r="H73" i="121" s="1"/>
  <c r="H74" i="121" s="1"/>
  <c r="H75" i="121" s="1"/>
  <c r="H76" i="121" s="1"/>
  <c r="AH76" i="121" s="1"/>
  <c r="G53" i="121"/>
  <c r="G54" i="121" s="1"/>
  <c r="F53" i="121"/>
  <c r="F54" i="121" s="1"/>
  <c r="F55" i="121" s="1"/>
  <c r="F56" i="121" s="1"/>
  <c r="F57" i="121" s="1"/>
  <c r="F58" i="121" s="1"/>
  <c r="F59" i="121" s="1"/>
  <c r="F60" i="121" s="1"/>
  <c r="F61" i="121" s="1"/>
  <c r="F62" i="121" s="1"/>
  <c r="F63" i="121" s="1"/>
  <c r="F64" i="121" s="1"/>
  <c r="F65" i="121" s="1"/>
  <c r="F66" i="121" s="1"/>
  <c r="F67" i="121" s="1"/>
  <c r="F68" i="121" s="1"/>
  <c r="F69" i="121" s="1"/>
  <c r="F70" i="121" s="1"/>
  <c r="F71" i="121" s="1"/>
  <c r="F72" i="121" s="1"/>
  <c r="F73" i="121" s="1"/>
  <c r="F74" i="121" s="1"/>
  <c r="AH74" i="121" s="1"/>
  <c r="H52" i="121"/>
  <c r="G51" i="121"/>
  <c r="G52" i="121" s="1"/>
  <c r="F51" i="121"/>
  <c r="F52" i="121" s="1"/>
  <c r="F50" i="121"/>
  <c r="E49" i="121"/>
  <c r="D49" i="121"/>
  <c r="C49" i="121"/>
  <c r="C50" i="121" s="1"/>
  <c r="C51" i="121" s="1"/>
  <c r="C52" i="121" s="1"/>
  <c r="C53" i="121" s="1"/>
  <c r="C54" i="121" s="1"/>
  <c r="C55" i="121" s="1"/>
  <c r="C56" i="121" s="1"/>
  <c r="C57" i="121" s="1"/>
  <c r="C58" i="121" s="1"/>
  <c r="C59" i="121" s="1"/>
  <c r="C60" i="121" s="1"/>
  <c r="C61" i="121" s="1"/>
  <c r="C62" i="121" s="1"/>
  <c r="C63" i="121" s="1"/>
  <c r="C64" i="121" s="1"/>
  <c r="C65" i="121" s="1"/>
  <c r="C66" i="121" s="1"/>
  <c r="C67" i="121" s="1"/>
  <c r="C68" i="121" s="1"/>
  <c r="C69" i="121" s="1"/>
  <c r="C70" i="121" s="1"/>
  <c r="C71" i="121" s="1"/>
  <c r="C72" i="121" s="1"/>
  <c r="C73" i="121" s="1"/>
  <c r="C74" i="121" s="1"/>
  <c r="C75" i="121" s="1"/>
  <c r="C76" i="121" s="1"/>
  <c r="AH48" i="121"/>
  <c r="D48" i="121"/>
  <c r="D77" i="121" s="1"/>
  <c r="AH47" i="121"/>
  <c r="C47" i="121"/>
  <c r="C48" i="121" s="1"/>
  <c r="E45" i="121"/>
  <c r="AH44" i="121"/>
  <c r="B44" i="121"/>
  <c r="G17" i="121"/>
  <c r="G18" i="121" s="1"/>
  <c r="G19" i="121" s="1"/>
  <c r="G20" i="121" s="1"/>
  <c r="G21" i="121" s="1"/>
  <c r="G22" i="121" s="1"/>
  <c r="G23" i="121" s="1"/>
  <c r="G24" i="121" s="1"/>
  <c r="G25" i="121" s="1"/>
  <c r="G26" i="121" s="1"/>
  <c r="G27" i="121" s="1"/>
  <c r="G28" i="121" s="1"/>
  <c r="G29" i="121" s="1"/>
  <c r="G30" i="121" s="1"/>
  <c r="G31" i="121" s="1"/>
  <c r="G32" i="121" s="1"/>
  <c r="G33" i="121" s="1"/>
  <c r="G34" i="121" s="1"/>
  <c r="G35" i="121" s="1"/>
  <c r="G36" i="121" s="1"/>
  <c r="G37" i="121" s="1"/>
  <c r="G38" i="121" s="1"/>
  <c r="G39" i="121" s="1"/>
  <c r="G16" i="121"/>
  <c r="F16" i="121"/>
  <c r="F17" i="121" s="1"/>
  <c r="F18" i="121" s="1"/>
  <c r="F19" i="121" s="1"/>
  <c r="F20" i="121" s="1"/>
  <c r="F21" i="121" s="1"/>
  <c r="F22" i="121" s="1"/>
  <c r="F23" i="121" s="1"/>
  <c r="F24" i="121" s="1"/>
  <c r="F25" i="121" s="1"/>
  <c r="F26" i="121" s="1"/>
  <c r="F27" i="121" s="1"/>
  <c r="F28" i="121" s="1"/>
  <c r="F29" i="121" s="1"/>
  <c r="F30" i="121" s="1"/>
  <c r="F31" i="121" s="1"/>
  <c r="F32" i="121" s="1"/>
  <c r="F33" i="121" s="1"/>
  <c r="F34" i="121" s="1"/>
  <c r="F35" i="121" s="1"/>
  <c r="F36" i="121" s="1"/>
  <c r="F37" i="121" s="1"/>
  <c r="F38" i="121" s="1"/>
  <c r="F39" i="121" s="1"/>
  <c r="F15" i="121"/>
  <c r="G14" i="121"/>
  <c r="G15" i="121" s="1"/>
  <c r="E10" i="121"/>
  <c r="D10" i="121"/>
  <c r="C10" i="121"/>
  <c r="E9" i="121"/>
  <c r="D9" i="121"/>
  <c r="F8" i="121"/>
  <c r="F10" i="121" s="1"/>
  <c r="E8" i="121"/>
  <c r="G7" i="121"/>
  <c r="G4" i="121" s="1"/>
  <c r="F7" i="121"/>
  <c r="F13" i="121" s="1"/>
  <c r="F14" i="121" s="1"/>
  <c r="E7" i="121"/>
  <c r="E4" i="121" s="1"/>
  <c r="D7" i="121"/>
  <c r="D11" i="121" s="1"/>
  <c r="F4" i="121"/>
  <c r="D4" i="121"/>
  <c r="AH4" i="121" s="1"/>
  <c r="B4" i="121" s="1"/>
  <c r="E3" i="121"/>
  <c r="F3" i="121" s="1"/>
  <c r="G3" i="121" s="1"/>
  <c r="H3" i="121" s="1"/>
  <c r="I3" i="121" s="1"/>
  <c r="J3" i="121" s="1"/>
  <c r="K3" i="121" s="1"/>
  <c r="L3" i="121" s="1"/>
  <c r="M3" i="121" s="1"/>
  <c r="N3" i="121" s="1"/>
  <c r="O3" i="121" s="1"/>
  <c r="P3" i="121" s="1"/>
  <c r="Q3" i="121" s="1"/>
  <c r="R3" i="121" s="1"/>
  <c r="S3" i="121" s="1"/>
  <c r="T3" i="121" s="1"/>
  <c r="U3" i="121" s="1"/>
  <c r="V3" i="121" s="1"/>
  <c r="W3" i="121" s="1"/>
  <c r="X3" i="121" s="1"/>
  <c r="Y3" i="121" s="1"/>
  <c r="Z3" i="121" s="1"/>
  <c r="AA3" i="121" s="1"/>
  <c r="AB3" i="121" s="1"/>
  <c r="AC3" i="121" s="1"/>
  <c r="AD3" i="121" s="1"/>
  <c r="AE3" i="121" s="1"/>
  <c r="AF3" i="121" s="1"/>
  <c r="AG3" i="121" s="1"/>
  <c r="B3" i="121"/>
  <c r="E2" i="121"/>
  <c r="F2" i="121" s="1"/>
  <c r="G2" i="121" s="1"/>
  <c r="H2" i="121" s="1"/>
  <c r="I2" i="121" s="1"/>
  <c r="J2" i="121" s="1"/>
  <c r="K2" i="121" s="1"/>
  <c r="L2" i="121" s="1"/>
  <c r="M2" i="121" s="1"/>
  <c r="N2" i="121" s="1"/>
  <c r="O2" i="121" s="1"/>
  <c r="P2" i="121" s="1"/>
  <c r="Q2" i="121" s="1"/>
  <c r="R2" i="121" s="1"/>
  <c r="S2" i="121" s="1"/>
  <c r="T2" i="121" s="1"/>
  <c r="U2" i="121" s="1"/>
  <c r="V2" i="121" s="1"/>
  <c r="W2" i="121" s="1"/>
  <c r="X2" i="121" s="1"/>
  <c r="Y2" i="121" s="1"/>
  <c r="Z2" i="121" s="1"/>
  <c r="AA2" i="121" s="1"/>
  <c r="AB2" i="121" s="1"/>
  <c r="AC2" i="121" s="1"/>
  <c r="AD2" i="121" s="1"/>
  <c r="AE2" i="121" s="1"/>
  <c r="AF2" i="121" s="1"/>
  <c r="AG2" i="121" s="1"/>
  <c r="K7" i="120"/>
  <c r="K18" i="120" s="1"/>
  <c r="K19" i="120" s="1"/>
  <c r="K20" i="120" s="1"/>
  <c r="K21" i="120" s="1"/>
  <c r="K22" i="120" s="1"/>
  <c r="K23" i="120" s="1"/>
  <c r="K24" i="120" s="1"/>
  <c r="K25" i="120" s="1"/>
  <c r="K26" i="120" s="1"/>
  <c r="K27" i="120" s="1"/>
  <c r="K28" i="120" s="1"/>
  <c r="K29" i="120" s="1"/>
  <c r="K30" i="120" s="1"/>
  <c r="K31" i="120" s="1"/>
  <c r="K32" i="120" s="1"/>
  <c r="K33" i="120" s="1"/>
  <c r="K34" i="120" s="1"/>
  <c r="K35" i="120" s="1"/>
  <c r="K36" i="120" s="1"/>
  <c r="K37" i="120" s="1"/>
  <c r="K38" i="120" s="1"/>
  <c r="K39" i="120" s="1"/>
  <c r="L7" i="120"/>
  <c r="L19" i="120" s="1"/>
  <c r="L20" i="120" s="1"/>
  <c r="L21" i="120" s="1"/>
  <c r="L22" i="120" s="1"/>
  <c r="L23" i="120" s="1"/>
  <c r="L24" i="120" s="1"/>
  <c r="L25" i="120" s="1"/>
  <c r="L26" i="120" s="1"/>
  <c r="L27" i="120" s="1"/>
  <c r="L28" i="120" s="1"/>
  <c r="L29" i="120" s="1"/>
  <c r="L30" i="120" s="1"/>
  <c r="L31" i="120" s="1"/>
  <c r="L32" i="120" s="1"/>
  <c r="L33" i="120" s="1"/>
  <c r="L34" i="120" s="1"/>
  <c r="L35" i="120" s="1"/>
  <c r="L36" i="120" s="1"/>
  <c r="L37" i="120" s="1"/>
  <c r="L38" i="120" s="1"/>
  <c r="L39" i="120" s="1"/>
  <c r="M7" i="120"/>
  <c r="M4" i="120" s="1"/>
  <c r="N7" i="120"/>
  <c r="N21" i="120" s="1"/>
  <c r="N22" i="120" s="1"/>
  <c r="N23" i="120" s="1"/>
  <c r="N24" i="120" s="1"/>
  <c r="N25" i="120" s="1"/>
  <c r="N26" i="120" s="1"/>
  <c r="N27" i="120" s="1"/>
  <c r="N28" i="120" s="1"/>
  <c r="N29" i="120" s="1"/>
  <c r="N30" i="120" s="1"/>
  <c r="N31" i="120" s="1"/>
  <c r="N32" i="120" s="1"/>
  <c r="N33" i="120" s="1"/>
  <c r="N34" i="120" s="1"/>
  <c r="N35" i="120" s="1"/>
  <c r="N36" i="120" s="1"/>
  <c r="N37" i="120" s="1"/>
  <c r="N38" i="120" s="1"/>
  <c r="N39" i="120" s="1"/>
  <c r="O7" i="120"/>
  <c r="P7" i="120"/>
  <c r="P23" i="120" s="1"/>
  <c r="P24" i="120" s="1"/>
  <c r="P25" i="120" s="1"/>
  <c r="P26" i="120" s="1"/>
  <c r="P27" i="120" s="1"/>
  <c r="P28" i="120" s="1"/>
  <c r="P29" i="120" s="1"/>
  <c r="P30" i="120" s="1"/>
  <c r="P31" i="120" s="1"/>
  <c r="P32" i="120" s="1"/>
  <c r="P33" i="120" s="1"/>
  <c r="P34" i="120" s="1"/>
  <c r="P35" i="120" s="1"/>
  <c r="P36" i="120" s="1"/>
  <c r="P37" i="120" s="1"/>
  <c r="P38" i="120" s="1"/>
  <c r="P39" i="120" s="1"/>
  <c r="Q7" i="120"/>
  <c r="R7" i="120"/>
  <c r="S7" i="120"/>
  <c r="S4" i="120" s="1"/>
  <c r="T7" i="120"/>
  <c r="T4" i="120" s="1"/>
  <c r="U7" i="120"/>
  <c r="U28" i="120" s="1"/>
  <c r="U29" i="120" s="1"/>
  <c r="U30" i="120" s="1"/>
  <c r="U31" i="120" s="1"/>
  <c r="U32" i="120" s="1"/>
  <c r="U33" i="120" s="1"/>
  <c r="U34" i="120" s="1"/>
  <c r="U35" i="120" s="1"/>
  <c r="U36" i="120" s="1"/>
  <c r="U37" i="120" s="1"/>
  <c r="U38" i="120" s="1"/>
  <c r="U39" i="120" s="1"/>
  <c r="V7" i="120"/>
  <c r="W7" i="120"/>
  <c r="X7" i="120"/>
  <c r="Y7" i="120"/>
  <c r="Y4" i="120" s="1"/>
  <c r="Z7" i="120"/>
  <c r="Z4" i="120" s="1"/>
  <c r="AA7" i="120"/>
  <c r="AA34" i="120" s="1"/>
  <c r="AA35" i="120" s="1"/>
  <c r="AA36" i="120" s="1"/>
  <c r="AA37" i="120" s="1"/>
  <c r="AA38" i="120" s="1"/>
  <c r="AA39" i="120" s="1"/>
  <c r="AB7" i="120"/>
  <c r="AC7" i="120"/>
  <c r="AC36" i="120" s="1"/>
  <c r="AC37" i="120" s="1"/>
  <c r="AC38" i="120" s="1"/>
  <c r="AC39" i="120" s="1"/>
  <c r="AD7" i="120"/>
  <c r="AD37" i="120" s="1"/>
  <c r="AD38" i="120" s="1"/>
  <c r="AD39" i="120" s="1"/>
  <c r="AE7" i="120"/>
  <c r="AF7" i="120"/>
  <c r="AG7" i="120"/>
  <c r="AG4" i="120" s="1"/>
  <c r="J7" i="120"/>
  <c r="H7" i="120"/>
  <c r="C342" i="120"/>
  <c r="J340" i="120"/>
  <c r="K340" i="120" s="1"/>
  <c r="L340" i="120" s="1"/>
  <c r="M340" i="120" s="1"/>
  <c r="N340" i="120" s="1"/>
  <c r="O340" i="120" s="1"/>
  <c r="P340" i="120" s="1"/>
  <c r="Q340" i="120" s="1"/>
  <c r="R340" i="120" s="1"/>
  <c r="S340" i="120" s="1"/>
  <c r="T340" i="120" s="1"/>
  <c r="U340" i="120" s="1"/>
  <c r="V340" i="120" s="1"/>
  <c r="W340" i="120" s="1"/>
  <c r="X340" i="120" s="1"/>
  <c r="Y340" i="120" s="1"/>
  <c r="Z340" i="120" s="1"/>
  <c r="AA340" i="120" s="1"/>
  <c r="AB340" i="120" s="1"/>
  <c r="AC340" i="120" s="1"/>
  <c r="AD340" i="120" s="1"/>
  <c r="AE340" i="120" s="1"/>
  <c r="AF340" i="120" s="1"/>
  <c r="AG340" i="120" s="1"/>
  <c r="E340" i="120"/>
  <c r="F340" i="120" s="1"/>
  <c r="G340" i="120" s="1"/>
  <c r="H340" i="120" s="1"/>
  <c r="I340" i="120" s="1"/>
  <c r="AG337" i="120"/>
  <c r="AA337" i="120"/>
  <c r="Z337" i="120"/>
  <c r="X337" i="120"/>
  <c r="W337" i="120"/>
  <c r="U337" i="120"/>
  <c r="P337" i="120"/>
  <c r="N337" i="120"/>
  <c r="L337" i="120"/>
  <c r="K337" i="120"/>
  <c r="J337" i="120"/>
  <c r="I337" i="120"/>
  <c r="E337" i="120"/>
  <c r="D337" i="120"/>
  <c r="AG336" i="120"/>
  <c r="AF336" i="120"/>
  <c r="AF337" i="120" s="1"/>
  <c r="AE336" i="120"/>
  <c r="AE335" i="120"/>
  <c r="AE337" i="120" s="1"/>
  <c r="AD334" i="120"/>
  <c r="AH333" i="120"/>
  <c r="AC333" i="120"/>
  <c r="AB333" i="120"/>
  <c r="AB334" i="120" s="1"/>
  <c r="AH334" i="120" s="1"/>
  <c r="AB332" i="120"/>
  <c r="AB337" i="120" s="1"/>
  <c r="AA331" i="120"/>
  <c r="AA332" i="120" s="1"/>
  <c r="AA333" i="120" s="1"/>
  <c r="Z331" i="120"/>
  <c r="Z332" i="120" s="1"/>
  <c r="AH332" i="120" s="1"/>
  <c r="Z330" i="120"/>
  <c r="Y329" i="120"/>
  <c r="X329" i="120"/>
  <c r="X330" i="120" s="1"/>
  <c r="AH330" i="120" s="1"/>
  <c r="W329" i="120"/>
  <c r="AH329" i="120" s="1"/>
  <c r="X328" i="120"/>
  <c r="W327" i="120"/>
  <c r="W328" i="120" s="1"/>
  <c r="V327" i="120"/>
  <c r="V328" i="120" s="1"/>
  <c r="AH328" i="120" s="1"/>
  <c r="U327" i="120"/>
  <c r="AH327" i="120" s="1"/>
  <c r="V326" i="120"/>
  <c r="V337" i="120" s="1"/>
  <c r="U326" i="120"/>
  <c r="U325" i="120"/>
  <c r="T325" i="120"/>
  <c r="T326" i="120" s="1"/>
  <c r="AH326" i="120" s="1"/>
  <c r="T324" i="120"/>
  <c r="T337" i="120" s="1"/>
  <c r="S324" i="120"/>
  <c r="S325" i="120" s="1"/>
  <c r="AH325" i="120" s="1"/>
  <c r="S323" i="120"/>
  <c r="S337" i="120" s="1"/>
  <c r="AH322" i="120"/>
  <c r="R322" i="120"/>
  <c r="Q321" i="120"/>
  <c r="P321" i="120"/>
  <c r="P322" i="120" s="1"/>
  <c r="P320" i="120"/>
  <c r="O319" i="120"/>
  <c r="N319" i="120"/>
  <c r="N320" i="120" s="1"/>
  <c r="AH320" i="120" s="1"/>
  <c r="N318" i="120"/>
  <c r="M317" i="120"/>
  <c r="K317" i="120"/>
  <c r="AH317" i="120" s="1"/>
  <c r="L316" i="120"/>
  <c r="L317" i="120" s="1"/>
  <c r="L318" i="120" s="1"/>
  <c r="AH318" i="120" s="1"/>
  <c r="K315" i="120"/>
  <c r="K316" i="120" s="1"/>
  <c r="I315" i="120"/>
  <c r="AH315" i="120" s="1"/>
  <c r="J314" i="120"/>
  <c r="J315" i="120" s="1"/>
  <c r="J316" i="120" s="1"/>
  <c r="AH316" i="120" s="1"/>
  <c r="I314" i="120"/>
  <c r="I313" i="120"/>
  <c r="H312" i="120"/>
  <c r="G312" i="120"/>
  <c r="G313" i="120" s="1"/>
  <c r="AH313" i="120" s="1"/>
  <c r="G311" i="120"/>
  <c r="G337" i="120" s="1"/>
  <c r="AH310" i="120"/>
  <c r="F310" i="120"/>
  <c r="E310" i="120"/>
  <c r="E311" i="120" s="1"/>
  <c r="AH311" i="120" s="1"/>
  <c r="E309" i="120"/>
  <c r="D309" i="120"/>
  <c r="D310" i="120" s="1"/>
  <c r="AH308" i="120"/>
  <c r="D308" i="120"/>
  <c r="AH307" i="120"/>
  <c r="C307" i="120"/>
  <c r="C308" i="120" s="1"/>
  <c r="C309" i="120" s="1"/>
  <c r="C310" i="120" s="1"/>
  <c r="C311" i="120" s="1"/>
  <c r="C312" i="120" s="1"/>
  <c r="C313" i="120" s="1"/>
  <c r="C314" i="120" s="1"/>
  <c r="C315" i="120" s="1"/>
  <c r="C316" i="120" s="1"/>
  <c r="C317" i="120" s="1"/>
  <c r="C318" i="120" s="1"/>
  <c r="C319" i="120" s="1"/>
  <c r="C320" i="120" s="1"/>
  <c r="C321" i="120" s="1"/>
  <c r="C322" i="120" s="1"/>
  <c r="C323" i="120" s="1"/>
  <c r="C324" i="120" s="1"/>
  <c r="C325" i="120" s="1"/>
  <c r="C326" i="120" s="1"/>
  <c r="C327" i="120" s="1"/>
  <c r="C328" i="120" s="1"/>
  <c r="C329" i="120" s="1"/>
  <c r="C330" i="120" s="1"/>
  <c r="C331" i="120" s="1"/>
  <c r="C332" i="120" s="1"/>
  <c r="C333" i="120" s="1"/>
  <c r="C334" i="120" s="1"/>
  <c r="C335" i="120" s="1"/>
  <c r="C336" i="120" s="1"/>
  <c r="AH306" i="120"/>
  <c r="E305" i="120"/>
  <c r="F305" i="120" s="1"/>
  <c r="G305" i="120" s="1"/>
  <c r="H305" i="120" s="1"/>
  <c r="I305" i="120" s="1"/>
  <c r="J305" i="120" s="1"/>
  <c r="K305" i="120" s="1"/>
  <c r="L305" i="120" s="1"/>
  <c r="M305" i="120" s="1"/>
  <c r="N305" i="120" s="1"/>
  <c r="O305" i="120" s="1"/>
  <c r="P305" i="120" s="1"/>
  <c r="Q305" i="120" s="1"/>
  <c r="R305" i="120" s="1"/>
  <c r="S305" i="120" s="1"/>
  <c r="T305" i="120" s="1"/>
  <c r="U305" i="120" s="1"/>
  <c r="V305" i="120" s="1"/>
  <c r="W305" i="120" s="1"/>
  <c r="X305" i="120" s="1"/>
  <c r="Y305" i="120" s="1"/>
  <c r="Z305" i="120" s="1"/>
  <c r="AA305" i="120" s="1"/>
  <c r="AB305" i="120" s="1"/>
  <c r="AC305" i="120" s="1"/>
  <c r="AD305" i="120" s="1"/>
  <c r="AE305" i="120" s="1"/>
  <c r="AF305" i="120" s="1"/>
  <c r="AG305" i="120" s="1"/>
  <c r="AH304" i="120"/>
  <c r="B304" i="120" s="1"/>
  <c r="AG299" i="120"/>
  <c r="AD299" i="120"/>
  <c r="AC299" i="120"/>
  <c r="Z299" i="120"/>
  <c r="Y299" i="120"/>
  <c r="U299" i="120"/>
  <c r="T299" i="120"/>
  <c r="S299" i="120"/>
  <c r="R299" i="120"/>
  <c r="M299" i="120"/>
  <c r="H299" i="120"/>
  <c r="G299" i="120"/>
  <c r="F299" i="120"/>
  <c r="D299" i="120"/>
  <c r="AG298" i="120"/>
  <c r="AF298" i="120"/>
  <c r="AF299" i="120" s="1"/>
  <c r="AE297" i="120"/>
  <c r="AE298" i="120" s="1"/>
  <c r="AD297" i="120"/>
  <c r="AD298" i="120" s="1"/>
  <c r="AC297" i="120"/>
  <c r="AC298" i="120" s="1"/>
  <c r="AD296" i="120"/>
  <c r="AC295" i="120"/>
  <c r="AC296" i="120" s="1"/>
  <c r="AB294" i="120"/>
  <c r="AA294" i="120"/>
  <c r="AA295" i="120" s="1"/>
  <c r="AA296" i="120" s="1"/>
  <c r="AA297" i="120" s="1"/>
  <c r="AH297" i="120" s="1"/>
  <c r="Z294" i="120"/>
  <c r="Z295" i="120" s="1"/>
  <c r="Z296" i="120" s="1"/>
  <c r="AH296" i="120" s="1"/>
  <c r="AH293" i="120"/>
  <c r="AA293" i="120"/>
  <c r="AA299" i="120" s="1"/>
  <c r="Z292" i="120"/>
  <c r="Z293" i="120" s="1"/>
  <c r="Y292" i="120"/>
  <c r="Y293" i="120" s="1"/>
  <c r="Y294" i="120" s="1"/>
  <c r="Y295" i="120" s="1"/>
  <c r="AH295" i="120" s="1"/>
  <c r="W292" i="120"/>
  <c r="W293" i="120" s="1"/>
  <c r="Y291" i="120"/>
  <c r="U291" i="120"/>
  <c r="AH291" i="120" s="1"/>
  <c r="AH290" i="120"/>
  <c r="X290" i="120"/>
  <c r="W290" i="120"/>
  <c r="W291" i="120" s="1"/>
  <c r="W289" i="120"/>
  <c r="W299" i="120" s="1"/>
  <c r="V288" i="120"/>
  <c r="U288" i="120"/>
  <c r="U289" i="120" s="1"/>
  <c r="U290" i="120" s="1"/>
  <c r="U287" i="120"/>
  <c r="S287" i="120"/>
  <c r="S288" i="120" s="1"/>
  <c r="S289" i="120" s="1"/>
  <c r="AH289" i="120" s="1"/>
  <c r="R287" i="120"/>
  <c r="R288" i="120" s="1"/>
  <c r="AH288" i="120" s="1"/>
  <c r="T286" i="120"/>
  <c r="T287" i="120" s="1"/>
  <c r="T288" i="120" s="1"/>
  <c r="T289" i="120" s="1"/>
  <c r="T290" i="120" s="1"/>
  <c r="S285" i="120"/>
  <c r="S286" i="120" s="1"/>
  <c r="R285" i="120"/>
  <c r="R286" i="120" s="1"/>
  <c r="R284" i="120"/>
  <c r="Q283" i="120"/>
  <c r="P282" i="120"/>
  <c r="N282" i="120"/>
  <c r="N283" i="120" s="1"/>
  <c r="N284" i="120" s="1"/>
  <c r="AH284" i="120" s="1"/>
  <c r="M282" i="120"/>
  <c r="M283" i="120" s="1"/>
  <c r="AH283" i="120" s="1"/>
  <c r="O281" i="120"/>
  <c r="N281" i="120"/>
  <c r="N280" i="120"/>
  <c r="N299" i="120" s="1"/>
  <c r="M280" i="120"/>
  <c r="M281" i="120" s="1"/>
  <c r="M279" i="120"/>
  <c r="L278" i="120"/>
  <c r="K278" i="120"/>
  <c r="K279" i="120" s="1"/>
  <c r="K280" i="120" s="1"/>
  <c r="K281" i="120" s="1"/>
  <c r="AH281" i="120" s="1"/>
  <c r="K277" i="120"/>
  <c r="K299" i="120" s="1"/>
  <c r="G277" i="120"/>
  <c r="AH277" i="120" s="1"/>
  <c r="J276" i="120"/>
  <c r="I275" i="120"/>
  <c r="H275" i="120"/>
  <c r="H276" i="120" s="1"/>
  <c r="H277" i="120" s="1"/>
  <c r="H278" i="120" s="1"/>
  <c r="AH278" i="120" s="1"/>
  <c r="C275" i="120"/>
  <c r="C276" i="120" s="1"/>
  <c r="C277" i="120" s="1"/>
  <c r="C278" i="120" s="1"/>
  <c r="C279" i="120" s="1"/>
  <c r="C280" i="120" s="1"/>
  <c r="C281" i="120" s="1"/>
  <c r="C282" i="120" s="1"/>
  <c r="C283" i="120" s="1"/>
  <c r="C284" i="120" s="1"/>
  <c r="C285" i="120" s="1"/>
  <c r="C286" i="120" s="1"/>
  <c r="C287" i="120" s="1"/>
  <c r="C288" i="120" s="1"/>
  <c r="C289" i="120" s="1"/>
  <c r="C290" i="120" s="1"/>
  <c r="C291" i="120" s="1"/>
  <c r="C292" i="120" s="1"/>
  <c r="C293" i="120" s="1"/>
  <c r="C294" i="120" s="1"/>
  <c r="C295" i="120" s="1"/>
  <c r="C296" i="120" s="1"/>
  <c r="C297" i="120" s="1"/>
  <c r="C298" i="120" s="1"/>
  <c r="H274" i="120"/>
  <c r="G273" i="120"/>
  <c r="G274" i="120" s="1"/>
  <c r="G275" i="120" s="1"/>
  <c r="G276" i="120" s="1"/>
  <c r="F273" i="120"/>
  <c r="F274" i="120" s="1"/>
  <c r="F275" i="120" s="1"/>
  <c r="F276" i="120" s="1"/>
  <c r="AH276" i="120" s="1"/>
  <c r="F272" i="120"/>
  <c r="E271" i="120"/>
  <c r="D271" i="120"/>
  <c r="C271" i="120"/>
  <c r="C272" i="120" s="1"/>
  <c r="C273" i="120" s="1"/>
  <c r="C274" i="120" s="1"/>
  <c r="AH270" i="120"/>
  <c r="D270" i="120"/>
  <c r="C270" i="120"/>
  <c r="AH269" i="120"/>
  <c r="C269" i="120"/>
  <c r="AH268" i="120"/>
  <c r="E267" i="120"/>
  <c r="F267" i="120" s="1"/>
  <c r="G267" i="120" s="1"/>
  <c r="H267" i="120" s="1"/>
  <c r="I267" i="120" s="1"/>
  <c r="J267" i="120" s="1"/>
  <c r="K267" i="120" s="1"/>
  <c r="L267" i="120" s="1"/>
  <c r="M267" i="120" s="1"/>
  <c r="N267" i="120" s="1"/>
  <c r="O267" i="120" s="1"/>
  <c r="P267" i="120" s="1"/>
  <c r="Q267" i="120" s="1"/>
  <c r="R267" i="120" s="1"/>
  <c r="S267" i="120" s="1"/>
  <c r="T267" i="120" s="1"/>
  <c r="U267" i="120" s="1"/>
  <c r="V267" i="120" s="1"/>
  <c r="W267" i="120" s="1"/>
  <c r="X267" i="120" s="1"/>
  <c r="Y267" i="120" s="1"/>
  <c r="Z267" i="120" s="1"/>
  <c r="AA267" i="120" s="1"/>
  <c r="AB267" i="120" s="1"/>
  <c r="AC267" i="120" s="1"/>
  <c r="AD267" i="120" s="1"/>
  <c r="AE267" i="120" s="1"/>
  <c r="AF267" i="120" s="1"/>
  <c r="AG267" i="120" s="1"/>
  <c r="AH266" i="120"/>
  <c r="B266" i="120" s="1"/>
  <c r="Z261" i="120"/>
  <c r="X261" i="120"/>
  <c r="W261" i="120"/>
  <c r="V261" i="120"/>
  <c r="U261" i="120"/>
  <c r="T261" i="120"/>
  <c r="N261" i="120"/>
  <c r="J261" i="120"/>
  <c r="I261" i="120"/>
  <c r="H261" i="120"/>
  <c r="AG260" i="120"/>
  <c r="AG261" i="120" s="1"/>
  <c r="AF260" i="120"/>
  <c r="AF261" i="120" s="1"/>
  <c r="AD260" i="120"/>
  <c r="AE259" i="120"/>
  <c r="AD259" i="120"/>
  <c r="AD258" i="120"/>
  <c r="AD261" i="120" s="1"/>
  <c r="AC257" i="120"/>
  <c r="AB257" i="120"/>
  <c r="AB258" i="120" s="1"/>
  <c r="AB259" i="120" s="1"/>
  <c r="AB260" i="120" s="1"/>
  <c r="AH256" i="120"/>
  <c r="AB256" i="120"/>
  <c r="AB261" i="120" s="1"/>
  <c r="AA255" i="120"/>
  <c r="AA261" i="120" s="1"/>
  <c r="Z255" i="120"/>
  <c r="Z256" i="120" s="1"/>
  <c r="Z257" i="120" s="1"/>
  <c r="Z258" i="120" s="1"/>
  <c r="Z259" i="120" s="1"/>
  <c r="Z260" i="120" s="1"/>
  <c r="AH260" i="120" s="1"/>
  <c r="Y255" i="120"/>
  <c r="Y256" i="120" s="1"/>
  <c r="Y257" i="120" s="1"/>
  <c r="Y258" i="120" s="1"/>
  <c r="Y259" i="120" s="1"/>
  <c r="AH259" i="120" s="1"/>
  <c r="W255" i="120"/>
  <c r="W256" i="120" s="1"/>
  <c r="W257" i="120" s="1"/>
  <c r="AH257" i="120" s="1"/>
  <c r="V255" i="120"/>
  <c r="V256" i="120" s="1"/>
  <c r="AH254" i="120"/>
  <c r="Z254" i="120"/>
  <c r="Y253" i="120"/>
  <c r="Y254" i="120" s="1"/>
  <c r="X253" i="120"/>
  <c r="X254" i="120" s="1"/>
  <c r="X255" i="120" s="1"/>
  <c r="X256" i="120" s="1"/>
  <c r="X257" i="120" s="1"/>
  <c r="X258" i="120" s="1"/>
  <c r="AH258" i="120" s="1"/>
  <c r="X252" i="120"/>
  <c r="T252" i="120"/>
  <c r="T253" i="120" s="1"/>
  <c r="T254" i="120" s="1"/>
  <c r="W251" i="120"/>
  <c r="W252" i="120" s="1"/>
  <c r="W253" i="120" s="1"/>
  <c r="W254" i="120" s="1"/>
  <c r="V251" i="120"/>
  <c r="V252" i="120" s="1"/>
  <c r="V253" i="120" s="1"/>
  <c r="V254" i="120" s="1"/>
  <c r="T251" i="120"/>
  <c r="V250" i="120"/>
  <c r="U249" i="120"/>
  <c r="U250" i="120" s="1"/>
  <c r="U251" i="120" s="1"/>
  <c r="U252" i="120" s="1"/>
  <c r="U253" i="120" s="1"/>
  <c r="U254" i="120" s="1"/>
  <c r="U255" i="120" s="1"/>
  <c r="AH255" i="120" s="1"/>
  <c r="T249" i="120"/>
  <c r="T250" i="120" s="1"/>
  <c r="T248" i="120"/>
  <c r="S247" i="120"/>
  <c r="R247" i="120"/>
  <c r="R248" i="120" s="1"/>
  <c r="R249" i="120" s="1"/>
  <c r="R250" i="120" s="1"/>
  <c r="R251" i="120" s="1"/>
  <c r="R252" i="120" s="1"/>
  <c r="AH252" i="120" s="1"/>
  <c r="R246" i="120"/>
  <c r="R261" i="120" s="1"/>
  <c r="N246" i="120"/>
  <c r="N247" i="120" s="1"/>
  <c r="N248" i="120" s="1"/>
  <c r="AH248" i="120" s="1"/>
  <c r="Q245" i="120"/>
  <c r="P244" i="120"/>
  <c r="P261" i="120" s="1"/>
  <c r="O243" i="120"/>
  <c r="N243" i="120"/>
  <c r="N244" i="120" s="1"/>
  <c r="N245" i="120" s="1"/>
  <c r="AH242" i="120"/>
  <c r="N242" i="120"/>
  <c r="M241" i="120"/>
  <c r="L240" i="120"/>
  <c r="K240" i="120"/>
  <c r="K241" i="120" s="1"/>
  <c r="K242" i="120" s="1"/>
  <c r="K243" i="120" s="1"/>
  <c r="K244" i="120" s="1"/>
  <c r="K245" i="120" s="1"/>
  <c r="AH245" i="120" s="1"/>
  <c r="J240" i="120"/>
  <c r="J241" i="120" s="1"/>
  <c r="J242" i="120" s="1"/>
  <c r="J243" i="120" s="1"/>
  <c r="J244" i="120" s="1"/>
  <c r="AH244" i="120" s="1"/>
  <c r="H240" i="120"/>
  <c r="H241" i="120" s="1"/>
  <c r="H242" i="120" s="1"/>
  <c r="K239" i="120"/>
  <c r="K261" i="120" s="1"/>
  <c r="J239" i="120"/>
  <c r="J238" i="120"/>
  <c r="C238" i="120"/>
  <c r="C239" i="120" s="1"/>
  <c r="C240" i="120" s="1"/>
  <c r="C241" i="120" s="1"/>
  <c r="C242" i="120" s="1"/>
  <c r="C243" i="120" s="1"/>
  <c r="C244" i="120" s="1"/>
  <c r="C245" i="120" s="1"/>
  <c r="C246" i="120" s="1"/>
  <c r="C247" i="120" s="1"/>
  <c r="C248" i="120" s="1"/>
  <c r="C249" i="120" s="1"/>
  <c r="C250" i="120" s="1"/>
  <c r="C251" i="120" s="1"/>
  <c r="C252" i="120" s="1"/>
  <c r="C253" i="120" s="1"/>
  <c r="C254" i="120" s="1"/>
  <c r="C255" i="120" s="1"/>
  <c r="C256" i="120" s="1"/>
  <c r="C257" i="120" s="1"/>
  <c r="C258" i="120" s="1"/>
  <c r="C259" i="120" s="1"/>
  <c r="C260" i="120" s="1"/>
  <c r="I237" i="120"/>
  <c r="I238" i="120" s="1"/>
  <c r="I239" i="120" s="1"/>
  <c r="I240" i="120" s="1"/>
  <c r="I241" i="120" s="1"/>
  <c r="I242" i="120" s="1"/>
  <c r="I243" i="120" s="1"/>
  <c r="AH243" i="120" s="1"/>
  <c r="H236" i="120"/>
  <c r="H237" i="120" s="1"/>
  <c r="H238" i="120" s="1"/>
  <c r="H239" i="120" s="1"/>
  <c r="G236" i="120"/>
  <c r="G237" i="120" s="1"/>
  <c r="G238" i="120" s="1"/>
  <c r="G239" i="120" s="1"/>
  <c r="G240" i="120" s="1"/>
  <c r="G241" i="120" s="1"/>
  <c r="AH241" i="120" s="1"/>
  <c r="G235" i="120"/>
  <c r="G261" i="120" s="1"/>
  <c r="F234" i="120"/>
  <c r="E233" i="120"/>
  <c r="D232" i="120"/>
  <c r="C232" i="120"/>
  <c r="C233" i="120" s="1"/>
  <c r="C234" i="120" s="1"/>
  <c r="C235" i="120" s="1"/>
  <c r="C236" i="120" s="1"/>
  <c r="C237" i="120" s="1"/>
  <c r="AH231" i="120"/>
  <c r="C231" i="120"/>
  <c r="AH230" i="120"/>
  <c r="J229" i="120"/>
  <c r="K229" i="120" s="1"/>
  <c r="L229" i="120" s="1"/>
  <c r="M229" i="120" s="1"/>
  <c r="N229" i="120" s="1"/>
  <c r="O229" i="120" s="1"/>
  <c r="P229" i="120" s="1"/>
  <c r="Q229" i="120" s="1"/>
  <c r="R229" i="120" s="1"/>
  <c r="S229" i="120" s="1"/>
  <c r="T229" i="120" s="1"/>
  <c r="U229" i="120" s="1"/>
  <c r="V229" i="120" s="1"/>
  <c r="W229" i="120" s="1"/>
  <c r="X229" i="120" s="1"/>
  <c r="Y229" i="120" s="1"/>
  <c r="Z229" i="120" s="1"/>
  <c r="AA229" i="120" s="1"/>
  <c r="AB229" i="120" s="1"/>
  <c r="AC229" i="120" s="1"/>
  <c r="AD229" i="120" s="1"/>
  <c r="AE229" i="120" s="1"/>
  <c r="AF229" i="120" s="1"/>
  <c r="AG229" i="120" s="1"/>
  <c r="H229" i="120"/>
  <c r="I229" i="120" s="1"/>
  <c r="G229" i="120"/>
  <c r="F229" i="120"/>
  <c r="E229" i="120"/>
  <c r="AH228" i="120"/>
  <c r="B228" i="120"/>
  <c r="AG225" i="120"/>
  <c r="AF225" i="120"/>
  <c r="AE225" i="120"/>
  <c r="AD225" i="120"/>
  <c r="AC225" i="120"/>
  <c r="AB225" i="120"/>
  <c r="AA225" i="120"/>
  <c r="Z225" i="120"/>
  <c r="W225" i="120"/>
  <c r="V225" i="120"/>
  <c r="U225" i="120"/>
  <c r="T225" i="120"/>
  <c r="S225" i="120"/>
  <c r="R225" i="120"/>
  <c r="Q225" i="120"/>
  <c r="P225" i="120"/>
  <c r="O225" i="120"/>
  <c r="N225" i="120"/>
  <c r="J225" i="120"/>
  <c r="H225" i="120"/>
  <c r="G225" i="120"/>
  <c r="AG224" i="120"/>
  <c r="AF224" i="120"/>
  <c r="AB224" i="120"/>
  <c r="AE223" i="120"/>
  <c r="AE224" i="120" s="1"/>
  <c r="AD222" i="120"/>
  <c r="AD223" i="120" s="1"/>
  <c r="AD224" i="120" s="1"/>
  <c r="W222" i="120"/>
  <c r="W223" i="120" s="1"/>
  <c r="W224" i="120" s="1"/>
  <c r="AH224" i="120" s="1"/>
  <c r="AC221" i="120"/>
  <c r="AC222" i="120" s="1"/>
  <c r="AC223" i="120" s="1"/>
  <c r="AC224" i="120" s="1"/>
  <c r="AB220" i="120"/>
  <c r="AB221" i="120" s="1"/>
  <c r="AB222" i="120" s="1"/>
  <c r="AB223" i="120" s="1"/>
  <c r="Z220" i="120"/>
  <c r="Z221" i="120" s="1"/>
  <c r="Z222" i="120" s="1"/>
  <c r="Z223" i="120" s="1"/>
  <c r="Z224" i="120" s="1"/>
  <c r="AA219" i="120"/>
  <c r="AA220" i="120" s="1"/>
  <c r="AA221" i="120" s="1"/>
  <c r="AA222" i="120" s="1"/>
  <c r="AA223" i="120" s="1"/>
  <c r="AA224" i="120" s="1"/>
  <c r="W219" i="120"/>
  <c r="W220" i="120" s="1"/>
  <c r="W221" i="120" s="1"/>
  <c r="Z218" i="120"/>
  <c r="Z219" i="120" s="1"/>
  <c r="W218" i="120"/>
  <c r="T218" i="120"/>
  <c r="T219" i="120" s="1"/>
  <c r="T220" i="120" s="1"/>
  <c r="T221" i="120" s="1"/>
  <c r="AH221" i="120" s="1"/>
  <c r="S218" i="120"/>
  <c r="S219" i="120" s="1"/>
  <c r="S220" i="120" s="1"/>
  <c r="AH220" i="120" s="1"/>
  <c r="R218" i="120"/>
  <c r="R219" i="120" s="1"/>
  <c r="AH219" i="120" s="1"/>
  <c r="Y217" i="120"/>
  <c r="Y225" i="120" s="1"/>
  <c r="W217" i="120"/>
  <c r="Q217" i="120"/>
  <c r="Q218" i="120" s="1"/>
  <c r="AH218" i="120" s="1"/>
  <c r="X216" i="120"/>
  <c r="X225" i="120" s="1"/>
  <c r="W215" i="120"/>
  <c r="W216" i="120" s="1"/>
  <c r="T215" i="120"/>
  <c r="T216" i="120" s="1"/>
  <c r="T217" i="120" s="1"/>
  <c r="V214" i="120"/>
  <c r="V215" i="120" s="1"/>
  <c r="V216" i="120" s="1"/>
  <c r="V217" i="120" s="1"/>
  <c r="V218" i="120" s="1"/>
  <c r="V219" i="120" s="1"/>
  <c r="V220" i="120" s="1"/>
  <c r="V221" i="120" s="1"/>
  <c r="V222" i="120" s="1"/>
  <c r="V223" i="120" s="1"/>
  <c r="AH223" i="120" s="1"/>
  <c r="U213" i="120"/>
  <c r="U214" i="120" s="1"/>
  <c r="U215" i="120" s="1"/>
  <c r="U216" i="120" s="1"/>
  <c r="U217" i="120" s="1"/>
  <c r="U218" i="120" s="1"/>
  <c r="U219" i="120" s="1"/>
  <c r="U220" i="120" s="1"/>
  <c r="U221" i="120" s="1"/>
  <c r="U222" i="120" s="1"/>
  <c r="AH222" i="120" s="1"/>
  <c r="S213" i="120"/>
  <c r="S214" i="120" s="1"/>
  <c r="S215" i="120" s="1"/>
  <c r="S216" i="120" s="1"/>
  <c r="S217" i="120" s="1"/>
  <c r="T212" i="120"/>
  <c r="T213" i="120" s="1"/>
  <c r="T214" i="120" s="1"/>
  <c r="R212" i="120"/>
  <c r="R213" i="120" s="1"/>
  <c r="R214" i="120" s="1"/>
  <c r="R215" i="120" s="1"/>
  <c r="R216" i="120" s="1"/>
  <c r="R217" i="120" s="1"/>
  <c r="Q212" i="120"/>
  <c r="Q213" i="120" s="1"/>
  <c r="Q214" i="120" s="1"/>
  <c r="Q215" i="120" s="1"/>
  <c r="Q216" i="120" s="1"/>
  <c r="O212" i="120"/>
  <c r="O213" i="120" s="1"/>
  <c r="O214" i="120" s="1"/>
  <c r="O215" i="120" s="1"/>
  <c r="O216" i="120" s="1"/>
  <c r="AH216" i="120" s="1"/>
  <c r="S211" i="120"/>
  <c r="S212" i="120" s="1"/>
  <c r="Q211" i="120"/>
  <c r="P211" i="120"/>
  <c r="P212" i="120" s="1"/>
  <c r="P213" i="120" s="1"/>
  <c r="P214" i="120" s="1"/>
  <c r="P215" i="120" s="1"/>
  <c r="P216" i="120" s="1"/>
  <c r="P217" i="120" s="1"/>
  <c r="AH217" i="120" s="1"/>
  <c r="R210" i="120"/>
  <c r="R211" i="120" s="1"/>
  <c r="Q209" i="120"/>
  <c r="Q210" i="120" s="1"/>
  <c r="AH208" i="120"/>
  <c r="P208" i="120"/>
  <c r="P209" i="120" s="1"/>
  <c r="P210" i="120" s="1"/>
  <c r="N208" i="120"/>
  <c r="N209" i="120" s="1"/>
  <c r="N210" i="120" s="1"/>
  <c r="N211" i="120" s="1"/>
  <c r="N212" i="120" s="1"/>
  <c r="N213" i="120" s="1"/>
  <c r="N214" i="120" s="1"/>
  <c r="N215" i="120" s="1"/>
  <c r="AH215" i="120" s="1"/>
  <c r="O207" i="120"/>
  <c r="O208" i="120" s="1"/>
  <c r="O209" i="120" s="1"/>
  <c r="O210" i="120" s="1"/>
  <c r="O211" i="120" s="1"/>
  <c r="N206" i="120"/>
  <c r="N207" i="120" s="1"/>
  <c r="M205" i="120"/>
  <c r="L205" i="120"/>
  <c r="L206" i="120" s="1"/>
  <c r="L207" i="120" s="1"/>
  <c r="L208" i="120" s="1"/>
  <c r="L209" i="120" s="1"/>
  <c r="L210" i="120" s="1"/>
  <c r="L211" i="120" s="1"/>
  <c r="L212" i="120" s="1"/>
  <c r="L213" i="120" s="1"/>
  <c r="AH213" i="120" s="1"/>
  <c r="L204" i="120"/>
  <c r="L225" i="120" s="1"/>
  <c r="K204" i="120"/>
  <c r="K205" i="120" s="1"/>
  <c r="K206" i="120" s="1"/>
  <c r="K207" i="120" s="1"/>
  <c r="K208" i="120" s="1"/>
  <c r="K209" i="120" s="1"/>
  <c r="K210" i="120" s="1"/>
  <c r="K211" i="120" s="1"/>
  <c r="K212" i="120" s="1"/>
  <c r="AH212" i="120" s="1"/>
  <c r="J204" i="120"/>
  <c r="J205" i="120" s="1"/>
  <c r="J206" i="120" s="1"/>
  <c r="J207" i="120" s="1"/>
  <c r="J208" i="120" s="1"/>
  <c r="J209" i="120" s="1"/>
  <c r="J210" i="120" s="1"/>
  <c r="J211" i="120" s="1"/>
  <c r="AH211" i="120" s="1"/>
  <c r="K203" i="120"/>
  <c r="K225" i="120" s="1"/>
  <c r="J203" i="120"/>
  <c r="J202" i="120"/>
  <c r="I201" i="120"/>
  <c r="H201" i="120"/>
  <c r="H202" i="120" s="1"/>
  <c r="H203" i="120" s="1"/>
  <c r="H204" i="120" s="1"/>
  <c r="H205" i="120" s="1"/>
  <c r="H206" i="120" s="1"/>
  <c r="H207" i="120" s="1"/>
  <c r="H208" i="120" s="1"/>
  <c r="H209" i="120" s="1"/>
  <c r="AH209" i="120" s="1"/>
  <c r="G201" i="120"/>
  <c r="G202" i="120" s="1"/>
  <c r="G203" i="120" s="1"/>
  <c r="G204" i="120" s="1"/>
  <c r="G205" i="120" s="1"/>
  <c r="G206" i="120" s="1"/>
  <c r="G207" i="120" s="1"/>
  <c r="G208" i="120" s="1"/>
  <c r="H200" i="120"/>
  <c r="G200" i="120"/>
  <c r="C200" i="120"/>
  <c r="C201" i="120" s="1"/>
  <c r="C202" i="120" s="1"/>
  <c r="C203" i="120" s="1"/>
  <c r="C204" i="120" s="1"/>
  <c r="C205" i="120" s="1"/>
  <c r="C206" i="120" s="1"/>
  <c r="C207" i="120" s="1"/>
  <c r="C208" i="120" s="1"/>
  <c r="C209" i="120" s="1"/>
  <c r="C210" i="120" s="1"/>
  <c r="C211" i="120" s="1"/>
  <c r="C212" i="120" s="1"/>
  <c r="C213" i="120" s="1"/>
  <c r="C214" i="120" s="1"/>
  <c r="C215" i="120" s="1"/>
  <c r="C216" i="120" s="1"/>
  <c r="C217" i="120" s="1"/>
  <c r="C218" i="120" s="1"/>
  <c r="C219" i="120" s="1"/>
  <c r="C220" i="120" s="1"/>
  <c r="C221" i="120" s="1"/>
  <c r="C222" i="120" s="1"/>
  <c r="C223" i="120" s="1"/>
  <c r="C224" i="120" s="1"/>
  <c r="G199" i="120"/>
  <c r="E199" i="120"/>
  <c r="E200" i="120" s="1"/>
  <c r="E201" i="120" s="1"/>
  <c r="E202" i="120" s="1"/>
  <c r="E203" i="120" s="1"/>
  <c r="E204" i="120" s="1"/>
  <c r="E205" i="120" s="1"/>
  <c r="E206" i="120" s="1"/>
  <c r="AH206" i="120" s="1"/>
  <c r="F198" i="120"/>
  <c r="E198" i="120"/>
  <c r="E197" i="120"/>
  <c r="E225" i="120" s="1"/>
  <c r="C197" i="120"/>
  <c r="C198" i="120" s="1"/>
  <c r="C199" i="120" s="1"/>
  <c r="D196" i="120"/>
  <c r="AH195" i="120"/>
  <c r="C195" i="120"/>
  <c r="C196" i="120" s="1"/>
  <c r="AH194" i="120"/>
  <c r="F193" i="120"/>
  <c r="G193" i="120" s="1"/>
  <c r="H193" i="120" s="1"/>
  <c r="I193" i="120" s="1"/>
  <c r="J193" i="120" s="1"/>
  <c r="K193" i="120" s="1"/>
  <c r="L193" i="120" s="1"/>
  <c r="M193" i="120" s="1"/>
  <c r="N193" i="120" s="1"/>
  <c r="O193" i="120" s="1"/>
  <c r="P193" i="120" s="1"/>
  <c r="Q193" i="120" s="1"/>
  <c r="R193" i="120" s="1"/>
  <c r="S193" i="120" s="1"/>
  <c r="T193" i="120" s="1"/>
  <c r="U193" i="120" s="1"/>
  <c r="V193" i="120" s="1"/>
  <c r="W193" i="120" s="1"/>
  <c r="X193" i="120" s="1"/>
  <c r="Y193" i="120" s="1"/>
  <c r="Z193" i="120" s="1"/>
  <c r="AA193" i="120" s="1"/>
  <c r="AB193" i="120" s="1"/>
  <c r="AC193" i="120" s="1"/>
  <c r="AD193" i="120" s="1"/>
  <c r="AE193" i="120" s="1"/>
  <c r="AF193" i="120" s="1"/>
  <c r="AG193" i="120" s="1"/>
  <c r="E193" i="120"/>
  <c r="AH192" i="120"/>
  <c r="B192" i="120"/>
  <c r="AH188" i="120"/>
  <c r="AG188" i="120"/>
  <c r="AF188" i="120"/>
  <c r="AB188" i="120"/>
  <c r="Z188" i="120"/>
  <c r="X188" i="120"/>
  <c r="W188" i="120"/>
  <c r="U188" i="120"/>
  <c r="T188" i="120"/>
  <c r="O188" i="120"/>
  <c r="N188" i="120"/>
  <c r="L188" i="120"/>
  <c r="K188" i="120"/>
  <c r="G188" i="120"/>
  <c r="AG187" i="120"/>
  <c r="AF187" i="120"/>
  <c r="AE186" i="120"/>
  <c r="AD186" i="120"/>
  <c r="AD187" i="120" s="1"/>
  <c r="AC186" i="120"/>
  <c r="AC187" i="120" s="1"/>
  <c r="T186" i="120"/>
  <c r="AH186" i="120" s="1"/>
  <c r="AD185" i="120"/>
  <c r="AD188" i="120" s="1"/>
  <c r="AC185" i="120"/>
  <c r="AB185" i="120"/>
  <c r="AB186" i="120" s="1"/>
  <c r="AB187" i="120" s="1"/>
  <c r="AC184" i="120"/>
  <c r="AC188" i="120" s="1"/>
  <c r="Z184" i="120"/>
  <c r="Z185" i="120" s="1"/>
  <c r="Z186" i="120" s="1"/>
  <c r="Z187" i="120" s="1"/>
  <c r="AB183" i="120"/>
  <c r="AB184" i="120" s="1"/>
  <c r="AA183" i="120"/>
  <c r="AA184" i="120" s="1"/>
  <c r="AA185" i="120" s="1"/>
  <c r="AA186" i="120" s="1"/>
  <c r="AA187" i="120" s="1"/>
  <c r="AA182" i="120"/>
  <c r="AA188" i="120" s="1"/>
  <c r="Z182" i="120"/>
  <c r="Z183" i="120" s="1"/>
  <c r="X182" i="120"/>
  <c r="X183" i="120" s="1"/>
  <c r="X184" i="120" s="1"/>
  <c r="X185" i="120" s="1"/>
  <c r="X186" i="120" s="1"/>
  <c r="X187" i="120" s="1"/>
  <c r="Z181" i="120"/>
  <c r="Y180" i="120"/>
  <c r="U180" i="120"/>
  <c r="U181" i="120" s="1"/>
  <c r="U182" i="120" s="1"/>
  <c r="U183" i="120" s="1"/>
  <c r="U184" i="120" s="1"/>
  <c r="U185" i="120" s="1"/>
  <c r="U186" i="120" s="1"/>
  <c r="U187" i="120" s="1"/>
  <c r="AH187" i="120" s="1"/>
  <c r="X179" i="120"/>
  <c r="X180" i="120" s="1"/>
  <c r="X181" i="120" s="1"/>
  <c r="U179" i="120"/>
  <c r="W178" i="120"/>
  <c r="W179" i="120" s="1"/>
  <c r="W180" i="120" s="1"/>
  <c r="W181" i="120" s="1"/>
  <c r="W182" i="120" s="1"/>
  <c r="W183" i="120" s="1"/>
  <c r="W184" i="120" s="1"/>
  <c r="W185" i="120" s="1"/>
  <c r="W186" i="120" s="1"/>
  <c r="W187" i="120" s="1"/>
  <c r="N178" i="120"/>
  <c r="N179" i="120" s="1"/>
  <c r="N180" i="120" s="1"/>
  <c r="AH180" i="120" s="1"/>
  <c r="V177" i="120"/>
  <c r="U177" i="120"/>
  <c r="U178" i="120" s="1"/>
  <c r="U176" i="120"/>
  <c r="T176" i="120"/>
  <c r="T177" i="120" s="1"/>
  <c r="T178" i="120" s="1"/>
  <c r="T179" i="120" s="1"/>
  <c r="T180" i="120" s="1"/>
  <c r="T181" i="120" s="1"/>
  <c r="T182" i="120" s="1"/>
  <c r="T183" i="120" s="1"/>
  <c r="T184" i="120" s="1"/>
  <c r="T185" i="120" s="1"/>
  <c r="K176" i="120"/>
  <c r="K177" i="120" s="1"/>
  <c r="AH177" i="120" s="1"/>
  <c r="T175" i="120"/>
  <c r="C175" i="120"/>
  <c r="C176" i="120" s="1"/>
  <c r="C177" i="120" s="1"/>
  <c r="C178" i="120" s="1"/>
  <c r="C179" i="120" s="1"/>
  <c r="C180" i="120" s="1"/>
  <c r="C181" i="120" s="1"/>
  <c r="C182" i="120" s="1"/>
  <c r="C183" i="120" s="1"/>
  <c r="C184" i="120" s="1"/>
  <c r="C185" i="120" s="1"/>
  <c r="C186" i="120" s="1"/>
  <c r="C187" i="120" s="1"/>
  <c r="S174" i="120"/>
  <c r="R173" i="120"/>
  <c r="R188" i="120" s="1"/>
  <c r="Q172" i="120"/>
  <c r="P172" i="120"/>
  <c r="P173" i="120" s="1"/>
  <c r="P174" i="120" s="1"/>
  <c r="P175" i="120" s="1"/>
  <c r="P176" i="120" s="1"/>
  <c r="P177" i="120" s="1"/>
  <c r="P178" i="120" s="1"/>
  <c r="P179" i="120" s="1"/>
  <c r="P180" i="120" s="1"/>
  <c r="P181" i="120" s="1"/>
  <c r="P182" i="120" s="1"/>
  <c r="AH182" i="120" s="1"/>
  <c r="O172" i="120"/>
  <c r="O173" i="120" s="1"/>
  <c r="O174" i="120" s="1"/>
  <c r="O175" i="120" s="1"/>
  <c r="O176" i="120" s="1"/>
  <c r="O177" i="120" s="1"/>
  <c r="O178" i="120" s="1"/>
  <c r="O179" i="120" s="1"/>
  <c r="O180" i="120" s="1"/>
  <c r="O181" i="120" s="1"/>
  <c r="AH181" i="120" s="1"/>
  <c r="K172" i="120"/>
  <c r="K173" i="120" s="1"/>
  <c r="K174" i="120" s="1"/>
  <c r="K175" i="120" s="1"/>
  <c r="P171" i="120"/>
  <c r="P188" i="120" s="1"/>
  <c r="O171" i="120"/>
  <c r="O170" i="120"/>
  <c r="N169" i="120"/>
  <c r="N170" i="120" s="1"/>
  <c r="N171" i="120" s="1"/>
  <c r="N172" i="120" s="1"/>
  <c r="N173" i="120" s="1"/>
  <c r="N174" i="120" s="1"/>
  <c r="N175" i="120" s="1"/>
  <c r="N176" i="120" s="1"/>
  <c r="N177" i="120" s="1"/>
  <c r="K169" i="120"/>
  <c r="K170" i="120" s="1"/>
  <c r="K171" i="120" s="1"/>
  <c r="M168" i="120"/>
  <c r="M188" i="120" s="1"/>
  <c r="C168" i="120"/>
  <c r="C169" i="120" s="1"/>
  <c r="C170" i="120" s="1"/>
  <c r="C171" i="120" s="1"/>
  <c r="C172" i="120" s="1"/>
  <c r="C173" i="120" s="1"/>
  <c r="C174" i="120" s="1"/>
  <c r="L167" i="120"/>
  <c r="L168" i="120" s="1"/>
  <c r="L169" i="120" s="1"/>
  <c r="L170" i="120" s="1"/>
  <c r="L171" i="120" s="1"/>
  <c r="L172" i="120" s="1"/>
  <c r="L173" i="120" s="1"/>
  <c r="L174" i="120" s="1"/>
  <c r="L175" i="120" s="1"/>
  <c r="L176" i="120" s="1"/>
  <c r="L177" i="120" s="1"/>
  <c r="L178" i="120" s="1"/>
  <c r="AH178" i="120" s="1"/>
  <c r="K166" i="120"/>
  <c r="K167" i="120" s="1"/>
  <c r="K168" i="120" s="1"/>
  <c r="I166" i="120"/>
  <c r="I167" i="120" s="1"/>
  <c r="I168" i="120" s="1"/>
  <c r="I169" i="120" s="1"/>
  <c r="I170" i="120" s="1"/>
  <c r="I171" i="120" s="1"/>
  <c r="I172" i="120" s="1"/>
  <c r="I173" i="120" s="1"/>
  <c r="I174" i="120" s="1"/>
  <c r="I175" i="120" s="1"/>
  <c r="AH175" i="120" s="1"/>
  <c r="J165" i="120"/>
  <c r="I165" i="120"/>
  <c r="I164" i="120"/>
  <c r="I188" i="120" s="1"/>
  <c r="H163" i="120"/>
  <c r="G163" i="120"/>
  <c r="G164" i="120" s="1"/>
  <c r="G165" i="120" s="1"/>
  <c r="G166" i="120" s="1"/>
  <c r="G167" i="120" s="1"/>
  <c r="G168" i="120" s="1"/>
  <c r="G169" i="120" s="1"/>
  <c r="G170" i="120" s="1"/>
  <c r="G171" i="120" s="1"/>
  <c r="G172" i="120" s="1"/>
  <c r="G173" i="120" s="1"/>
  <c r="AH173" i="120" s="1"/>
  <c r="G162" i="120"/>
  <c r="F161" i="120"/>
  <c r="E161" i="120"/>
  <c r="E162" i="120" s="1"/>
  <c r="E163" i="120" s="1"/>
  <c r="E164" i="120" s="1"/>
  <c r="E165" i="120" s="1"/>
  <c r="E166" i="120" s="1"/>
  <c r="E167" i="120" s="1"/>
  <c r="E168" i="120" s="1"/>
  <c r="E169" i="120" s="1"/>
  <c r="E170" i="120" s="1"/>
  <c r="E171" i="120" s="1"/>
  <c r="AH171" i="120" s="1"/>
  <c r="E160" i="120"/>
  <c r="E188" i="120" s="1"/>
  <c r="D160" i="120"/>
  <c r="AH159" i="120"/>
  <c r="D159" i="120"/>
  <c r="D188" i="120" s="1"/>
  <c r="AH158" i="120"/>
  <c r="C158" i="120"/>
  <c r="C159" i="120" s="1"/>
  <c r="C160" i="120" s="1"/>
  <c r="C161" i="120" s="1"/>
  <c r="C162" i="120" s="1"/>
  <c r="C163" i="120" s="1"/>
  <c r="C164" i="120" s="1"/>
  <c r="C165" i="120" s="1"/>
  <c r="C166" i="120" s="1"/>
  <c r="C167" i="120" s="1"/>
  <c r="AH157" i="120"/>
  <c r="Y156" i="120"/>
  <c r="Z156" i="120" s="1"/>
  <c r="AA156" i="120" s="1"/>
  <c r="AB156" i="120" s="1"/>
  <c r="AC156" i="120" s="1"/>
  <c r="AD156" i="120" s="1"/>
  <c r="AE156" i="120" s="1"/>
  <c r="AF156" i="120" s="1"/>
  <c r="AG156" i="120" s="1"/>
  <c r="E156" i="120"/>
  <c r="F156" i="120" s="1"/>
  <c r="G156" i="120" s="1"/>
  <c r="H156" i="120" s="1"/>
  <c r="I156" i="120" s="1"/>
  <c r="J156" i="120" s="1"/>
  <c r="K156" i="120" s="1"/>
  <c r="L156" i="120" s="1"/>
  <c r="M156" i="120" s="1"/>
  <c r="N156" i="120" s="1"/>
  <c r="O156" i="120" s="1"/>
  <c r="P156" i="120" s="1"/>
  <c r="Q156" i="120" s="1"/>
  <c r="R156" i="120" s="1"/>
  <c r="S156" i="120" s="1"/>
  <c r="T156" i="120" s="1"/>
  <c r="U156" i="120" s="1"/>
  <c r="V156" i="120" s="1"/>
  <c r="W156" i="120" s="1"/>
  <c r="X156" i="120" s="1"/>
  <c r="AH155" i="120"/>
  <c r="B155" i="120"/>
  <c r="AG151" i="120"/>
  <c r="AF151" i="120"/>
  <c r="AE151" i="120"/>
  <c r="AD151" i="120"/>
  <c r="Y151" i="120"/>
  <c r="X151" i="120"/>
  <c r="W151" i="120"/>
  <c r="V151" i="120"/>
  <c r="S151" i="120"/>
  <c r="R151" i="120"/>
  <c r="M151" i="120"/>
  <c r="L151" i="120"/>
  <c r="J151" i="120"/>
  <c r="I151" i="120"/>
  <c r="H151" i="120"/>
  <c r="G151" i="120"/>
  <c r="AF150" i="120"/>
  <c r="AE150" i="120"/>
  <c r="AD150" i="120"/>
  <c r="AE149" i="120"/>
  <c r="AD149" i="120"/>
  <c r="AB149" i="120"/>
  <c r="AB150" i="120" s="1"/>
  <c r="AD148" i="120"/>
  <c r="AB148" i="120"/>
  <c r="W148" i="120"/>
  <c r="W149" i="120" s="1"/>
  <c r="W150" i="120" s="1"/>
  <c r="AC147" i="120"/>
  <c r="AB147" i="120"/>
  <c r="AB146" i="120"/>
  <c r="AB151" i="120" s="1"/>
  <c r="AA145" i="120"/>
  <c r="Z145" i="120"/>
  <c r="Z146" i="120" s="1"/>
  <c r="Z147" i="120" s="1"/>
  <c r="Z148" i="120" s="1"/>
  <c r="Z149" i="120" s="1"/>
  <c r="Z150" i="120" s="1"/>
  <c r="Z144" i="120"/>
  <c r="Z151" i="120" s="1"/>
  <c r="Y144" i="120"/>
  <c r="Y145" i="120" s="1"/>
  <c r="Y146" i="120" s="1"/>
  <c r="Y147" i="120" s="1"/>
  <c r="Y148" i="120" s="1"/>
  <c r="Y149" i="120" s="1"/>
  <c r="Y150" i="120" s="1"/>
  <c r="X144" i="120"/>
  <c r="X145" i="120" s="1"/>
  <c r="X146" i="120" s="1"/>
  <c r="X147" i="120" s="1"/>
  <c r="X148" i="120" s="1"/>
  <c r="X149" i="120" s="1"/>
  <c r="X150" i="120" s="1"/>
  <c r="Y143" i="120"/>
  <c r="X143" i="120"/>
  <c r="V143" i="120"/>
  <c r="V144" i="120" s="1"/>
  <c r="V145" i="120" s="1"/>
  <c r="V146" i="120" s="1"/>
  <c r="V147" i="120" s="1"/>
  <c r="V148" i="120" s="1"/>
  <c r="V149" i="120" s="1"/>
  <c r="V150" i="120" s="1"/>
  <c r="X142" i="120"/>
  <c r="W142" i="120"/>
  <c r="W143" i="120" s="1"/>
  <c r="W144" i="120" s="1"/>
  <c r="W145" i="120" s="1"/>
  <c r="W146" i="120" s="1"/>
  <c r="W147" i="120" s="1"/>
  <c r="W141" i="120"/>
  <c r="M141" i="120"/>
  <c r="M142" i="120" s="1"/>
  <c r="M143" i="120" s="1"/>
  <c r="M144" i="120" s="1"/>
  <c r="M145" i="120" s="1"/>
  <c r="AH145" i="120" s="1"/>
  <c r="V140" i="120"/>
  <c r="V141" i="120" s="1"/>
  <c r="V142" i="120" s="1"/>
  <c r="T140" i="120"/>
  <c r="T141" i="120" s="1"/>
  <c r="T142" i="120" s="1"/>
  <c r="T143" i="120" s="1"/>
  <c r="T144" i="120" s="1"/>
  <c r="T145" i="120" s="1"/>
  <c r="T146" i="120" s="1"/>
  <c r="T147" i="120" s="1"/>
  <c r="T148" i="120" s="1"/>
  <c r="T149" i="120" s="1"/>
  <c r="T150" i="120" s="1"/>
  <c r="U139" i="120"/>
  <c r="T139" i="120"/>
  <c r="T138" i="120"/>
  <c r="T151" i="120" s="1"/>
  <c r="S138" i="120"/>
  <c r="S139" i="120" s="1"/>
  <c r="S140" i="120" s="1"/>
  <c r="S141" i="120" s="1"/>
  <c r="S142" i="120" s="1"/>
  <c r="S143" i="120" s="1"/>
  <c r="S144" i="120" s="1"/>
  <c r="S145" i="120" s="1"/>
  <c r="S146" i="120" s="1"/>
  <c r="S147" i="120" s="1"/>
  <c r="S148" i="120" s="1"/>
  <c r="S149" i="120" s="1"/>
  <c r="S150" i="120" s="1"/>
  <c r="R138" i="120"/>
  <c r="R139" i="120" s="1"/>
  <c r="R140" i="120" s="1"/>
  <c r="R141" i="120" s="1"/>
  <c r="R142" i="120" s="1"/>
  <c r="R143" i="120" s="1"/>
  <c r="R144" i="120" s="1"/>
  <c r="R145" i="120" s="1"/>
  <c r="R146" i="120" s="1"/>
  <c r="R147" i="120" s="1"/>
  <c r="R148" i="120" s="1"/>
  <c r="R149" i="120" s="1"/>
  <c r="R150" i="120" s="1"/>
  <c r="AH150" i="120" s="1"/>
  <c r="G138" i="120"/>
  <c r="G139" i="120" s="1"/>
  <c r="AH139" i="120" s="1"/>
  <c r="S137" i="120"/>
  <c r="R137" i="120"/>
  <c r="R136" i="120"/>
  <c r="M136" i="120"/>
  <c r="M137" i="120" s="1"/>
  <c r="M138" i="120" s="1"/>
  <c r="M139" i="120" s="1"/>
  <c r="M140" i="120" s="1"/>
  <c r="Q135" i="120"/>
  <c r="P135" i="120"/>
  <c r="P136" i="120" s="1"/>
  <c r="P137" i="120" s="1"/>
  <c r="P138" i="120" s="1"/>
  <c r="P139" i="120" s="1"/>
  <c r="P140" i="120" s="1"/>
  <c r="P141" i="120" s="1"/>
  <c r="P142" i="120" s="1"/>
  <c r="P143" i="120" s="1"/>
  <c r="P144" i="120" s="1"/>
  <c r="P145" i="120" s="1"/>
  <c r="P146" i="120" s="1"/>
  <c r="P147" i="120" s="1"/>
  <c r="P148" i="120" s="1"/>
  <c r="AH148" i="120" s="1"/>
  <c r="M135" i="120"/>
  <c r="P134" i="120"/>
  <c r="P151" i="120" s="1"/>
  <c r="O134" i="120"/>
  <c r="O135" i="120" s="1"/>
  <c r="O136" i="120" s="1"/>
  <c r="O137" i="120" s="1"/>
  <c r="O138" i="120" s="1"/>
  <c r="O139" i="120" s="1"/>
  <c r="O140" i="120" s="1"/>
  <c r="O141" i="120" s="1"/>
  <c r="O142" i="120" s="1"/>
  <c r="O143" i="120" s="1"/>
  <c r="O144" i="120" s="1"/>
  <c r="O145" i="120" s="1"/>
  <c r="O146" i="120" s="1"/>
  <c r="O147" i="120" s="1"/>
  <c r="AH147" i="120" s="1"/>
  <c r="J134" i="120"/>
  <c r="J135" i="120" s="1"/>
  <c r="J136" i="120" s="1"/>
  <c r="J137" i="120" s="1"/>
  <c r="J138" i="120" s="1"/>
  <c r="J139" i="120" s="1"/>
  <c r="J140" i="120" s="1"/>
  <c r="J141" i="120" s="1"/>
  <c r="J142" i="120" s="1"/>
  <c r="AH142" i="120" s="1"/>
  <c r="O133" i="120"/>
  <c r="O151" i="120" s="1"/>
  <c r="M133" i="120"/>
  <c r="M134" i="120" s="1"/>
  <c r="N132" i="120"/>
  <c r="M132" i="120"/>
  <c r="L132" i="120"/>
  <c r="L133" i="120" s="1"/>
  <c r="L134" i="120" s="1"/>
  <c r="L135" i="120" s="1"/>
  <c r="L136" i="120" s="1"/>
  <c r="L137" i="120" s="1"/>
  <c r="L138" i="120" s="1"/>
  <c r="L139" i="120" s="1"/>
  <c r="L140" i="120" s="1"/>
  <c r="L141" i="120" s="1"/>
  <c r="L142" i="120" s="1"/>
  <c r="L143" i="120" s="1"/>
  <c r="L144" i="120" s="1"/>
  <c r="AH144" i="120" s="1"/>
  <c r="M131" i="120"/>
  <c r="L131" i="120"/>
  <c r="K131" i="120"/>
  <c r="K132" i="120" s="1"/>
  <c r="K133" i="120" s="1"/>
  <c r="K134" i="120" s="1"/>
  <c r="K135" i="120" s="1"/>
  <c r="K136" i="120" s="1"/>
  <c r="K137" i="120" s="1"/>
  <c r="K138" i="120" s="1"/>
  <c r="K139" i="120" s="1"/>
  <c r="K140" i="120" s="1"/>
  <c r="K141" i="120" s="1"/>
  <c r="K142" i="120" s="1"/>
  <c r="K143" i="120" s="1"/>
  <c r="AH143" i="120" s="1"/>
  <c r="I131" i="120"/>
  <c r="I132" i="120" s="1"/>
  <c r="I133" i="120" s="1"/>
  <c r="I134" i="120" s="1"/>
  <c r="I135" i="120" s="1"/>
  <c r="I136" i="120" s="1"/>
  <c r="I137" i="120" s="1"/>
  <c r="I138" i="120" s="1"/>
  <c r="I139" i="120" s="1"/>
  <c r="I140" i="120" s="1"/>
  <c r="I141" i="120" s="1"/>
  <c r="AH141" i="120" s="1"/>
  <c r="L130" i="120"/>
  <c r="K129" i="120"/>
  <c r="K130" i="120" s="1"/>
  <c r="J129" i="120"/>
  <c r="J130" i="120" s="1"/>
  <c r="J131" i="120" s="1"/>
  <c r="J132" i="120" s="1"/>
  <c r="J133" i="120" s="1"/>
  <c r="I129" i="120"/>
  <c r="I130" i="120" s="1"/>
  <c r="G129" i="120"/>
  <c r="G130" i="120" s="1"/>
  <c r="G131" i="120" s="1"/>
  <c r="G132" i="120" s="1"/>
  <c r="G133" i="120" s="1"/>
  <c r="G134" i="120" s="1"/>
  <c r="G135" i="120" s="1"/>
  <c r="G136" i="120" s="1"/>
  <c r="G137" i="120" s="1"/>
  <c r="J128" i="120"/>
  <c r="E128" i="120"/>
  <c r="E129" i="120" s="1"/>
  <c r="E130" i="120" s="1"/>
  <c r="E131" i="120" s="1"/>
  <c r="E132" i="120" s="1"/>
  <c r="E133" i="120" s="1"/>
  <c r="E134" i="120" s="1"/>
  <c r="E135" i="120" s="1"/>
  <c r="E136" i="120" s="1"/>
  <c r="E137" i="120" s="1"/>
  <c r="AH137" i="120" s="1"/>
  <c r="I127" i="120"/>
  <c r="I128" i="120" s="1"/>
  <c r="H126" i="120"/>
  <c r="H127" i="120" s="1"/>
  <c r="H128" i="120" s="1"/>
  <c r="H129" i="120" s="1"/>
  <c r="H130" i="120" s="1"/>
  <c r="H131" i="120" s="1"/>
  <c r="H132" i="120" s="1"/>
  <c r="H133" i="120" s="1"/>
  <c r="H134" i="120" s="1"/>
  <c r="H135" i="120" s="1"/>
  <c r="H136" i="120" s="1"/>
  <c r="H137" i="120" s="1"/>
  <c r="H138" i="120" s="1"/>
  <c r="H139" i="120" s="1"/>
  <c r="H140" i="120" s="1"/>
  <c r="AH140" i="120" s="1"/>
  <c r="G126" i="120"/>
  <c r="G127" i="120" s="1"/>
  <c r="G128" i="120" s="1"/>
  <c r="G125" i="120"/>
  <c r="E125" i="120"/>
  <c r="E126" i="120" s="1"/>
  <c r="E127" i="120" s="1"/>
  <c r="F124" i="120"/>
  <c r="E124" i="120"/>
  <c r="E123" i="120"/>
  <c r="E151" i="120" s="1"/>
  <c r="AH122" i="120"/>
  <c r="D122" i="120"/>
  <c r="C122" i="120"/>
  <c r="C123" i="120" s="1"/>
  <c r="C124" i="120" s="1"/>
  <c r="C125" i="120" s="1"/>
  <c r="C126" i="120" s="1"/>
  <c r="C127" i="120" s="1"/>
  <c r="C128" i="120" s="1"/>
  <c r="C129" i="120" s="1"/>
  <c r="C130" i="120" s="1"/>
  <c r="C131" i="120" s="1"/>
  <c r="C132" i="120" s="1"/>
  <c r="C133" i="120" s="1"/>
  <c r="C134" i="120" s="1"/>
  <c r="C135" i="120" s="1"/>
  <c r="C136" i="120" s="1"/>
  <c r="C137" i="120" s="1"/>
  <c r="C138" i="120" s="1"/>
  <c r="C139" i="120" s="1"/>
  <c r="C140" i="120" s="1"/>
  <c r="C141" i="120" s="1"/>
  <c r="C142" i="120" s="1"/>
  <c r="C143" i="120" s="1"/>
  <c r="C144" i="120" s="1"/>
  <c r="C145" i="120" s="1"/>
  <c r="C146" i="120" s="1"/>
  <c r="C147" i="120" s="1"/>
  <c r="C148" i="120" s="1"/>
  <c r="C149" i="120" s="1"/>
  <c r="C150" i="120" s="1"/>
  <c r="AH121" i="120"/>
  <c r="C121" i="120"/>
  <c r="AH120" i="120"/>
  <c r="AH151" i="120" s="1"/>
  <c r="G119" i="120"/>
  <c r="H119" i="120" s="1"/>
  <c r="I119" i="120" s="1"/>
  <c r="J119" i="120" s="1"/>
  <c r="K119" i="120" s="1"/>
  <c r="L119" i="120" s="1"/>
  <c r="M119" i="120" s="1"/>
  <c r="N119" i="120" s="1"/>
  <c r="O119" i="120" s="1"/>
  <c r="P119" i="120" s="1"/>
  <c r="Q119" i="120" s="1"/>
  <c r="R119" i="120" s="1"/>
  <c r="S119" i="120" s="1"/>
  <c r="T119" i="120" s="1"/>
  <c r="U119" i="120" s="1"/>
  <c r="V119" i="120" s="1"/>
  <c r="W119" i="120" s="1"/>
  <c r="X119" i="120" s="1"/>
  <c r="Y119" i="120" s="1"/>
  <c r="Z119" i="120" s="1"/>
  <c r="AA119" i="120" s="1"/>
  <c r="AB119" i="120" s="1"/>
  <c r="AC119" i="120" s="1"/>
  <c r="AD119" i="120" s="1"/>
  <c r="AE119" i="120" s="1"/>
  <c r="AF119" i="120" s="1"/>
  <c r="AG119" i="120" s="1"/>
  <c r="F119" i="120"/>
  <c r="E119" i="120"/>
  <c r="AH118" i="120"/>
  <c r="B118" i="120"/>
  <c r="AG114" i="120"/>
  <c r="AF114" i="120"/>
  <c r="AE114" i="120"/>
  <c r="AD114" i="120"/>
  <c r="AB114" i="120"/>
  <c r="U114" i="120"/>
  <c r="P114" i="120"/>
  <c r="O114" i="120"/>
  <c r="K114" i="120"/>
  <c r="I114" i="120"/>
  <c r="F114" i="120"/>
  <c r="D114" i="120"/>
  <c r="AG113" i="120"/>
  <c r="AF113" i="120"/>
  <c r="AB113" i="120"/>
  <c r="AE112" i="120"/>
  <c r="AE113" i="120" s="1"/>
  <c r="AD111" i="120"/>
  <c r="AD112" i="120" s="1"/>
  <c r="AD113" i="120" s="1"/>
  <c r="AC110" i="120"/>
  <c r="AB110" i="120"/>
  <c r="AB111" i="120" s="1"/>
  <c r="AB112" i="120" s="1"/>
  <c r="AB109" i="120"/>
  <c r="Z109" i="120"/>
  <c r="Z110" i="120" s="1"/>
  <c r="Z111" i="120" s="1"/>
  <c r="Z112" i="120" s="1"/>
  <c r="Z113" i="120" s="1"/>
  <c r="W109" i="120"/>
  <c r="W110" i="120" s="1"/>
  <c r="W111" i="120" s="1"/>
  <c r="W112" i="120" s="1"/>
  <c r="W113" i="120" s="1"/>
  <c r="AA108" i="120"/>
  <c r="AA109" i="120" s="1"/>
  <c r="AA110" i="120" s="1"/>
  <c r="AA111" i="120" s="1"/>
  <c r="AA112" i="120" s="1"/>
  <c r="AA113" i="120" s="1"/>
  <c r="Z108" i="120"/>
  <c r="W108" i="120"/>
  <c r="Z107" i="120"/>
  <c r="Z114" i="120" s="1"/>
  <c r="G107" i="120"/>
  <c r="AH107" i="120" s="1"/>
  <c r="Y106" i="120"/>
  <c r="C106" i="120"/>
  <c r="C107" i="120" s="1"/>
  <c r="C108" i="120" s="1"/>
  <c r="C109" i="120" s="1"/>
  <c r="C110" i="120" s="1"/>
  <c r="C111" i="120" s="1"/>
  <c r="C112" i="120" s="1"/>
  <c r="C113" i="120" s="1"/>
  <c r="X105" i="120"/>
  <c r="W105" i="120"/>
  <c r="W106" i="120" s="1"/>
  <c r="W107" i="120" s="1"/>
  <c r="W104" i="120"/>
  <c r="W114" i="120" s="1"/>
  <c r="U104" i="120"/>
  <c r="U105" i="120" s="1"/>
  <c r="U106" i="120" s="1"/>
  <c r="U107" i="120" s="1"/>
  <c r="U108" i="120" s="1"/>
  <c r="U109" i="120" s="1"/>
  <c r="U110" i="120" s="1"/>
  <c r="U111" i="120" s="1"/>
  <c r="U112" i="120" s="1"/>
  <c r="U113" i="120" s="1"/>
  <c r="V103" i="120"/>
  <c r="U103" i="120"/>
  <c r="U102" i="120"/>
  <c r="T102" i="120"/>
  <c r="T103" i="120" s="1"/>
  <c r="T104" i="120" s="1"/>
  <c r="T105" i="120" s="1"/>
  <c r="T106" i="120" s="1"/>
  <c r="T107" i="120" s="1"/>
  <c r="T108" i="120" s="1"/>
  <c r="T109" i="120" s="1"/>
  <c r="T110" i="120" s="1"/>
  <c r="T111" i="120" s="1"/>
  <c r="T112" i="120" s="1"/>
  <c r="T113" i="120" s="1"/>
  <c r="T101" i="120"/>
  <c r="T114" i="120" s="1"/>
  <c r="S101" i="120"/>
  <c r="S102" i="120" s="1"/>
  <c r="S103" i="120" s="1"/>
  <c r="S104" i="120" s="1"/>
  <c r="S105" i="120" s="1"/>
  <c r="S106" i="120" s="1"/>
  <c r="S107" i="120" s="1"/>
  <c r="S108" i="120" s="1"/>
  <c r="S109" i="120" s="1"/>
  <c r="S110" i="120" s="1"/>
  <c r="S111" i="120" s="1"/>
  <c r="S112" i="120" s="1"/>
  <c r="S113" i="120" s="1"/>
  <c r="S100" i="120"/>
  <c r="S114" i="120" s="1"/>
  <c r="R100" i="120"/>
  <c r="R101" i="120" s="1"/>
  <c r="R102" i="120" s="1"/>
  <c r="R103" i="120" s="1"/>
  <c r="R104" i="120" s="1"/>
  <c r="R105" i="120" s="1"/>
  <c r="R106" i="120" s="1"/>
  <c r="R107" i="120" s="1"/>
  <c r="R108" i="120" s="1"/>
  <c r="R109" i="120" s="1"/>
  <c r="R110" i="120" s="1"/>
  <c r="R111" i="120" s="1"/>
  <c r="R112" i="120" s="1"/>
  <c r="R113" i="120" s="1"/>
  <c r="R99" i="120"/>
  <c r="R114" i="120" s="1"/>
  <c r="L99" i="120"/>
  <c r="L100" i="120" s="1"/>
  <c r="L101" i="120" s="1"/>
  <c r="L102" i="120" s="1"/>
  <c r="L103" i="120" s="1"/>
  <c r="L104" i="120" s="1"/>
  <c r="L105" i="120" s="1"/>
  <c r="L106" i="120" s="1"/>
  <c r="L107" i="120" s="1"/>
  <c r="L108" i="120" s="1"/>
  <c r="L109" i="120" s="1"/>
  <c r="L110" i="120" s="1"/>
  <c r="L111" i="120" s="1"/>
  <c r="L112" i="120" s="1"/>
  <c r="AH112" i="120" s="1"/>
  <c r="K99" i="120"/>
  <c r="K100" i="120" s="1"/>
  <c r="K101" i="120" s="1"/>
  <c r="K102" i="120" s="1"/>
  <c r="K103" i="120" s="1"/>
  <c r="K104" i="120" s="1"/>
  <c r="K105" i="120" s="1"/>
  <c r="K106" i="120" s="1"/>
  <c r="K107" i="120" s="1"/>
  <c r="K108" i="120" s="1"/>
  <c r="K109" i="120" s="1"/>
  <c r="K110" i="120" s="1"/>
  <c r="K111" i="120" s="1"/>
  <c r="AH111" i="120" s="1"/>
  <c r="Q98" i="120"/>
  <c r="P98" i="120"/>
  <c r="P99" i="120" s="1"/>
  <c r="P100" i="120" s="1"/>
  <c r="P101" i="120" s="1"/>
  <c r="P102" i="120" s="1"/>
  <c r="P103" i="120" s="1"/>
  <c r="P104" i="120" s="1"/>
  <c r="P105" i="120" s="1"/>
  <c r="P106" i="120" s="1"/>
  <c r="P107" i="120" s="1"/>
  <c r="P108" i="120" s="1"/>
  <c r="P109" i="120" s="1"/>
  <c r="P110" i="120" s="1"/>
  <c r="P111" i="120" s="1"/>
  <c r="P112" i="120" s="1"/>
  <c r="P113" i="120" s="1"/>
  <c r="L98" i="120"/>
  <c r="P97" i="120"/>
  <c r="O97" i="120"/>
  <c r="O98" i="120" s="1"/>
  <c r="O99" i="120" s="1"/>
  <c r="O100" i="120" s="1"/>
  <c r="O101" i="120" s="1"/>
  <c r="O102" i="120" s="1"/>
  <c r="O103" i="120" s="1"/>
  <c r="O104" i="120" s="1"/>
  <c r="O105" i="120" s="1"/>
  <c r="O106" i="120" s="1"/>
  <c r="O107" i="120" s="1"/>
  <c r="O108" i="120" s="1"/>
  <c r="O109" i="120" s="1"/>
  <c r="O110" i="120" s="1"/>
  <c r="O111" i="120" s="1"/>
  <c r="O112" i="120" s="1"/>
  <c r="O113" i="120" s="1"/>
  <c r="O96" i="120"/>
  <c r="C96" i="120"/>
  <c r="C97" i="120" s="1"/>
  <c r="C98" i="120" s="1"/>
  <c r="C99" i="120" s="1"/>
  <c r="C100" i="120" s="1"/>
  <c r="C101" i="120" s="1"/>
  <c r="C102" i="120" s="1"/>
  <c r="C103" i="120" s="1"/>
  <c r="C104" i="120" s="1"/>
  <c r="C105" i="120" s="1"/>
  <c r="N95" i="120"/>
  <c r="N114" i="120" s="1"/>
  <c r="L95" i="120"/>
  <c r="L96" i="120" s="1"/>
  <c r="L97" i="120" s="1"/>
  <c r="M94" i="120"/>
  <c r="M114" i="120" s="1"/>
  <c r="L94" i="120"/>
  <c r="K94" i="120"/>
  <c r="K95" i="120" s="1"/>
  <c r="K96" i="120" s="1"/>
  <c r="K97" i="120" s="1"/>
  <c r="K98" i="120" s="1"/>
  <c r="I94" i="120"/>
  <c r="I95" i="120" s="1"/>
  <c r="I96" i="120" s="1"/>
  <c r="I97" i="120" s="1"/>
  <c r="I98" i="120" s="1"/>
  <c r="I99" i="120" s="1"/>
  <c r="I100" i="120" s="1"/>
  <c r="I101" i="120" s="1"/>
  <c r="I102" i="120" s="1"/>
  <c r="I103" i="120" s="1"/>
  <c r="I104" i="120" s="1"/>
  <c r="I105" i="120" s="1"/>
  <c r="I106" i="120" s="1"/>
  <c r="I107" i="120" s="1"/>
  <c r="I108" i="120" s="1"/>
  <c r="I109" i="120" s="1"/>
  <c r="AH109" i="120" s="1"/>
  <c r="G94" i="120"/>
  <c r="G95" i="120" s="1"/>
  <c r="G96" i="120" s="1"/>
  <c r="G97" i="120" s="1"/>
  <c r="G98" i="120" s="1"/>
  <c r="G99" i="120" s="1"/>
  <c r="G100" i="120" s="1"/>
  <c r="G101" i="120" s="1"/>
  <c r="G102" i="120" s="1"/>
  <c r="G103" i="120" s="1"/>
  <c r="G104" i="120" s="1"/>
  <c r="G105" i="120" s="1"/>
  <c r="G106" i="120" s="1"/>
  <c r="L93" i="120"/>
  <c r="L114" i="120" s="1"/>
  <c r="K93" i="120"/>
  <c r="I93" i="120"/>
  <c r="G93" i="120"/>
  <c r="K92" i="120"/>
  <c r="I92" i="120"/>
  <c r="J91" i="120"/>
  <c r="J92" i="120" s="1"/>
  <c r="J93" i="120" s="1"/>
  <c r="J94" i="120" s="1"/>
  <c r="J95" i="120" s="1"/>
  <c r="J96" i="120" s="1"/>
  <c r="J97" i="120" s="1"/>
  <c r="J98" i="120" s="1"/>
  <c r="J99" i="120" s="1"/>
  <c r="J100" i="120" s="1"/>
  <c r="J101" i="120" s="1"/>
  <c r="J102" i="120" s="1"/>
  <c r="J103" i="120" s="1"/>
  <c r="J104" i="120" s="1"/>
  <c r="J105" i="120" s="1"/>
  <c r="J106" i="120" s="1"/>
  <c r="J107" i="120" s="1"/>
  <c r="J108" i="120" s="1"/>
  <c r="J109" i="120" s="1"/>
  <c r="J110" i="120" s="1"/>
  <c r="AH110" i="120" s="1"/>
  <c r="I90" i="120"/>
  <c r="I91" i="120" s="1"/>
  <c r="H89" i="120"/>
  <c r="H114" i="120" s="1"/>
  <c r="G89" i="120"/>
  <c r="G90" i="120" s="1"/>
  <c r="G91" i="120" s="1"/>
  <c r="G92" i="120" s="1"/>
  <c r="F89" i="120"/>
  <c r="F90" i="120" s="1"/>
  <c r="F91" i="120" s="1"/>
  <c r="F92" i="120" s="1"/>
  <c r="F93" i="120" s="1"/>
  <c r="F94" i="120" s="1"/>
  <c r="F95" i="120" s="1"/>
  <c r="F96" i="120" s="1"/>
  <c r="F97" i="120" s="1"/>
  <c r="F98" i="120" s="1"/>
  <c r="F99" i="120" s="1"/>
  <c r="F100" i="120" s="1"/>
  <c r="F101" i="120" s="1"/>
  <c r="F102" i="120" s="1"/>
  <c r="F103" i="120" s="1"/>
  <c r="F104" i="120" s="1"/>
  <c r="F105" i="120" s="1"/>
  <c r="F106" i="120" s="1"/>
  <c r="AH106" i="120" s="1"/>
  <c r="G88" i="120"/>
  <c r="G114" i="120" s="1"/>
  <c r="F87" i="120"/>
  <c r="F88" i="120" s="1"/>
  <c r="E86" i="120"/>
  <c r="D86" i="120"/>
  <c r="AH85" i="120"/>
  <c r="D85" i="120"/>
  <c r="AH84" i="120"/>
  <c r="AH83" i="120"/>
  <c r="C83" i="120"/>
  <c r="C84" i="120" s="1"/>
  <c r="C85" i="120" s="1"/>
  <c r="C86" i="120" s="1"/>
  <c r="C87" i="120" s="1"/>
  <c r="C88" i="120" s="1"/>
  <c r="C89" i="120" s="1"/>
  <c r="C90" i="120" s="1"/>
  <c r="C91" i="120" s="1"/>
  <c r="C92" i="120" s="1"/>
  <c r="C93" i="120" s="1"/>
  <c r="C94" i="120" s="1"/>
  <c r="C95" i="120" s="1"/>
  <c r="G82" i="120"/>
  <c r="H82" i="120" s="1"/>
  <c r="I82" i="120" s="1"/>
  <c r="J82" i="120" s="1"/>
  <c r="K82" i="120" s="1"/>
  <c r="L82" i="120" s="1"/>
  <c r="M82" i="120" s="1"/>
  <c r="N82" i="120" s="1"/>
  <c r="O82" i="120" s="1"/>
  <c r="P82" i="120" s="1"/>
  <c r="Q82" i="120" s="1"/>
  <c r="R82" i="120" s="1"/>
  <c r="S82" i="120" s="1"/>
  <c r="T82" i="120" s="1"/>
  <c r="U82" i="120" s="1"/>
  <c r="V82" i="120" s="1"/>
  <c r="W82" i="120" s="1"/>
  <c r="X82" i="120" s="1"/>
  <c r="Y82" i="120" s="1"/>
  <c r="Z82" i="120" s="1"/>
  <c r="AA82" i="120" s="1"/>
  <c r="AB82" i="120" s="1"/>
  <c r="AC82" i="120" s="1"/>
  <c r="AD82" i="120" s="1"/>
  <c r="AE82" i="120" s="1"/>
  <c r="AF82" i="120" s="1"/>
  <c r="AG82" i="120" s="1"/>
  <c r="F82" i="120"/>
  <c r="E82" i="120"/>
  <c r="AH81" i="120"/>
  <c r="B81" i="120" s="1"/>
  <c r="AF77" i="120"/>
  <c r="AD77" i="120"/>
  <c r="AC77" i="120"/>
  <c r="AB77" i="120"/>
  <c r="Z77" i="120"/>
  <c r="U77" i="120"/>
  <c r="S77" i="120"/>
  <c r="Q77" i="120"/>
  <c r="N77" i="120"/>
  <c r="H77" i="120"/>
  <c r="F77" i="120"/>
  <c r="E77" i="120"/>
  <c r="AG76" i="120"/>
  <c r="AG77" i="120" s="1"/>
  <c r="AF76" i="120"/>
  <c r="AE75" i="120"/>
  <c r="AE76" i="120" s="1"/>
  <c r="AD75" i="120"/>
  <c r="AD76" i="120" s="1"/>
  <c r="AD74" i="120"/>
  <c r="AC74" i="120"/>
  <c r="AC75" i="120" s="1"/>
  <c r="AC76" i="120" s="1"/>
  <c r="AB74" i="120"/>
  <c r="AB75" i="120" s="1"/>
  <c r="AB76" i="120" s="1"/>
  <c r="AC73" i="120"/>
  <c r="AB73" i="120"/>
  <c r="F73" i="120"/>
  <c r="F74" i="120" s="1"/>
  <c r="AH74" i="120" s="1"/>
  <c r="AB72" i="120"/>
  <c r="AA71" i="120"/>
  <c r="Z70" i="120"/>
  <c r="Z71" i="120" s="1"/>
  <c r="Z72" i="120" s="1"/>
  <c r="Z73" i="120" s="1"/>
  <c r="Z74" i="120" s="1"/>
  <c r="Z75" i="120" s="1"/>
  <c r="Z76" i="120" s="1"/>
  <c r="Y69" i="120"/>
  <c r="X69" i="120"/>
  <c r="X70" i="120" s="1"/>
  <c r="X71" i="120" s="1"/>
  <c r="X72" i="120" s="1"/>
  <c r="X73" i="120" s="1"/>
  <c r="X74" i="120" s="1"/>
  <c r="X75" i="120" s="1"/>
  <c r="X76" i="120" s="1"/>
  <c r="X68" i="120"/>
  <c r="X77" i="120" s="1"/>
  <c r="S68" i="120"/>
  <c r="S69" i="120" s="1"/>
  <c r="S70" i="120" s="1"/>
  <c r="S71" i="120" s="1"/>
  <c r="S72" i="120" s="1"/>
  <c r="S73" i="120" s="1"/>
  <c r="S74" i="120" s="1"/>
  <c r="S75" i="120" s="1"/>
  <c r="S76" i="120" s="1"/>
  <c r="W67" i="120"/>
  <c r="V66" i="120"/>
  <c r="V67" i="120" s="1"/>
  <c r="V68" i="120" s="1"/>
  <c r="V69" i="120" s="1"/>
  <c r="V70" i="120" s="1"/>
  <c r="V71" i="120" s="1"/>
  <c r="V72" i="120" s="1"/>
  <c r="V73" i="120" s="1"/>
  <c r="V74" i="120" s="1"/>
  <c r="V75" i="120" s="1"/>
  <c r="V76" i="120" s="1"/>
  <c r="U66" i="120"/>
  <c r="U67" i="120" s="1"/>
  <c r="U68" i="120" s="1"/>
  <c r="U69" i="120" s="1"/>
  <c r="U70" i="120" s="1"/>
  <c r="U71" i="120" s="1"/>
  <c r="U72" i="120" s="1"/>
  <c r="U73" i="120" s="1"/>
  <c r="U74" i="120" s="1"/>
  <c r="U75" i="120" s="1"/>
  <c r="U76" i="120" s="1"/>
  <c r="S66" i="120"/>
  <c r="S67" i="120" s="1"/>
  <c r="U65" i="120"/>
  <c r="T64" i="120"/>
  <c r="S64" i="120"/>
  <c r="S65" i="120" s="1"/>
  <c r="S63" i="120"/>
  <c r="Q63" i="120"/>
  <c r="Q64" i="120" s="1"/>
  <c r="Q65" i="120" s="1"/>
  <c r="Q66" i="120" s="1"/>
  <c r="Q67" i="120" s="1"/>
  <c r="Q68" i="120" s="1"/>
  <c r="Q69" i="120" s="1"/>
  <c r="Q70" i="120" s="1"/>
  <c r="Q71" i="120" s="1"/>
  <c r="Q72" i="120" s="1"/>
  <c r="Q73" i="120" s="1"/>
  <c r="Q74" i="120" s="1"/>
  <c r="Q75" i="120" s="1"/>
  <c r="Q76" i="120" s="1"/>
  <c r="R62" i="120"/>
  <c r="R77" i="120" s="1"/>
  <c r="Q62" i="120"/>
  <c r="Q61" i="120"/>
  <c r="P60" i="120"/>
  <c r="O60" i="120"/>
  <c r="O61" i="120" s="1"/>
  <c r="O62" i="120" s="1"/>
  <c r="O63" i="120" s="1"/>
  <c r="O64" i="120" s="1"/>
  <c r="O65" i="120" s="1"/>
  <c r="O66" i="120" s="1"/>
  <c r="O67" i="120" s="1"/>
  <c r="O68" i="120" s="1"/>
  <c r="O69" i="120" s="1"/>
  <c r="O70" i="120" s="1"/>
  <c r="O71" i="120" s="1"/>
  <c r="O72" i="120" s="1"/>
  <c r="O73" i="120" s="1"/>
  <c r="O74" i="120" s="1"/>
  <c r="O75" i="120" s="1"/>
  <c r="O76" i="120" s="1"/>
  <c r="N60" i="120"/>
  <c r="N61" i="120" s="1"/>
  <c r="N62" i="120" s="1"/>
  <c r="N63" i="120" s="1"/>
  <c r="N64" i="120" s="1"/>
  <c r="N65" i="120" s="1"/>
  <c r="N66" i="120" s="1"/>
  <c r="N67" i="120" s="1"/>
  <c r="N68" i="120" s="1"/>
  <c r="N69" i="120" s="1"/>
  <c r="N70" i="120" s="1"/>
  <c r="N71" i="120" s="1"/>
  <c r="N72" i="120" s="1"/>
  <c r="N73" i="120" s="1"/>
  <c r="N74" i="120" s="1"/>
  <c r="N75" i="120" s="1"/>
  <c r="N76" i="120" s="1"/>
  <c r="K60" i="120"/>
  <c r="K61" i="120" s="1"/>
  <c r="K62" i="120" s="1"/>
  <c r="K63" i="120" s="1"/>
  <c r="K64" i="120" s="1"/>
  <c r="K65" i="120" s="1"/>
  <c r="K66" i="120" s="1"/>
  <c r="K67" i="120" s="1"/>
  <c r="K68" i="120" s="1"/>
  <c r="K69" i="120" s="1"/>
  <c r="K70" i="120" s="1"/>
  <c r="K71" i="120" s="1"/>
  <c r="K72" i="120" s="1"/>
  <c r="K73" i="120" s="1"/>
  <c r="K74" i="120" s="1"/>
  <c r="K75" i="120" s="1"/>
  <c r="K76" i="120" s="1"/>
  <c r="O59" i="120"/>
  <c r="O77" i="120" s="1"/>
  <c r="N59" i="120"/>
  <c r="K59" i="120"/>
  <c r="N58" i="120"/>
  <c r="M58" i="120"/>
  <c r="M59" i="120" s="1"/>
  <c r="M60" i="120" s="1"/>
  <c r="M61" i="120" s="1"/>
  <c r="M62" i="120" s="1"/>
  <c r="M63" i="120" s="1"/>
  <c r="M64" i="120" s="1"/>
  <c r="M65" i="120" s="1"/>
  <c r="M66" i="120" s="1"/>
  <c r="M67" i="120" s="1"/>
  <c r="M68" i="120" s="1"/>
  <c r="M69" i="120" s="1"/>
  <c r="M70" i="120" s="1"/>
  <c r="M71" i="120" s="1"/>
  <c r="M72" i="120" s="1"/>
  <c r="M73" i="120" s="1"/>
  <c r="M74" i="120" s="1"/>
  <c r="M75" i="120" s="1"/>
  <c r="M76" i="120" s="1"/>
  <c r="L58" i="120"/>
  <c r="L59" i="120" s="1"/>
  <c r="L60" i="120" s="1"/>
  <c r="L61" i="120" s="1"/>
  <c r="L62" i="120" s="1"/>
  <c r="L63" i="120" s="1"/>
  <c r="L64" i="120" s="1"/>
  <c r="L65" i="120" s="1"/>
  <c r="L66" i="120" s="1"/>
  <c r="L67" i="120" s="1"/>
  <c r="L68" i="120" s="1"/>
  <c r="L69" i="120" s="1"/>
  <c r="L70" i="120" s="1"/>
  <c r="L71" i="120" s="1"/>
  <c r="L72" i="120" s="1"/>
  <c r="L73" i="120" s="1"/>
  <c r="L74" i="120" s="1"/>
  <c r="L75" i="120" s="1"/>
  <c r="L76" i="120" s="1"/>
  <c r="M57" i="120"/>
  <c r="M77" i="120" s="1"/>
  <c r="L57" i="120"/>
  <c r="L56" i="120"/>
  <c r="L77" i="120" s="1"/>
  <c r="K56" i="120"/>
  <c r="K57" i="120" s="1"/>
  <c r="K58" i="120" s="1"/>
  <c r="K55" i="120"/>
  <c r="K77" i="120" s="1"/>
  <c r="J54" i="120"/>
  <c r="J77" i="120" s="1"/>
  <c r="H54" i="120"/>
  <c r="H55" i="120" s="1"/>
  <c r="H56" i="120" s="1"/>
  <c r="H57" i="120" s="1"/>
  <c r="H58" i="120" s="1"/>
  <c r="H59" i="120" s="1"/>
  <c r="H60" i="120" s="1"/>
  <c r="H61" i="120" s="1"/>
  <c r="H62" i="120" s="1"/>
  <c r="H63" i="120" s="1"/>
  <c r="H64" i="120" s="1"/>
  <c r="H65" i="120" s="1"/>
  <c r="H66" i="120" s="1"/>
  <c r="H67" i="120" s="1"/>
  <c r="H68" i="120" s="1"/>
  <c r="H69" i="120" s="1"/>
  <c r="H70" i="120" s="1"/>
  <c r="H71" i="120" s="1"/>
  <c r="H72" i="120" s="1"/>
  <c r="H73" i="120" s="1"/>
  <c r="H74" i="120" s="1"/>
  <c r="H75" i="120" s="1"/>
  <c r="H76" i="120" s="1"/>
  <c r="AH76" i="120" s="1"/>
  <c r="I53" i="120"/>
  <c r="H53" i="120"/>
  <c r="F53" i="120"/>
  <c r="F54" i="120" s="1"/>
  <c r="F55" i="120" s="1"/>
  <c r="F56" i="120" s="1"/>
  <c r="F57" i="120" s="1"/>
  <c r="F58" i="120" s="1"/>
  <c r="F59" i="120" s="1"/>
  <c r="F60" i="120" s="1"/>
  <c r="F61" i="120" s="1"/>
  <c r="F62" i="120" s="1"/>
  <c r="F63" i="120" s="1"/>
  <c r="F64" i="120" s="1"/>
  <c r="F65" i="120" s="1"/>
  <c r="F66" i="120" s="1"/>
  <c r="F67" i="120" s="1"/>
  <c r="F68" i="120" s="1"/>
  <c r="F69" i="120" s="1"/>
  <c r="F70" i="120" s="1"/>
  <c r="F71" i="120" s="1"/>
  <c r="F72" i="120" s="1"/>
  <c r="H52" i="120"/>
  <c r="F52" i="120"/>
  <c r="G51" i="120"/>
  <c r="F51" i="120"/>
  <c r="E51" i="120"/>
  <c r="E52" i="120" s="1"/>
  <c r="E53" i="120" s="1"/>
  <c r="E54" i="120" s="1"/>
  <c r="E55" i="120" s="1"/>
  <c r="E56" i="120" s="1"/>
  <c r="E57" i="120" s="1"/>
  <c r="E58" i="120" s="1"/>
  <c r="E59" i="120" s="1"/>
  <c r="E60" i="120" s="1"/>
  <c r="E61" i="120" s="1"/>
  <c r="E62" i="120" s="1"/>
  <c r="E63" i="120" s="1"/>
  <c r="E64" i="120" s="1"/>
  <c r="E65" i="120" s="1"/>
  <c r="E66" i="120" s="1"/>
  <c r="E67" i="120" s="1"/>
  <c r="E68" i="120" s="1"/>
  <c r="E69" i="120" s="1"/>
  <c r="E70" i="120" s="1"/>
  <c r="E71" i="120" s="1"/>
  <c r="E72" i="120" s="1"/>
  <c r="E73" i="120" s="1"/>
  <c r="AH73" i="120" s="1"/>
  <c r="D51" i="120"/>
  <c r="F50" i="120"/>
  <c r="AH49" i="120"/>
  <c r="E49" i="120"/>
  <c r="E50" i="120" s="1"/>
  <c r="D49" i="120"/>
  <c r="D50" i="120" s="1"/>
  <c r="AH50" i="120" s="1"/>
  <c r="C49" i="120"/>
  <c r="C50" i="120" s="1"/>
  <c r="C51" i="120" s="1"/>
  <c r="C52" i="120" s="1"/>
  <c r="C53" i="120" s="1"/>
  <c r="C54" i="120" s="1"/>
  <c r="C55" i="120" s="1"/>
  <c r="C56" i="120" s="1"/>
  <c r="C57" i="120" s="1"/>
  <c r="C58" i="120" s="1"/>
  <c r="C59" i="120" s="1"/>
  <c r="C60" i="120" s="1"/>
  <c r="C61" i="120" s="1"/>
  <c r="C62" i="120" s="1"/>
  <c r="C63" i="120" s="1"/>
  <c r="C64" i="120" s="1"/>
  <c r="C65" i="120" s="1"/>
  <c r="C66" i="120" s="1"/>
  <c r="C67" i="120" s="1"/>
  <c r="C68" i="120" s="1"/>
  <c r="C69" i="120" s="1"/>
  <c r="C70" i="120" s="1"/>
  <c r="C71" i="120" s="1"/>
  <c r="C72" i="120" s="1"/>
  <c r="C73" i="120" s="1"/>
  <c r="C74" i="120" s="1"/>
  <c r="C75" i="120" s="1"/>
  <c r="C76" i="120" s="1"/>
  <c r="D48" i="120"/>
  <c r="D77" i="120" s="1"/>
  <c r="C48" i="120"/>
  <c r="AH47" i="120"/>
  <c r="C47" i="120"/>
  <c r="E46" i="120"/>
  <c r="AH46" i="120" s="1"/>
  <c r="S45" i="120"/>
  <c r="T45" i="120" s="1"/>
  <c r="U45" i="120" s="1"/>
  <c r="V45" i="120" s="1"/>
  <c r="W45" i="120" s="1"/>
  <c r="X45" i="120" s="1"/>
  <c r="Y45" i="120" s="1"/>
  <c r="Z45" i="120" s="1"/>
  <c r="AA45" i="120" s="1"/>
  <c r="AB45" i="120" s="1"/>
  <c r="AC45" i="120" s="1"/>
  <c r="AD45" i="120" s="1"/>
  <c r="AE45" i="120" s="1"/>
  <c r="AF45" i="120" s="1"/>
  <c r="AG45" i="120" s="1"/>
  <c r="F45" i="120"/>
  <c r="G45" i="120" s="1"/>
  <c r="H45" i="120" s="1"/>
  <c r="I45" i="120" s="1"/>
  <c r="J45" i="120" s="1"/>
  <c r="K45" i="120" s="1"/>
  <c r="L45" i="120" s="1"/>
  <c r="M45" i="120" s="1"/>
  <c r="N45" i="120" s="1"/>
  <c r="O45" i="120" s="1"/>
  <c r="P45" i="120" s="1"/>
  <c r="Q45" i="120" s="1"/>
  <c r="R45" i="120" s="1"/>
  <c r="E45" i="120"/>
  <c r="AH44" i="120"/>
  <c r="B44" i="120" s="1"/>
  <c r="O22" i="120"/>
  <c r="O23" i="120" s="1"/>
  <c r="O24" i="120" s="1"/>
  <c r="O25" i="120" s="1"/>
  <c r="O26" i="120" s="1"/>
  <c r="O27" i="120" s="1"/>
  <c r="O28" i="120" s="1"/>
  <c r="O29" i="120" s="1"/>
  <c r="O30" i="120" s="1"/>
  <c r="O31" i="120" s="1"/>
  <c r="O32" i="120" s="1"/>
  <c r="O33" i="120" s="1"/>
  <c r="O34" i="120" s="1"/>
  <c r="O35" i="120" s="1"/>
  <c r="O36" i="120" s="1"/>
  <c r="O37" i="120" s="1"/>
  <c r="O38" i="120" s="1"/>
  <c r="O39" i="120" s="1"/>
  <c r="M20" i="120"/>
  <c r="M21" i="120" s="1"/>
  <c r="M22" i="120" s="1"/>
  <c r="M23" i="120" s="1"/>
  <c r="M24" i="120" s="1"/>
  <c r="M25" i="120" s="1"/>
  <c r="M26" i="120" s="1"/>
  <c r="M27" i="120" s="1"/>
  <c r="M28" i="120" s="1"/>
  <c r="M29" i="120" s="1"/>
  <c r="M30" i="120" s="1"/>
  <c r="M31" i="120" s="1"/>
  <c r="M32" i="120" s="1"/>
  <c r="M33" i="120" s="1"/>
  <c r="M34" i="120" s="1"/>
  <c r="M35" i="120" s="1"/>
  <c r="M36" i="120" s="1"/>
  <c r="M37" i="120" s="1"/>
  <c r="M38" i="120" s="1"/>
  <c r="M39" i="120" s="1"/>
  <c r="G14" i="120"/>
  <c r="G15" i="120" s="1"/>
  <c r="G16" i="120" s="1"/>
  <c r="G17" i="120" s="1"/>
  <c r="G18" i="120" s="1"/>
  <c r="G19" i="120" s="1"/>
  <c r="G20" i="120" s="1"/>
  <c r="G21" i="120" s="1"/>
  <c r="G22" i="120" s="1"/>
  <c r="G23" i="120" s="1"/>
  <c r="G24" i="120" s="1"/>
  <c r="G25" i="120" s="1"/>
  <c r="G26" i="120" s="1"/>
  <c r="G27" i="120" s="1"/>
  <c r="G28" i="120" s="1"/>
  <c r="G29" i="120" s="1"/>
  <c r="G30" i="120" s="1"/>
  <c r="G31" i="120" s="1"/>
  <c r="G32" i="120" s="1"/>
  <c r="G33" i="120" s="1"/>
  <c r="G34" i="120" s="1"/>
  <c r="G35" i="120" s="1"/>
  <c r="G36" i="120" s="1"/>
  <c r="G37" i="120" s="1"/>
  <c r="G38" i="120" s="1"/>
  <c r="G39" i="120" s="1"/>
  <c r="E12" i="120"/>
  <c r="E13" i="120" s="1"/>
  <c r="E14" i="120" s="1"/>
  <c r="E15" i="120" s="1"/>
  <c r="E16" i="120" s="1"/>
  <c r="E17" i="120" s="1"/>
  <c r="E18" i="120" s="1"/>
  <c r="E19" i="120" s="1"/>
  <c r="E20" i="120" s="1"/>
  <c r="E21" i="120" s="1"/>
  <c r="E22" i="120" s="1"/>
  <c r="E23" i="120" s="1"/>
  <c r="E24" i="120" s="1"/>
  <c r="E25" i="120" s="1"/>
  <c r="E26" i="120" s="1"/>
  <c r="E27" i="120" s="1"/>
  <c r="E28" i="120" s="1"/>
  <c r="E29" i="120" s="1"/>
  <c r="E30" i="120" s="1"/>
  <c r="E31" i="120" s="1"/>
  <c r="E32" i="120" s="1"/>
  <c r="E33" i="120" s="1"/>
  <c r="E34" i="120" s="1"/>
  <c r="E35" i="120" s="1"/>
  <c r="E36" i="120" s="1"/>
  <c r="E37" i="120" s="1"/>
  <c r="E38" i="120" s="1"/>
  <c r="E39" i="120" s="1"/>
  <c r="F10" i="120"/>
  <c r="D10" i="120"/>
  <c r="C10" i="120"/>
  <c r="F9" i="120"/>
  <c r="E9" i="120"/>
  <c r="D9" i="120"/>
  <c r="G8" i="120"/>
  <c r="E8" i="120"/>
  <c r="F8" i="120" s="1"/>
  <c r="Z33" i="120"/>
  <c r="Z34" i="120" s="1"/>
  <c r="Z35" i="120" s="1"/>
  <c r="Z36" i="120" s="1"/>
  <c r="Z37" i="120" s="1"/>
  <c r="Z38" i="120" s="1"/>
  <c r="Z39" i="120" s="1"/>
  <c r="G7" i="120"/>
  <c r="G4" i="120" s="1"/>
  <c r="F7" i="120"/>
  <c r="F13" i="120" s="1"/>
  <c r="F14" i="120" s="1"/>
  <c r="F15" i="120" s="1"/>
  <c r="F16" i="120" s="1"/>
  <c r="F17" i="120" s="1"/>
  <c r="F18" i="120" s="1"/>
  <c r="F19" i="120" s="1"/>
  <c r="F20" i="120" s="1"/>
  <c r="F21" i="120" s="1"/>
  <c r="F22" i="120" s="1"/>
  <c r="F23" i="120" s="1"/>
  <c r="F24" i="120" s="1"/>
  <c r="F25" i="120" s="1"/>
  <c r="F26" i="120" s="1"/>
  <c r="F27" i="120" s="1"/>
  <c r="F28" i="120" s="1"/>
  <c r="F29" i="120" s="1"/>
  <c r="F30" i="120" s="1"/>
  <c r="F31" i="120" s="1"/>
  <c r="F32" i="120" s="1"/>
  <c r="F33" i="120" s="1"/>
  <c r="F34" i="120" s="1"/>
  <c r="F35" i="120" s="1"/>
  <c r="F36" i="120" s="1"/>
  <c r="F37" i="120" s="1"/>
  <c r="F38" i="120" s="1"/>
  <c r="F39" i="120" s="1"/>
  <c r="E7" i="120"/>
  <c r="E4" i="120" s="1"/>
  <c r="D7" i="120"/>
  <c r="O4" i="120"/>
  <c r="N4" i="120"/>
  <c r="K4" i="120"/>
  <c r="G3" i="120"/>
  <c r="H3" i="120" s="1"/>
  <c r="I3" i="120" s="1"/>
  <c r="J3" i="120" s="1"/>
  <c r="K3" i="120" s="1"/>
  <c r="L3" i="120" s="1"/>
  <c r="M3" i="120" s="1"/>
  <c r="N3" i="120" s="1"/>
  <c r="O3" i="120" s="1"/>
  <c r="P3" i="120" s="1"/>
  <c r="Q3" i="120" s="1"/>
  <c r="R3" i="120" s="1"/>
  <c r="S3" i="120" s="1"/>
  <c r="T3" i="120" s="1"/>
  <c r="U3" i="120" s="1"/>
  <c r="V3" i="120" s="1"/>
  <c r="W3" i="120" s="1"/>
  <c r="X3" i="120" s="1"/>
  <c r="Y3" i="120" s="1"/>
  <c r="Z3" i="120" s="1"/>
  <c r="AA3" i="120" s="1"/>
  <c r="AB3" i="120" s="1"/>
  <c r="AC3" i="120" s="1"/>
  <c r="AD3" i="120" s="1"/>
  <c r="AE3" i="120" s="1"/>
  <c r="AF3" i="120" s="1"/>
  <c r="AG3" i="120" s="1"/>
  <c r="F3" i="120"/>
  <c r="E3" i="120"/>
  <c r="B3" i="120"/>
  <c r="E2" i="120"/>
  <c r="F2" i="120" s="1"/>
  <c r="G2" i="120" s="1"/>
  <c r="H2" i="120" s="1"/>
  <c r="I2" i="120" s="1"/>
  <c r="J2" i="120" s="1"/>
  <c r="K2" i="120" s="1"/>
  <c r="L2" i="120" s="1"/>
  <c r="M2" i="120" s="1"/>
  <c r="N2" i="120" s="1"/>
  <c r="O2" i="120" s="1"/>
  <c r="P2" i="120" s="1"/>
  <c r="Q2" i="120" s="1"/>
  <c r="R2" i="120" s="1"/>
  <c r="S2" i="120" s="1"/>
  <c r="T2" i="120" s="1"/>
  <c r="U2" i="120" s="1"/>
  <c r="V2" i="120" s="1"/>
  <c r="W2" i="120" s="1"/>
  <c r="X2" i="120" s="1"/>
  <c r="Y2" i="120" s="1"/>
  <c r="Z2" i="120" s="1"/>
  <c r="AA2" i="120" s="1"/>
  <c r="AB2" i="120" s="1"/>
  <c r="AC2" i="120" s="1"/>
  <c r="AD2" i="120" s="1"/>
  <c r="AE2" i="120" s="1"/>
  <c r="AF2" i="120" s="1"/>
  <c r="AG2" i="120" s="1"/>
  <c r="M7" i="119"/>
  <c r="M20" i="119" s="1"/>
  <c r="M21" i="119" s="1"/>
  <c r="M22" i="119" s="1"/>
  <c r="M23" i="119" s="1"/>
  <c r="M24" i="119" s="1"/>
  <c r="M25" i="119" s="1"/>
  <c r="M26" i="119" s="1"/>
  <c r="M27" i="119" s="1"/>
  <c r="M28" i="119" s="1"/>
  <c r="M29" i="119" s="1"/>
  <c r="M30" i="119" s="1"/>
  <c r="M31" i="119" s="1"/>
  <c r="M32" i="119" s="1"/>
  <c r="M33" i="119" s="1"/>
  <c r="M34" i="119" s="1"/>
  <c r="M35" i="119" s="1"/>
  <c r="M36" i="119" s="1"/>
  <c r="M37" i="119" s="1"/>
  <c r="M38" i="119" s="1"/>
  <c r="M39" i="119" s="1"/>
  <c r="N7" i="119"/>
  <c r="N4" i="119" s="1"/>
  <c r="O7" i="119"/>
  <c r="P7" i="119"/>
  <c r="P4" i="119" s="1"/>
  <c r="Q7" i="119"/>
  <c r="Q4" i="119" s="1"/>
  <c r="R7" i="119"/>
  <c r="R25" i="119" s="1"/>
  <c r="R26" i="119" s="1"/>
  <c r="R27" i="119" s="1"/>
  <c r="R28" i="119" s="1"/>
  <c r="R29" i="119" s="1"/>
  <c r="R30" i="119" s="1"/>
  <c r="R31" i="119" s="1"/>
  <c r="R32" i="119" s="1"/>
  <c r="R33" i="119" s="1"/>
  <c r="R34" i="119" s="1"/>
  <c r="R35" i="119" s="1"/>
  <c r="R36" i="119" s="1"/>
  <c r="R37" i="119" s="1"/>
  <c r="R38" i="119" s="1"/>
  <c r="R39" i="119" s="1"/>
  <c r="S7" i="119"/>
  <c r="S4" i="119" s="1"/>
  <c r="T7" i="119"/>
  <c r="T27" i="119" s="1"/>
  <c r="T28" i="119" s="1"/>
  <c r="T29" i="119" s="1"/>
  <c r="T30" i="119" s="1"/>
  <c r="T31" i="119" s="1"/>
  <c r="T32" i="119" s="1"/>
  <c r="T33" i="119" s="1"/>
  <c r="T34" i="119" s="1"/>
  <c r="T35" i="119" s="1"/>
  <c r="T36" i="119" s="1"/>
  <c r="T37" i="119" s="1"/>
  <c r="T38" i="119" s="1"/>
  <c r="T39" i="119" s="1"/>
  <c r="U7" i="119"/>
  <c r="U4" i="119" s="1"/>
  <c r="V7" i="119"/>
  <c r="V4" i="119" s="1"/>
  <c r="W7" i="119"/>
  <c r="W30" i="119" s="1"/>
  <c r="W31" i="119" s="1"/>
  <c r="W32" i="119" s="1"/>
  <c r="W33" i="119" s="1"/>
  <c r="W34" i="119" s="1"/>
  <c r="W35" i="119" s="1"/>
  <c r="W36" i="119" s="1"/>
  <c r="W37" i="119" s="1"/>
  <c r="W38" i="119" s="1"/>
  <c r="W39" i="119" s="1"/>
  <c r="X7" i="119"/>
  <c r="X31" i="119" s="1"/>
  <c r="X32" i="119" s="1"/>
  <c r="X33" i="119" s="1"/>
  <c r="X34" i="119" s="1"/>
  <c r="X35" i="119" s="1"/>
  <c r="X36" i="119" s="1"/>
  <c r="X37" i="119" s="1"/>
  <c r="X38" i="119" s="1"/>
  <c r="X39" i="119" s="1"/>
  <c r="Y7" i="119"/>
  <c r="Y4" i="119" s="1"/>
  <c r="Z7" i="119"/>
  <c r="Z4" i="119" s="1"/>
  <c r="AA7" i="119"/>
  <c r="AB7" i="119"/>
  <c r="AB4" i="119" s="1"/>
  <c r="AC7" i="119"/>
  <c r="AC36" i="119" s="1"/>
  <c r="AC37" i="119" s="1"/>
  <c r="AC38" i="119" s="1"/>
  <c r="AC39" i="119" s="1"/>
  <c r="AD7" i="119"/>
  <c r="AD37" i="119" s="1"/>
  <c r="AD38" i="119" s="1"/>
  <c r="AD39" i="119" s="1"/>
  <c r="AE7" i="119"/>
  <c r="AE38" i="119" s="1"/>
  <c r="AE39" i="119" s="1"/>
  <c r="AF7" i="119"/>
  <c r="AF39" i="119" s="1"/>
  <c r="AG7" i="119"/>
  <c r="AG39" i="119" s="1"/>
  <c r="C342" i="119"/>
  <c r="C343" i="119" s="1"/>
  <c r="I340" i="119"/>
  <c r="J340" i="119" s="1"/>
  <c r="K340" i="119" s="1"/>
  <c r="L340" i="119" s="1"/>
  <c r="M340" i="119" s="1"/>
  <c r="N340" i="119" s="1"/>
  <c r="O340" i="119" s="1"/>
  <c r="P340" i="119" s="1"/>
  <c r="Q340" i="119" s="1"/>
  <c r="R340" i="119" s="1"/>
  <c r="S340" i="119" s="1"/>
  <c r="T340" i="119" s="1"/>
  <c r="U340" i="119" s="1"/>
  <c r="V340" i="119" s="1"/>
  <c r="W340" i="119" s="1"/>
  <c r="X340" i="119" s="1"/>
  <c r="Y340" i="119" s="1"/>
  <c r="Z340" i="119" s="1"/>
  <c r="AA340" i="119" s="1"/>
  <c r="AB340" i="119" s="1"/>
  <c r="AC340" i="119" s="1"/>
  <c r="AD340" i="119" s="1"/>
  <c r="AE340" i="119" s="1"/>
  <c r="AF340" i="119" s="1"/>
  <c r="AG340" i="119" s="1"/>
  <c r="H340" i="119"/>
  <c r="F340" i="119"/>
  <c r="G340" i="119" s="1"/>
  <c r="E340" i="119"/>
  <c r="AC337" i="119"/>
  <c r="AA337" i="119"/>
  <c r="Z337" i="119"/>
  <c r="Y337" i="119"/>
  <c r="X337" i="119"/>
  <c r="W337" i="119"/>
  <c r="R337" i="119"/>
  <c r="P337" i="119"/>
  <c r="N337" i="119"/>
  <c r="L337" i="119"/>
  <c r="K337" i="119"/>
  <c r="J337" i="119"/>
  <c r="E337" i="119"/>
  <c r="AG336" i="119"/>
  <c r="AG337" i="119" s="1"/>
  <c r="AF336" i="119"/>
  <c r="AF337" i="119" s="1"/>
  <c r="AE336" i="119"/>
  <c r="AE335" i="119"/>
  <c r="AE337" i="119" s="1"/>
  <c r="AC335" i="119"/>
  <c r="AH335" i="119" s="1"/>
  <c r="AD334" i="119"/>
  <c r="AC334" i="119"/>
  <c r="AH333" i="119"/>
  <c r="AC333" i="119"/>
  <c r="AB332" i="119"/>
  <c r="AA331" i="119"/>
  <c r="AA332" i="119" s="1"/>
  <c r="AA333" i="119" s="1"/>
  <c r="Z331" i="119"/>
  <c r="Z332" i="119" s="1"/>
  <c r="AH332" i="119" s="1"/>
  <c r="Z330" i="119"/>
  <c r="Y330" i="119"/>
  <c r="Y331" i="119" s="1"/>
  <c r="AH331" i="119" s="1"/>
  <c r="AH329" i="119"/>
  <c r="Y329" i="119"/>
  <c r="X329" i="119"/>
  <c r="X330" i="119" s="1"/>
  <c r="AH330" i="119" s="1"/>
  <c r="W329" i="119"/>
  <c r="X328" i="119"/>
  <c r="W327" i="119"/>
  <c r="W328" i="119" s="1"/>
  <c r="V326" i="119"/>
  <c r="U326" i="119"/>
  <c r="U327" i="119" s="1"/>
  <c r="AH327" i="119" s="1"/>
  <c r="U325" i="119"/>
  <c r="U337" i="119" s="1"/>
  <c r="S325" i="119"/>
  <c r="AH325" i="119" s="1"/>
  <c r="T324" i="119"/>
  <c r="S324" i="119"/>
  <c r="R324" i="119"/>
  <c r="AH324" i="119" s="1"/>
  <c r="S323" i="119"/>
  <c r="S337" i="119" s="1"/>
  <c r="Q323" i="119"/>
  <c r="AH323" i="119" s="1"/>
  <c r="AH322" i="119"/>
  <c r="R322" i="119"/>
  <c r="R323" i="119" s="1"/>
  <c r="Q322" i="119"/>
  <c r="P322" i="119"/>
  <c r="Q321" i="119"/>
  <c r="Q337" i="119" s="1"/>
  <c r="P320" i="119"/>
  <c r="P321" i="119" s="1"/>
  <c r="O320" i="119"/>
  <c r="O321" i="119" s="1"/>
  <c r="AH321" i="119" s="1"/>
  <c r="N320" i="119"/>
  <c r="AH320" i="119" s="1"/>
  <c r="AH319" i="119"/>
  <c r="O319" i="119"/>
  <c r="O337" i="119" s="1"/>
  <c r="N319" i="119"/>
  <c r="N318" i="119"/>
  <c r="M318" i="119"/>
  <c r="M319" i="119" s="1"/>
  <c r="M317" i="119"/>
  <c r="M337" i="119" s="1"/>
  <c r="L317" i="119"/>
  <c r="L318" i="119" s="1"/>
  <c r="AH318" i="119" s="1"/>
  <c r="K317" i="119"/>
  <c r="AH317" i="119" s="1"/>
  <c r="AH316" i="119"/>
  <c r="L316" i="119"/>
  <c r="K315" i="119"/>
  <c r="K316" i="119" s="1"/>
  <c r="J314" i="119"/>
  <c r="J315" i="119" s="1"/>
  <c r="J316" i="119" s="1"/>
  <c r="I313" i="119"/>
  <c r="G313" i="119"/>
  <c r="AH313" i="119" s="1"/>
  <c r="H312" i="119"/>
  <c r="G312" i="119"/>
  <c r="G311" i="119"/>
  <c r="G337" i="119" s="1"/>
  <c r="E311" i="119"/>
  <c r="AH311" i="119" s="1"/>
  <c r="C311" i="119"/>
  <c r="C312" i="119" s="1"/>
  <c r="C313" i="119" s="1"/>
  <c r="C314" i="119" s="1"/>
  <c r="C315" i="119" s="1"/>
  <c r="C316" i="119" s="1"/>
  <c r="C317" i="119" s="1"/>
  <c r="C318" i="119" s="1"/>
  <c r="C319" i="119" s="1"/>
  <c r="C320" i="119" s="1"/>
  <c r="C321" i="119" s="1"/>
  <c r="C322" i="119" s="1"/>
  <c r="C323" i="119" s="1"/>
  <c r="C324" i="119" s="1"/>
  <c r="C325" i="119" s="1"/>
  <c r="C326" i="119" s="1"/>
  <c r="C327" i="119" s="1"/>
  <c r="C328" i="119" s="1"/>
  <c r="C329" i="119" s="1"/>
  <c r="C330" i="119" s="1"/>
  <c r="C331" i="119" s="1"/>
  <c r="C332" i="119" s="1"/>
  <c r="C333" i="119" s="1"/>
  <c r="C334" i="119" s="1"/>
  <c r="C335" i="119" s="1"/>
  <c r="C336" i="119" s="1"/>
  <c r="F310" i="119"/>
  <c r="F311" i="119" s="1"/>
  <c r="F312" i="119" s="1"/>
  <c r="AH312" i="119" s="1"/>
  <c r="E310" i="119"/>
  <c r="E309" i="119"/>
  <c r="D308" i="119"/>
  <c r="AH307" i="119"/>
  <c r="C307" i="119"/>
  <c r="C308" i="119" s="1"/>
  <c r="C309" i="119" s="1"/>
  <c r="C310" i="119" s="1"/>
  <c r="AH306" i="119"/>
  <c r="H305" i="119"/>
  <c r="I305" i="119" s="1"/>
  <c r="J305" i="119" s="1"/>
  <c r="K305" i="119" s="1"/>
  <c r="L305" i="119" s="1"/>
  <c r="M305" i="119" s="1"/>
  <c r="N305" i="119" s="1"/>
  <c r="O305" i="119" s="1"/>
  <c r="P305" i="119" s="1"/>
  <c r="Q305" i="119" s="1"/>
  <c r="R305" i="119" s="1"/>
  <c r="S305" i="119" s="1"/>
  <c r="T305" i="119" s="1"/>
  <c r="U305" i="119" s="1"/>
  <c r="V305" i="119" s="1"/>
  <c r="W305" i="119" s="1"/>
  <c r="X305" i="119" s="1"/>
  <c r="Y305" i="119" s="1"/>
  <c r="Z305" i="119" s="1"/>
  <c r="AA305" i="119" s="1"/>
  <c r="AB305" i="119" s="1"/>
  <c r="AC305" i="119" s="1"/>
  <c r="AD305" i="119" s="1"/>
  <c r="AE305" i="119" s="1"/>
  <c r="AF305" i="119" s="1"/>
  <c r="AG305" i="119" s="1"/>
  <c r="F305" i="119"/>
  <c r="G305" i="119" s="1"/>
  <c r="E305" i="119"/>
  <c r="AH304" i="119"/>
  <c r="B304" i="119" s="1"/>
  <c r="AG299" i="119"/>
  <c r="AF299" i="119"/>
  <c r="AD299" i="119"/>
  <c r="U299" i="119"/>
  <c r="T299" i="119"/>
  <c r="R299" i="119"/>
  <c r="P299" i="119"/>
  <c r="I299" i="119"/>
  <c r="H299" i="119"/>
  <c r="G299" i="119"/>
  <c r="F299" i="119"/>
  <c r="AH298" i="119"/>
  <c r="AG298" i="119"/>
  <c r="AF298" i="119"/>
  <c r="AE297" i="119"/>
  <c r="AE298" i="119" s="1"/>
  <c r="AD297" i="119"/>
  <c r="AD298" i="119" s="1"/>
  <c r="AB297" i="119"/>
  <c r="AB298" i="119" s="1"/>
  <c r="AD296" i="119"/>
  <c r="AC296" i="119"/>
  <c r="AC297" i="119" s="1"/>
  <c r="AC298" i="119" s="1"/>
  <c r="AC295" i="119"/>
  <c r="AC299" i="119" s="1"/>
  <c r="AB295" i="119"/>
  <c r="AB296" i="119" s="1"/>
  <c r="AB294" i="119"/>
  <c r="AB299" i="119" s="1"/>
  <c r="AA294" i="119"/>
  <c r="AA295" i="119" s="1"/>
  <c r="AA296" i="119" s="1"/>
  <c r="AA297" i="119" s="1"/>
  <c r="AH297" i="119" s="1"/>
  <c r="Z294" i="119"/>
  <c r="Z295" i="119" s="1"/>
  <c r="Z296" i="119" s="1"/>
  <c r="AH296" i="119" s="1"/>
  <c r="Y294" i="119"/>
  <c r="Y295" i="119" s="1"/>
  <c r="AH295" i="119" s="1"/>
  <c r="AA293" i="119"/>
  <c r="AA299" i="119" s="1"/>
  <c r="Z292" i="119"/>
  <c r="Z293" i="119" s="1"/>
  <c r="Y292" i="119"/>
  <c r="Y293" i="119" s="1"/>
  <c r="Y291" i="119"/>
  <c r="Y299" i="119" s="1"/>
  <c r="X290" i="119"/>
  <c r="U290" i="119"/>
  <c r="U291" i="119" s="1"/>
  <c r="AH291" i="119" s="1"/>
  <c r="W289" i="119"/>
  <c r="S289" i="119"/>
  <c r="AH289" i="119" s="1"/>
  <c r="V288" i="119"/>
  <c r="V289" i="119" s="1"/>
  <c r="V290" i="119" s="1"/>
  <c r="V291" i="119" s="1"/>
  <c r="V292" i="119" s="1"/>
  <c r="AH292" i="119" s="1"/>
  <c r="U288" i="119"/>
  <c r="U289" i="119" s="1"/>
  <c r="U287" i="119"/>
  <c r="T287" i="119"/>
  <c r="T288" i="119" s="1"/>
  <c r="T289" i="119" s="1"/>
  <c r="T290" i="119" s="1"/>
  <c r="AH290" i="119" s="1"/>
  <c r="R287" i="119"/>
  <c r="R288" i="119" s="1"/>
  <c r="AH288" i="119" s="1"/>
  <c r="T286" i="119"/>
  <c r="S285" i="119"/>
  <c r="S286" i="119" s="1"/>
  <c r="S287" i="119" s="1"/>
  <c r="S288" i="119" s="1"/>
  <c r="R285" i="119"/>
  <c r="R286" i="119" s="1"/>
  <c r="R284" i="119"/>
  <c r="P284" i="119"/>
  <c r="P285" i="119" s="1"/>
  <c r="P286" i="119" s="1"/>
  <c r="AH286" i="119" s="1"/>
  <c r="AH283" i="119"/>
  <c r="Q283" i="119"/>
  <c r="P283" i="119"/>
  <c r="P282" i="119"/>
  <c r="M282" i="119"/>
  <c r="M283" i="119" s="1"/>
  <c r="O281" i="119"/>
  <c r="C281" i="119"/>
  <c r="C282" i="119" s="1"/>
  <c r="C283" i="119" s="1"/>
  <c r="C284" i="119" s="1"/>
  <c r="C285" i="119" s="1"/>
  <c r="C286" i="119" s="1"/>
  <c r="C287" i="119" s="1"/>
  <c r="C288" i="119" s="1"/>
  <c r="C289" i="119" s="1"/>
  <c r="C290" i="119" s="1"/>
  <c r="C291" i="119" s="1"/>
  <c r="C292" i="119" s="1"/>
  <c r="C293" i="119" s="1"/>
  <c r="C294" i="119" s="1"/>
  <c r="C295" i="119" s="1"/>
  <c r="C296" i="119" s="1"/>
  <c r="C297" i="119" s="1"/>
  <c r="C298" i="119" s="1"/>
  <c r="N280" i="119"/>
  <c r="M280" i="119"/>
  <c r="M281" i="119" s="1"/>
  <c r="M279" i="119"/>
  <c r="M299" i="119" s="1"/>
  <c r="L278" i="119"/>
  <c r="J278" i="119"/>
  <c r="J279" i="119" s="1"/>
  <c r="J280" i="119" s="1"/>
  <c r="AH280" i="119" s="1"/>
  <c r="K277" i="119"/>
  <c r="J277" i="119"/>
  <c r="I277" i="119"/>
  <c r="I278" i="119" s="1"/>
  <c r="I279" i="119" s="1"/>
  <c r="AH279" i="119" s="1"/>
  <c r="H277" i="119"/>
  <c r="H278" i="119" s="1"/>
  <c r="AH278" i="119" s="1"/>
  <c r="G277" i="119"/>
  <c r="AH277" i="119" s="1"/>
  <c r="AH276" i="119"/>
  <c r="J276" i="119"/>
  <c r="J299" i="119" s="1"/>
  <c r="I275" i="119"/>
  <c r="I276" i="119" s="1"/>
  <c r="H275" i="119"/>
  <c r="H276" i="119" s="1"/>
  <c r="H274" i="119"/>
  <c r="G273" i="119"/>
  <c r="G274" i="119" s="1"/>
  <c r="G275" i="119" s="1"/>
  <c r="G276" i="119" s="1"/>
  <c r="F273" i="119"/>
  <c r="F274" i="119" s="1"/>
  <c r="F275" i="119" s="1"/>
  <c r="F276" i="119" s="1"/>
  <c r="F272" i="119"/>
  <c r="C272" i="119"/>
  <c r="C273" i="119" s="1"/>
  <c r="C274" i="119" s="1"/>
  <c r="C275" i="119" s="1"/>
  <c r="C276" i="119" s="1"/>
  <c r="C277" i="119" s="1"/>
  <c r="C278" i="119" s="1"/>
  <c r="C279" i="119" s="1"/>
  <c r="C280" i="119" s="1"/>
  <c r="E271" i="119"/>
  <c r="E272" i="119" s="1"/>
  <c r="E273" i="119" s="1"/>
  <c r="E274" i="119" s="1"/>
  <c r="E275" i="119" s="1"/>
  <c r="AH275" i="119" s="1"/>
  <c r="D270" i="119"/>
  <c r="C270" i="119"/>
  <c r="C271" i="119" s="1"/>
  <c r="AH269" i="119"/>
  <c r="C269" i="119"/>
  <c r="AH268" i="119"/>
  <c r="I267" i="119"/>
  <c r="J267" i="119" s="1"/>
  <c r="K267" i="119" s="1"/>
  <c r="L267" i="119" s="1"/>
  <c r="M267" i="119" s="1"/>
  <c r="N267" i="119" s="1"/>
  <c r="O267" i="119" s="1"/>
  <c r="P267" i="119" s="1"/>
  <c r="Q267" i="119" s="1"/>
  <c r="R267" i="119" s="1"/>
  <c r="S267" i="119" s="1"/>
  <c r="T267" i="119" s="1"/>
  <c r="U267" i="119" s="1"/>
  <c r="V267" i="119" s="1"/>
  <c r="W267" i="119" s="1"/>
  <c r="X267" i="119" s="1"/>
  <c r="Y267" i="119" s="1"/>
  <c r="Z267" i="119" s="1"/>
  <c r="AA267" i="119" s="1"/>
  <c r="AB267" i="119" s="1"/>
  <c r="AC267" i="119" s="1"/>
  <c r="AD267" i="119" s="1"/>
  <c r="AE267" i="119" s="1"/>
  <c r="AF267" i="119" s="1"/>
  <c r="AG267" i="119" s="1"/>
  <c r="H267" i="119"/>
  <c r="E267" i="119"/>
  <c r="F267" i="119" s="1"/>
  <c r="G267" i="119" s="1"/>
  <c r="AH266" i="119"/>
  <c r="B266" i="119" s="1"/>
  <c r="AC261" i="119"/>
  <c r="Z261" i="119"/>
  <c r="X261" i="119"/>
  <c r="W261" i="119"/>
  <c r="V261" i="119"/>
  <c r="N261" i="119"/>
  <c r="L261" i="119"/>
  <c r="J261" i="119"/>
  <c r="E261" i="119"/>
  <c r="D261" i="119"/>
  <c r="AG260" i="119"/>
  <c r="AG261" i="119" s="1"/>
  <c r="AF260" i="119"/>
  <c r="AF261" i="119" s="1"/>
  <c r="AE259" i="119"/>
  <c r="AD259" i="119"/>
  <c r="AD260" i="119" s="1"/>
  <c r="AD258" i="119"/>
  <c r="AD261" i="119" s="1"/>
  <c r="AC257" i="119"/>
  <c r="AC258" i="119" s="1"/>
  <c r="AC259" i="119" s="1"/>
  <c r="AC260" i="119" s="1"/>
  <c r="AB256" i="119"/>
  <c r="AA255" i="119"/>
  <c r="AA261" i="119" s="1"/>
  <c r="Z255" i="119"/>
  <c r="Z256" i="119" s="1"/>
  <c r="Z257" i="119" s="1"/>
  <c r="Z258" i="119" s="1"/>
  <c r="Z259" i="119" s="1"/>
  <c r="Z260" i="119" s="1"/>
  <c r="AH260" i="119" s="1"/>
  <c r="Z254" i="119"/>
  <c r="X254" i="119"/>
  <c r="X255" i="119" s="1"/>
  <c r="X256" i="119" s="1"/>
  <c r="X257" i="119" s="1"/>
  <c r="X258" i="119" s="1"/>
  <c r="AH258" i="119" s="1"/>
  <c r="V254" i="119"/>
  <c r="V255" i="119" s="1"/>
  <c r="V256" i="119" s="1"/>
  <c r="AH256" i="119" s="1"/>
  <c r="C254" i="119"/>
  <c r="C255" i="119" s="1"/>
  <c r="C256" i="119" s="1"/>
  <c r="C257" i="119" s="1"/>
  <c r="C258" i="119" s="1"/>
  <c r="C259" i="119" s="1"/>
  <c r="C260" i="119" s="1"/>
  <c r="Y253" i="119"/>
  <c r="X252" i="119"/>
  <c r="X253" i="119" s="1"/>
  <c r="W252" i="119"/>
  <c r="W253" i="119" s="1"/>
  <c r="W254" i="119" s="1"/>
  <c r="W255" i="119" s="1"/>
  <c r="W256" i="119" s="1"/>
  <c r="W257" i="119" s="1"/>
  <c r="AH257" i="119" s="1"/>
  <c r="V252" i="119"/>
  <c r="V253" i="119" s="1"/>
  <c r="W251" i="119"/>
  <c r="V251" i="119"/>
  <c r="Q251" i="119"/>
  <c r="AH251" i="119" s="1"/>
  <c r="V250" i="119"/>
  <c r="C250" i="119"/>
  <c r="C251" i="119" s="1"/>
  <c r="C252" i="119" s="1"/>
  <c r="C253" i="119" s="1"/>
  <c r="U249" i="119"/>
  <c r="T248" i="119"/>
  <c r="S247" i="119"/>
  <c r="R247" i="119"/>
  <c r="R248" i="119" s="1"/>
  <c r="R249" i="119" s="1"/>
  <c r="R250" i="119" s="1"/>
  <c r="R251" i="119" s="1"/>
  <c r="R252" i="119" s="1"/>
  <c r="AH252" i="119" s="1"/>
  <c r="R246" i="119"/>
  <c r="R261" i="119" s="1"/>
  <c r="Q245" i="119"/>
  <c r="Q246" i="119" s="1"/>
  <c r="Q247" i="119" s="1"/>
  <c r="Q248" i="119" s="1"/>
  <c r="Q249" i="119" s="1"/>
  <c r="Q250" i="119" s="1"/>
  <c r="P244" i="119"/>
  <c r="O243" i="119"/>
  <c r="N243" i="119"/>
  <c r="N244" i="119" s="1"/>
  <c r="N245" i="119" s="1"/>
  <c r="N246" i="119" s="1"/>
  <c r="N247" i="119" s="1"/>
  <c r="N248" i="119" s="1"/>
  <c r="AH248" i="119" s="1"/>
  <c r="N242" i="119"/>
  <c r="L242" i="119"/>
  <c r="L243" i="119" s="1"/>
  <c r="L244" i="119" s="1"/>
  <c r="L245" i="119" s="1"/>
  <c r="L246" i="119" s="1"/>
  <c r="AH246" i="119" s="1"/>
  <c r="M241" i="119"/>
  <c r="L240" i="119"/>
  <c r="L241" i="119" s="1"/>
  <c r="J240" i="119"/>
  <c r="J241" i="119" s="1"/>
  <c r="J242" i="119" s="1"/>
  <c r="J243" i="119" s="1"/>
  <c r="J244" i="119" s="1"/>
  <c r="AH244" i="119" s="1"/>
  <c r="K239" i="119"/>
  <c r="J239" i="119"/>
  <c r="H239" i="119"/>
  <c r="H240" i="119" s="1"/>
  <c r="H241" i="119" s="1"/>
  <c r="H242" i="119" s="1"/>
  <c r="AH242" i="119" s="1"/>
  <c r="J238" i="119"/>
  <c r="I237" i="119"/>
  <c r="H237" i="119"/>
  <c r="H238" i="119" s="1"/>
  <c r="H236" i="119"/>
  <c r="H261" i="119" s="1"/>
  <c r="G236" i="119"/>
  <c r="G237" i="119" s="1"/>
  <c r="G238" i="119" s="1"/>
  <c r="G239" i="119" s="1"/>
  <c r="G240" i="119" s="1"/>
  <c r="G241" i="119" s="1"/>
  <c r="AH241" i="119" s="1"/>
  <c r="E236" i="119"/>
  <c r="E237" i="119" s="1"/>
  <c r="E238" i="119" s="1"/>
  <c r="E239" i="119" s="1"/>
  <c r="AH239" i="119" s="1"/>
  <c r="G235" i="119"/>
  <c r="G261" i="119" s="1"/>
  <c r="E235" i="119"/>
  <c r="D235" i="119"/>
  <c r="AH234" i="119"/>
  <c r="F234" i="119"/>
  <c r="E234" i="119"/>
  <c r="D234" i="119"/>
  <c r="AH233" i="119"/>
  <c r="E233" i="119"/>
  <c r="AH232" i="119"/>
  <c r="D232" i="119"/>
  <c r="D233" i="119" s="1"/>
  <c r="C232" i="119"/>
  <c r="C233" i="119" s="1"/>
  <c r="C234" i="119" s="1"/>
  <c r="C235" i="119" s="1"/>
  <c r="C236" i="119" s="1"/>
  <c r="C237" i="119" s="1"/>
  <c r="C238" i="119" s="1"/>
  <c r="C239" i="119" s="1"/>
  <c r="C240" i="119" s="1"/>
  <c r="C241" i="119" s="1"/>
  <c r="C242" i="119" s="1"/>
  <c r="C243" i="119" s="1"/>
  <c r="C244" i="119" s="1"/>
  <c r="C245" i="119" s="1"/>
  <c r="C246" i="119" s="1"/>
  <c r="C247" i="119" s="1"/>
  <c r="C248" i="119" s="1"/>
  <c r="C249" i="119" s="1"/>
  <c r="AH231" i="119"/>
  <c r="C231" i="119"/>
  <c r="AH230" i="119"/>
  <c r="G229" i="119"/>
  <c r="H229" i="119" s="1"/>
  <c r="I229" i="119" s="1"/>
  <c r="J229" i="119" s="1"/>
  <c r="K229" i="119" s="1"/>
  <c r="L229" i="119" s="1"/>
  <c r="M229" i="119" s="1"/>
  <c r="N229" i="119" s="1"/>
  <c r="O229" i="119" s="1"/>
  <c r="P229" i="119" s="1"/>
  <c r="Q229" i="119" s="1"/>
  <c r="R229" i="119" s="1"/>
  <c r="S229" i="119" s="1"/>
  <c r="T229" i="119" s="1"/>
  <c r="U229" i="119" s="1"/>
  <c r="V229" i="119" s="1"/>
  <c r="W229" i="119" s="1"/>
  <c r="X229" i="119" s="1"/>
  <c r="Y229" i="119" s="1"/>
  <c r="Z229" i="119" s="1"/>
  <c r="AA229" i="119" s="1"/>
  <c r="AB229" i="119" s="1"/>
  <c r="AC229" i="119" s="1"/>
  <c r="AD229" i="119" s="1"/>
  <c r="AE229" i="119" s="1"/>
  <c r="AF229" i="119" s="1"/>
  <c r="AG229" i="119" s="1"/>
  <c r="F229" i="119"/>
  <c r="E229" i="119"/>
  <c r="AH228" i="119"/>
  <c r="B228" i="119"/>
  <c r="AG225" i="119"/>
  <c r="AF225" i="119"/>
  <c r="AE225" i="119"/>
  <c r="AD225" i="119"/>
  <c r="AC225" i="119"/>
  <c r="AB225" i="119"/>
  <c r="AA225" i="119"/>
  <c r="W225" i="119"/>
  <c r="V225" i="119"/>
  <c r="U225" i="119"/>
  <c r="T225" i="119"/>
  <c r="S225" i="119"/>
  <c r="P225" i="119"/>
  <c r="K225" i="119"/>
  <c r="H225" i="119"/>
  <c r="E225" i="119"/>
  <c r="D225" i="119"/>
  <c r="AG224" i="119"/>
  <c r="AF224" i="119"/>
  <c r="AE223" i="119"/>
  <c r="AE224" i="119" s="1"/>
  <c r="AB223" i="119"/>
  <c r="AB224" i="119" s="1"/>
  <c r="AD222" i="119"/>
  <c r="AD223" i="119" s="1"/>
  <c r="AD224" i="119" s="1"/>
  <c r="AB222" i="119"/>
  <c r="AA222" i="119"/>
  <c r="AA223" i="119" s="1"/>
  <c r="AA224" i="119" s="1"/>
  <c r="AC221" i="119"/>
  <c r="AC222" i="119" s="1"/>
  <c r="AC223" i="119" s="1"/>
  <c r="AC224" i="119" s="1"/>
  <c r="AA221" i="119"/>
  <c r="AB220" i="119"/>
  <c r="AB221" i="119" s="1"/>
  <c r="AA219" i="119"/>
  <c r="AA220" i="119" s="1"/>
  <c r="Z218" i="119"/>
  <c r="Z225" i="119" s="1"/>
  <c r="Y217" i="119"/>
  <c r="Y225" i="119" s="1"/>
  <c r="V217" i="119"/>
  <c r="V218" i="119" s="1"/>
  <c r="V219" i="119" s="1"/>
  <c r="V220" i="119" s="1"/>
  <c r="V221" i="119" s="1"/>
  <c r="V222" i="119" s="1"/>
  <c r="V223" i="119" s="1"/>
  <c r="AH223" i="119" s="1"/>
  <c r="X216" i="119"/>
  <c r="X225" i="119" s="1"/>
  <c r="Q216" i="119"/>
  <c r="Q217" i="119" s="1"/>
  <c r="Q218" i="119" s="1"/>
  <c r="AH218" i="119" s="1"/>
  <c r="W215" i="119"/>
  <c r="W216" i="119" s="1"/>
  <c r="W217" i="119" s="1"/>
  <c r="W218" i="119" s="1"/>
  <c r="W219" i="119" s="1"/>
  <c r="W220" i="119" s="1"/>
  <c r="W221" i="119" s="1"/>
  <c r="W222" i="119" s="1"/>
  <c r="W223" i="119" s="1"/>
  <c r="W224" i="119" s="1"/>
  <c r="AH224" i="119" s="1"/>
  <c r="S215" i="119"/>
  <c r="S216" i="119" s="1"/>
  <c r="S217" i="119" s="1"/>
  <c r="S218" i="119" s="1"/>
  <c r="S219" i="119" s="1"/>
  <c r="S220" i="119" s="1"/>
  <c r="AH220" i="119" s="1"/>
  <c r="V214" i="119"/>
  <c r="V215" i="119" s="1"/>
  <c r="V216" i="119" s="1"/>
  <c r="T214" i="119"/>
  <c r="T215" i="119" s="1"/>
  <c r="T216" i="119" s="1"/>
  <c r="T217" i="119" s="1"/>
  <c r="T218" i="119" s="1"/>
  <c r="T219" i="119" s="1"/>
  <c r="T220" i="119" s="1"/>
  <c r="T221" i="119" s="1"/>
  <c r="AH221" i="119" s="1"/>
  <c r="U213" i="119"/>
  <c r="U214" i="119" s="1"/>
  <c r="U215" i="119" s="1"/>
  <c r="U216" i="119" s="1"/>
  <c r="U217" i="119" s="1"/>
  <c r="U218" i="119" s="1"/>
  <c r="U219" i="119" s="1"/>
  <c r="U220" i="119" s="1"/>
  <c r="U221" i="119" s="1"/>
  <c r="U222" i="119" s="1"/>
  <c r="AH222" i="119" s="1"/>
  <c r="S213" i="119"/>
  <c r="S214" i="119" s="1"/>
  <c r="T212" i="119"/>
  <c r="T213" i="119" s="1"/>
  <c r="O212" i="119"/>
  <c r="O213" i="119" s="1"/>
  <c r="O214" i="119" s="1"/>
  <c r="O215" i="119" s="1"/>
  <c r="O216" i="119" s="1"/>
  <c r="AH216" i="119" s="1"/>
  <c r="M212" i="119"/>
  <c r="M213" i="119" s="1"/>
  <c r="M214" i="119" s="1"/>
  <c r="AH214" i="119" s="1"/>
  <c r="S211" i="119"/>
  <c r="S212" i="119" s="1"/>
  <c r="Q211" i="119"/>
  <c r="Q212" i="119" s="1"/>
  <c r="Q213" i="119" s="1"/>
  <c r="Q214" i="119" s="1"/>
  <c r="Q215" i="119" s="1"/>
  <c r="R210" i="119"/>
  <c r="P210" i="119"/>
  <c r="P211" i="119" s="1"/>
  <c r="P212" i="119" s="1"/>
  <c r="P213" i="119" s="1"/>
  <c r="P214" i="119" s="1"/>
  <c r="P215" i="119" s="1"/>
  <c r="P216" i="119" s="1"/>
  <c r="P217" i="119" s="1"/>
  <c r="AH217" i="119" s="1"/>
  <c r="Q209" i="119"/>
  <c r="Q210" i="119" s="1"/>
  <c r="O209" i="119"/>
  <c r="O210" i="119" s="1"/>
  <c r="O211" i="119" s="1"/>
  <c r="P208" i="119"/>
  <c r="P209" i="119" s="1"/>
  <c r="M208" i="119"/>
  <c r="M209" i="119" s="1"/>
  <c r="M210" i="119" s="1"/>
  <c r="M211" i="119" s="1"/>
  <c r="L208" i="119"/>
  <c r="L209" i="119" s="1"/>
  <c r="L210" i="119" s="1"/>
  <c r="L211" i="119" s="1"/>
  <c r="L212" i="119" s="1"/>
  <c r="L213" i="119" s="1"/>
  <c r="AH213" i="119" s="1"/>
  <c r="O207" i="119"/>
  <c r="O208" i="119" s="1"/>
  <c r="N207" i="119"/>
  <c r="N208" i="119" s="1"/>
  <c r="N209" i="119" s="1"/>
  <c r="N210" i="119" s="1"/>
  <c r="N211" i="119" s="1"/>
  <c r="N212" i="119" s="1"/>
  <c r="N213" i="119" s="1"/>
  <c r="N214" i="119" s="1"/>
  <c r="N215" i="119" s="1"/>
  <c r="AH215" i="119" s="1"/>
  <c r="N206" i="119"/>
  <c r="N225" i="119" s="1"/>
  <c r="M206" i="119"/>
  <c r="M207" i="119" s="1"/>
  <c r="M205" i="119"/>
  <c r="M225" i="119" s="1"/>
  <c r="L205" i="119"/>
  <c r="L206" i="119" s="1"/>
  <c r="L207" i="119" s="1"/>
  <c r="L204" i="119"/>
  <c r="L225" i="119" s="1"/>
  <c r="I204" i="119"/>
  <c r="I205" i="119" s="1"/>
  <c r="I206" i="119" s="1"/>
  <c r="I207" i="119" s="1"/>
  <c r="I208" i="119" s="1"/>
  <c r="I209" i="119" s="1"/>
  <c r="I210" i="119" s="1"/>
  <c r="AH210" i="119" s="1"/>
  <c r="E204" i="119"/>
  <c r="E205" i="119" s="1"/>
  <c r="E206" i="119" s="1"/>
  <c r="AH206" i="119" s="1"/>
  <c r="K203" i="119"/>
  <c r="K204" i="119" s="1"/>
  <c r="K205" i="119" s="1"/>
  <c r="K206" i="119" s="1"/>
  <c r="K207" i="119" s="1"/>
  <c r="K208" i="119" s="1"/>
  <c r="K209" i="119" s="1"/>
  <c r="K210" i="119" s="1"/>
  <c r="K211" i="119" s="1"/>
  <c r="K212" i="119" s="1"/>
  <c r="AH212" i="119" s="1"/>
  <c r="E203" i="119"/>
  <c r="J202" i="119"/>
  <c r="I202" i="119"/>
  <c r="I203" i="119" s="1"/>
  <c r="I201" i="119"/>
  <c r="I225" i="119" s="1"/>
  <c r="H201" i="119"/>
  <c r="H202" i="119" s="1"/>
  <c r="H203" i="119" s="1"/>
  <c r="H204" i="119" s="1"/>
  <c r="H205" i="119" s="1"/>
  <c r="H206" i="119" s="1"/>
  <c r="H207" i="119" s="1"/>
  <c r="H208" i="119" s="1"/>
  <c r="H209" i="119" s="1"/>
  <c r="AH209" i="119" s="1"/>
  <c r="H200" i="119"/>
  <c r="G199" i="119"/>
  <c r="F198" i="119"/>
  <c r="E198" i="119"/>
  <c r="E199" i="119" s="1"/>
  <c r="E200" i="119" s="1"/>
  <c r="E201" i="119" s="1"/>
  <c r="E202" i="119" s="1"/>
  <c r="D198" i="119"/>
  <c r="C198" i="119"/>
  <c r="C199" i="119" s="1"/>
  <c r="C200" i="119" s="1"/>
  <c r="C201" i="119" s="1"/>
  <c r="C202" i="119" s="1"/>
  <c r="C203" i="119" s="1"/>
  <c r="C204" i="119" s="1"/>
  <c r="C205" i="119" s="1"/>
  <c r="C206" i="119" s="1"/>
  <c r="C207" i="119" s="1"/>
  <c r="C208" i="119" s="1"/>
  <c r="C209" i="119" s="1"/>
  <c r="C210" i="119" s="1"/>
  <c r="C211" i="119" s="1"/>
  <c r="C212" i="119" s="1"/>
  <c r="C213" i="119" s="1"/>
  <c r="C214" i="119" s="1"/>
  <c r="C215" i="119" s="1"/>
  <c r="C216" i="119" s="1"/>
  <c r="C217" i="119" s="1"/>
  <c r="C218" i="119" s="1"/>
  <c r="C219" i="119" s="1"/>
  <c r="C220" i="119" s="1"/>
  <c r="C221" i="119" s="1"/>
  <c r="C222" i="119" s="1"/>
  <c r="C223" i="119" s="1"/>
  <c r="C224" i="119" s="1"/>
  <c r="E197" i="119"/>
  <c r="D197" i="119"/>
  <c r="AH197" i="119" s="1"/>
  <c r="AH196" i="119"/>
  <c r="D196" i="119"/>
  <c r="AH195" i="119"/>
  <c r="C195" i="119"/>
  <c r="C196" i="119" s="1"/>
  <c r="C197" i="119" s="1"/>
  <c r="AH194" i="119"/>
  <c r="G193" i="119"/>
  <c r="H193" i="119" s="1"/>
  <c r="I193" i="119" s="1"/>
  <c r="J193" i="119" s="1"/>
  <c r="K193" i="119" s="1"/>
  <c r="L193" i="119" s="1"/>
  <c r="M193" i="119" s="1"/>
  <c r="N193" i="119" s="1"/>
  <c r="O193" i="119" s="1"/>
  <c r="P193" i="119" s="1"/>
  <c r="Q193" i="119" s="1"/>
  <c r="R193" i="119" s="1"/>
  <c r="S193" i="119" s="1"/>
  <c r="T193" i="119" s="1"/>
  <c r="U193" i="119" s="1"/>
  <c r="V193" i="119" s="1"/>
  <c r="W193" i="119" s="1"/>
  <c r="X193" i="119" s="1"/>
  <c r="Y193" i="119" s="1"/>
  <c r="Z193" i="119" s="1"/>
  <c r="AA193" i="119" s="1"/>
  <c r="AB193" i="119" s="1"/>
  <c r="AC193" i="119" s="1"/>
  <c r="AD193" i="119" s="1"/>
  <c r="AE193" i="119" s="1"/>
  <c r="AF193" i="119" s="1"/>
  <c r="AG193" i="119" s="1"/>
  <c r="F193" i="119"/>
  <c r="E193" i="119"/>
  <c r="AH192" i="119"/>
  <c r="B192" i="119" s="1"/>
  <c r="AC188" i="119"/>
  <c r="AB188" i="119"/>
  <c r="Z188" i="119"/>
  <c r="Y188" i="119"/>
  <c r="X188" i="119"/>
  <c r="W188" i="119"/>
  <c r="U188" i="119"/>
  <c r="P188" i="119"/>
  <c r="O188" i="119"/>
  <c r="N188" i="119"/>
  <c r="I188" i="119"/>
  <c r="G188" i="119"/>
  <c r="F188" i="119"/>
  <c r="AG187" i="119"/>
  <c r="AG188" i="119" s="1"/>
  <c r="AF187" i="119"/>
  <c r="AF188" i="119" s="1"/>
  <c r="AE186" i="119"/>
  <c r="AC186" i="119"/>
  <c r="AC187" i="119" s="1"/>
  <c r="Z186" i="119"/>
  <c r="Z187" i="119" s="1"/>
  <c r="AD185" i="119"/>
  <c r="AB185" i="119"/>
  <c r="AB186" i="119" s="1"/>
  <c r="AB187" i="119" s="1"/>
  <c r="V185" i="119"/>
  <c r="V186" i="119" s="1"/>
  <c r="V187" i="119" s="1"/>
  <c r="AC184" i="119"/>
  <c r="AC185" i="119" s="1"/>
  <c r="AB184" i="119"/>
  <c r="AA184" i="119"/>
  <c r="AA185" i="119" s="1"/>
  <c r="AA186" i="119" s="1"/>
  <c r="AA187" i="119" s="1"/>
  <c r="Z184" i="119"/>
  <c r="Z185" i="119" s="1"/>
  <c r="AB183" i="119"/>
  <c r="AA183" i="119"/>
  <c r="Z183" i="119"/>
  <c r="W183" i="119"/>
  <c r="W184" i="119" s="1"/>
  <c r="W185" i="119" s="1"/>
  <c r="W186" i="119" s="1"/>
  <c r="W187" i="119" s="1"/>
  <c r="V183" i="119"/>
  <c r="V184" i="119" s="1"/>
  <c r="AA182" i="119"/>
  <c r="AA188" i="119" s="1"/>
  <c r="Z182" i="119"/>
  <c r="Z181" i="119"/>
  <c r="Y181" i="119"/>
  <c r="Y182" i="119" s="1"/>
  <c r="Y183" i="119" s="1"/>
  <c r="Y184" i="119" s="1"/>
  <c r="Y185" i="119" s="1"/>
  <c r="Y186" i="119" s="1"/>
  <c r="Y187" i="119" s="1"/>
  <c r="X181" i="119"/>
  <c r="X182" i="119" s="1"/>
  <c r="X183" i="119" s="1"/>
  <c r="X184" i="119" s="1"/>
  <c r="X185" i="119" s="1"/>
  <c r="X186" i="119" s="1"/>
  <c r="X187" i="119" s="1"/>
  <c r="V181" i="119"/>
  <c r="V182" i="119" s="1"/>
  <c r="Y180" i="119"/>
  <c r="W180" i="119"/>
  <c r="W181" i="119" s="1"/>
  <c r="W182" i="119" s="1"/>
  <c r="X179" i="119"/>
  <c r="X180" i="119" s="1"/>
  <c r="V179" i="119"/>
  <c r="V180" i="119" s="1"/>
  <c r="U179" i="119"/>
  <c r="U180" i="119" s="1"/>
  <c r="U181" i="119" s="1"/>
  <c r="U182" i="119" s="1"/>
  <c r="U183" i="119" s="1"/>
  <c r="U184" i="119" s="1"/>
  <c r="U185" i="119" s="1"/>
  <c r="U186" i="119" s="1"/>
  <c r="U187" i="119" s="1"/>
  <c r="AH187" i="119" s="1"/>
  <c r="W178" i="119"/>
  <c r="W179" i="119" s="1"/>
  <c r="V178" i="119"/>
  <c r="V177" i="119"/>
  <c r="V188" i="119" s="1"/>
  <c r="O177" i="119"/>
  <c r="O178" i="119" s="1"/>
  <c r="O179" i="119" s="1"/>
  <c r="O180" i="119" s="1"/>
  <c r="O181" i="119" s="1"/>
  <c r="AH181" i="119" s="1"/>
  <c r="U176" i="119"/>
  <c r="U177" i="119" s="1"/>
  <c r="U178" i="119" s="1"/>
  <c r="T175" i="119"/>
  <c r="M175" i="119"/>
  <c r="M176" i="119" s="1"/>
  <c r="M177" i="119" s="1"/>
  <c r="M178" i="119" s="1"/>
  <c r="M179" i="119" s="1"/>
  <c r="AH179" i="119" s="1"/>
  <c r="S174" i="119"/>
  <c r="S188" i="119" s="1"/>
  <c r="P174" i="119"/>
  <c r="P175" i="119" s="1"/>
  <c r="P176" i="119" s="1"/>
  <c r="P177" i="119" s="1"/>
  <c r="P178" i="119" s="1"/>
  <c r="P179" i="119" s="1"/>
  <c r="P180" i="119" s="1"/>
  <c r="P181" i="119" s="1"/>
  <c r="P182" i="119" s="1"/>
  <c r="AH182" i="119" s="1"/>
  <c r="N174" i="119"/>
  <c r="N175" i="119" s="1"/>
  <c r="N176" i="119" s="1"/>
  <c r="N177" i="119" s="1"/>
  <c r="N178" i="119" s="1"/>
  <c r="N179" i="119" s="1"/>
  <c r="N180" i="119" s="1"/>
  <c r="AH180" i="119" s="1"/>
  <c r="M174" i="119"/>
  <c r="R173" i="119"/>
  <c r="O173" i="119"/>
  <c r="O174" i="119" s="1"/>
  <c r="O175" i="119" s="1"/>
  <c r="O176" i="119" s="1"/>
  <c r="N173" i="119"/>
  <c r="Q172" i="119"/>
  <c r="P171" i="119"/>
  <c r="P172" i="119" s="1"/>
  <c r="P173" i="119" s="1"/>
  <c r="O170" i="119"/>
  <c r="O171" i="119" s="1"/>
  <c r="O172" i="119" s="1"/>
  <c r="M170" i="119"/>
  <c r="M171" i="119" s="1"/>
  <c r="M172" i="119" s="1"/>
  <c r="M173" i="119" s="1"/>
  <c r="G170" i="119"/>
  <c r="G171" i="119" s="1"/>
  <c r="G172" i="119" s="1"/>
  <c r="G173" i="119" s="1"/>
  <c r="AH173" i="119" s="1"/>
  <c r="N169" i="119"/>
  <c r="N170" i="119" s="1"/>
  <c r="N171" i="119" s="1"/>
  <c r="N172" i="119" s="1"/>
  <c r="M169" i="119"/>
  <c r="J169" i="119"/>
  <c r="J170" i="119" s="1"/>
  <c r="J171" i="119" s="1"/>
  <c r="J172" i="119" s="1"/>
  <c r="J173" i="119" s="1"/>
  <c r="J174" i="119" s="1"/>
  <c r="J175" i="119" s="1"/>
  <c r="J176" i="119" s="1"/>
  <c r="AH176" i="119" s="1"/>
  <c r="I169" i="119"/>
  <c r="I170" i="119" s="1"/>
  <c r="I171" i="119" s="1"/>
  <c r="I172" i="119" s="1"/>
  <c r="I173" i="119" s="1"/>
  <c r="I174" i="119" s="1"/>
  <c r="I175" i="119" s="1"/>
  <c r="AH175" i="119" s="1"/>
  <c r="G169" i="119"/>
  <c r="M168" i="119"/>
  <c r="M188" i="119" s="1"/>
  <c r="L167" i="119"/>
  <c r="K167" i="119"/>
  <c r="K168" i="119" s="1"/>
  <c r="K169" i="119" s="1"/>
  <c r="K170" i="119" s="1"/>
  <c r="K171" i="119" s="1"/>
  <c r="K172" i="119" s="1"/>
  <c r="K173" i="119" s="1"/>
  <c r="K174" i="119" s="1"/>
  <c r="K175" i="119" s="1"/>
  <c r="K176" i="119" s="1"/>
  <c r="K177" i="119" s="1"/>
  <c r="AH177" i="119" s="1"/>
  <c r="I167" i="119"/>
  <c r="I168" i="119" s="1"/>
  <c r="H167" i="119"/>
  <c r="H168" i="119" s="1"/>
  <c r="H169" i="119" s="1"/>
  <c r="H170" i="119" s="1"/>
  <c r="H171" i="119" s="1"/>
  <c r="H172" i="119" s="1"/>
  <c r="H173" i="119" s="1"/>
  <c r="H174" i="119" s="1"/>
  <c r="AH174" i="119" s="1"/>
  <c r="G167" i="119"/>
  <c r="G168" i="119" s="1"/>
  <c r="K166" i="119"/>
  <c r="K188" i="119" s="1"/>
  <c r="J166" i="119"/>
  <c r="J167" i="119" s="1"/>
  <c r="J168" i="119" s="1"/>
  <c r="I166" i="119"/>
  <c r="G166" i="119"/>
  <c r="J165" i="119"/>
  <c r="J188" i="119" s="1"/>
  <c r="F165" i="119"/>
  <c r="F166" i="119" s="1"/>
  <c r="F167" i="119" s="1"/>
  <c r="F168" i="119" s="1"/>
  <c r="F169" i="119" s="1"/>
  <c r="F170" i="119" s="1"/>
  <c r="F171" i="119" s="1"/>
  <c r="F172" i="119" s="1"/>
  <c r="AH172" i="119" s="1"/>
  <c r="I164" i="119"/>
  <c r="I165" i="119" s="1"/>
  <c r="H164" i="119"/>
  <c r="H165" i="119" s="1"/>
  <c r="H166" i="119" s="1"/>
  <c r="E164" i="119"/>
  <c r="E165" i="119" s="1"/>
  <c r="E166" i="119" s="1"/>
  <c r="E167" i="119" s="1"/>
  <c r="E168" i="119" s="1"/>
  <c r="E169" i="119" s="1"/>
  <c r="E170" i="119" s="1"/>
  <c r="E171" i="119" s="1"/>
  <c r="AH171" i="119" s="1"/>
  <c r="H163" i="119"/>
  <c r="H188" i="119" s="1"/>
  <c r="G163" i="119"/>
  <c r="G164" i="119" s="1"/>
  <c r="G165" i="119" s="1"/>
  <c r="F163" i="119"/>
  <c r="F164" i="119" s="1"/>
  <c r="E163" i="119"/>
  <c r="C163" i="119"/>
  <c r="C164" i="119" s="1"/>
  <c r="C165" i="119" s="1"/>
  <c r="C166" i="119" s="1"/>
  <c r="C167" i="119" s="1"/>
  <c r="C168" i="119" s="1"/>
  <c r="C169" i="119" s="1"/>
  <c r="C170" i="119" s="1"/>
  <c r="C171" i="119" s="1"/>
  <c r="C172" i="119" s="1"/>
  <c r="C173" i="119" s="1"/>
  <c r="C174" i="119" s="1"/>
  <c r="C175" i="119" s="1"/>
  <c r="C176" i="119" s="1"/>
  <c r="C177" i="119" s="1"/>
  <c r="C178" i="119" s="1"/>
  <c r="C179" i="119" s="1"/>
  <c r="C180" i="119" s="1"/>
  <c r="C181" i="119" s="1"/>
  <c r="C182" i="119" s="1"/>
  <c r="C183" i="119" s="1"/>
  <c r="C184" i="119" s="1"/>
  <c r="C185" i="119" s="1"/>
  <c r="C186" i="119" s="1"/>
  <c r="C187" i="119" s="1"/>
  <c r="G162" i="119"/>
  <c r="F162" i="119"/>
  <c r="E162" i="119"/>
  <c r="F161" i="119"/>
  <c r="E161" i="119"/>
  <c r="E160" i="119"/>
  <c r="E188" i="119" s="1"/>
  <c r="C160" i="119"/>
  <c r="C161" i="119" s="1"/>
  <c r="C162" i="119" s="1"/>
  <c r="D159" i="119"/>
  <c r="AH158" i="119"/>
  <c r="C158" i="119"/>
  <c r="C159" i="119" s="1"/>
  <c r="AH157" i="119"/>
  <c r="G156" i="119"/>
  <c r="H156" i="119" s="1"/>
  <c r="I156" i="119" s="1"/>
  <c r="J156" i="119" s="1"/>
  <c r="K156" i="119" s="1"/>
  <c r="L156" i="119" s="1"/>
  <c r="M156" i="119" s="1"/>
  <c r="N156" i="119" s="1"/>
  <c r="O156" i="119" s="1"/>
  <c r="P156" i="119" s="1"/>
  <c r="Q156" i="119" s="1"/>
  <c r="R156" i="119" s="1"/>
  <c r="S156" i="119" s="1"/>
  <c r="T156" i="119" s="1"/>
  <c r="U156" i="119" s="1"/>
  <c r="V156" i="119" s="1"/>
  <c r="W156" i="119" s="1"/>
  <c r="X156" i="119" s="1"/>
  <c r="Y156" i="119" s="1"/>
  <c r="Z156" i="119" s="1"/>
  <c r="AA156" i="119" s="1"/>
  <c r="AB156" i="119" s="1"/>
  <c r="AC156" i="119" s="1"/>
  <c r="AD156" i="119" s="1"/>
  <c r="AE156" i="119" s="1"/>
  <c r="AF156" i="119" s="1"/>
  <c r="AG156" i="119" s="1"/>
  <c r="E156" i="119"/>
  <c r="F156" i="119" s="1"/>
  <c r="AH155" i="119"/>
  <c r="B155" i="119" s="1"/>
  <c r="AG151" i="119"/>
  <c r="AF151" i="119"/>
  <c r="AD151" i="119"/>
  <c r="AC151" i="119"/>
  <c r="AB151" i="119"/>
  <c r="V151" i="119"/>
  <c r="T151" i="119"/>
  <c r="P151" i="119"/>
  <c r="F151" i="119"/>
  <c r="AF150" i="119"/>
  <c r="AD150" i="119"/>
  <c r="Y150" i="119"/>
  <c r="AE149" i="119"/>
  <c r="AD149" i="119"/>
  <c r="AB149" i="119"/>
  <c r="AB150" i="119" s="1"/>
  <c r="AD148" i="119"/>
  <c r="V148" i="119"/>
  <c r="V149" i="119" s="1"/>
  <c r="V150" i="119" s="1"/>
  <c r="AC147" i="119"/>
  <c r="AC148" i="119" s="1"/>
  <c r="AC149" i="119" s="1"/>
  <c r="AC150" i="119" s="1"/>
  <c r="AB147" i="119"/>
  <c r="AB148" i="119" s="1"/>
  <c r="AB146" i="119"/>
  <c r="AA146" i="119"/>
  <c r="AA147" i="119" s="1"/>
  <c r="AA148" i="119" s="1"/>
  <c r="AA149" i="119" s="1"/>
  <c r="AA150" i="119" s="1"/>
  <c r="Z146" i="119"/>
  <c r="Z147" i="119" s="1"/>
  <c r="Z148" i="119" s="1"/>
  <c r="Z149" i="119" s="1"/>
  <c r="Z150" i="119" s="1"/>
  <c r="AA145" i="119"/>
  <c r="AA151" i="119" s="1"/>
  <c r="Z145" i="119"/>
  <c r="Z144" i="119"/>
  <c r="Z151" i="119" s="1"/>
  <c r="Y144" i="119"/>
  <c r="Y145" i="119" s="1"/>
  <c r="Y146" i="119" s="1"/>
  <c r="Y147" i="119" s="1"/>
  <c r="Y148" i="119" s="1"/>
  <c r="Y149" i="119" s="1"/>
  <c r="Y143" i="119"/>
  <c r="Y151" i="119" s="1"/>
  <c r="T143" i="119"/>
  <c r="T144" i="119" s="1"/>
  <c r="T145" i="119" s="1"/>
  <c r="T146" i="119" s="1"/>
  <c r="T147" i="119" s="1"/>
  <c r="T148" i="119" s="1"/>
  <c r="T149" i="119" s="1"/>
  <c r="T150" i="119" s="1"/>
  <c r="X142" i="119"/>
  <c r="X143" i="119" s="1"/>
  <c r="X144" i="119" s="1"/>
  <c r="X145" i="119" s="1"/>
  <c r="X146" i="119" s="1"/>
  <c r="X147" i="119" s="1"/>
  <c r="X148" i="119" s="1"/>
  <c r="X149" i="119" s="1"/>
  <c r="X150" i="119" s="1"/>
  <c r="T142" i="119"/>
  <c r="W141" i="119"/>
  <c r="V141" i="119"/>
  <c r="V142" i="119" s="1"/>
  <c r="V143" i="119" s="1"/>
  <c r="V144" i="119" s="1"/>
  <c r="V145" i="119" s="1"/>
  <c r="V146" i="119" s="1"/>
  <c r="V147" i="119" s="1"/>
  <c r="V140" i="119"/>
  <c r="N140" i="119"/>
  <c r="N141" i="119" s="1"/>
  <c r="N142" i="119" s="1"/>
  <c r="N143" i="119" s="1"/>
  <c r="N144" i="119" s="1"/>
  <c r="N145" i="119" s="1"/>
  <c r="N146" i="119" s="1"/>
  <c r="AH146" i="119" s="1"/>
  <c r="U139" i="119"/>
  <c r="T139" i="119"/>
  <c r="T140" i="119" s="1"/>
  <c r="T141" i="119" s="1"/>
  <c r="T138" i="119"/>
  <c r="S137" i="119"/>
  <c r="S151" i="119" s="1"/>
  <c r="N137" i="119"/>
  <c r="N138" i="119" s="1"/>
  <c r="N139" i="119" s="1"/>
  <c r="R136" i="119"/>
  <c r="Q135" i="119"/>
  <c r="Q136" i="119" s="1"/>
  <c r="Q137" i="119" s="1"/>
  <c r="Q138" i="119" s="1"/>
  <c r="Q139" i="119" s="1"/>
  <c r="Q140" i="119" s="1"/>
  <c r="Q141" i="119" s="1"/>
  <c r="Q142" i="119" s="1"/>
  <c r="Q143" i="119" s="1"/>
  <c r="Q144" i="119" s="1"/>
  <c r="Q145" i="119" s="1"/>
  <c r="Q146" i="119" s="1"/>
  <c r="Q147" i="119" s="1"/>
  <c r="Q148" i="119" s="1"/>
  <c r="Q149" i="119" s="1"/>
  <c r="AH149" i="119" s="1"/>
  <c r="P134" i="119"/>
  <c r="P135" i="119" s="1"/>
  <c r="P136" i="119" s="1"/>
  <c r="P137" i="119" s="1"/>
  <c r="P138" i="119" s="1"/>
  <c r="P139" i="119" s="1"/>
  <c r="P140" i="119" s="1"/>
  <c r="P141" i="119" s="1"/>
  <c r="P142" i="119" s="1"/>
  <c r="P143" i="119" s="1"/>
  <c r="P144" i="119" s="1"/>
  <c r="P145" i="119" s="1"/>
  <c r="P146" i="119" s="1"/>
  <c r="P147" i="119" s="1"/>
  <c r="P148" i="119" s="1"/>
  <c r="AH148" i="119" s="1"/>
  <c r="N134" i="119"/>
  <c r="N135" i="119" s="1"/>
  <c r="N136" i="119" s="1"/>
  <c r="O133" i="119"/>
  <c r="O151" i="119" s="1"/>
  <c r="N133" i="119"/>
  <c r="N132" i="119"/>
  <c r="N151" i="119" s="1"/>
  <c r="K132" i="119"/>
  <c r="K133" i="119" s="1"/>
  <c r="K134" i="119" s="1"/>
  <c r="K135" i="119" s="1"/>
  <c r="K136" i="119" s="1"/>
  <c r="K137" i="119" s="1"/>
  <c r="K138" i="119" s="1"/>
  <c r="K139" i="119" s="1"/>
  <c r="K140" i="119" s="1"/>
  <c r="K141" i="119" s="1"/>
  <c r="K142" i="119" s="1"/>
  <c r="K143" i="119" s="1"/>
  <c r="AH143" i="119" s="1"/>
  <c r="M131" i="119"/>
  <c r="M151" i="119" s="1"/>
  <c r="F131" i="119"/>
  <c r="F132" i="119" s="1"/>
  <c r="F133" i="119" s="1"/>
  <c r="F134" i="119" s="1"/>
  <c r="F135" i="119" s="1"/>
  <c r="F136" i="119" s="1"/>
  <c r="F137" i="119" s="1"/>
  <c r="F138" i="119" s="1"/>
  <c r="AH138" i="119" s="1"/>
  <c r="L130" i="119"/>
  <c r="K129" i="119"/>
  <c r="K130" i="119" s="1"/>
  <c r="K131" i="119" s="1"/>
  <c r="J128" i="119"/>
  <c r="H128" i="119"/>
  <c r="H129" i="119" s="1"/>
  <c r="H130" i="119" s="1"/>
  <c r="H131" i="119" s="1"/>
  <c r="H132" i="119" s="1"/>
  <c r="H133" i="119" s="1"/>
  <c r="H134" i="119" s="1"/>
  <c r="H135" i="119" s="1"/>
  <c r="H136" i="119" s="1"/>
  <c r="H137" i="119" s="1"/>
  <c r="H138" i="119" s="1"/>
  <c r="H139" i="119" s="1"/>
  <c r="H140" i="119" s="1"/>
  <c r="AH140" i="119" s="1"/>
  <c r="I127" i="119"/>
  <c r="H127" i="119"/>
  <c r="H126" i="119"/>
  <c r="H151" i="119" s="1"/>
  <c r="F126" i="119"/>
  <c r="F127" i="119" s="1"/>
  <c r="F128" i="119" s="1"/>
  <c r="F129" i="119" s="1"/>
  <c r="F130" i="119" s="1"/>
  <c r="G125" i="119"/>
  <c r="F125" i="119"/>
  <c r="F124" i="119"/>
  <c r="E124" i="119"/>
  <c r="E125" i="119" s="1"/>
  <c r="E126" i="119" s="1"/>
  <c r="E127" i="119" s="1"/>
  <c r="E128" i="119" s="1"/>
  <c r="E129" i="119" s="1"/>
  <c r="E130" i="119" s="1"/>
  <c r="E131" i="119" s="1"/>
  <c r="E132" i="119" s="1"/>
  <c r="E133" i="119" s="1"/>
  <c r="E134" i="119" s="1"/>
  <c r="E135" i="119" s="1"/>
  <c r="E136" i="119" s="1"/>
  <c r="E137" i="119" s="1"/>
  <c r="AH137" i="119" s="1"/>
  <c r="C124" i="119"/>
  <c r="C125" i="119" s="1"/>
  <c r="C126" i="119" s="1"/>
  <c r="C127" i="119" s="1"/>
  <c r="C128" i="119" s="1"/>
  <c r="C129" i="119" s="1"/>
  <c r="C130" i="119" s="1"/>
  <c r="C131" i="119" s="1"/>
  <c r="C132" i="119" s="1"/>
  <c r="C133" i="119" s="1"/>
  <c r="C134" i="119" s="1"/>
  <c r="C135" i="119" s="1"/>
  <c r="C136" i="119" s="1"/>
  <c r="C137" i="119" s="1"/>
  <c r="C138" i="119" s="1"/>
  <c r="C139" i="119" s="1"/>
  <c r="C140" i="119" s="1"/>
  <c r="C141" i="119" s="1"/>
  <c r="C142" i="119" s="1"/>
  <c r="C143" i="119" s="1"/>
  <c r="C144" i="119" s="1"/>
  <c r="C145" i="119" s="1"/>
  <c r="C146" i="119" s="1"/>
  <c r="C147" i="119" s="1"/>
  <c r="C148" i="119" s="1"/>
  <c r="C149" i="119" s="1"/>
  <c r="C150" i="119" s="1"/>
  <c r="E123" i="119"/>
  <c r="E151" i="119" s="1"/>
  <c r="C123" i="119"/>
  <c r="D122" i="119"/>
  <c r="D151" i="119" s="1"/>
  <c r="C122" i="119"/>
  <c r="AH121" i="119"/>
  <c r="C121" i="119"/>
  <c r="AH120" i="119"/>
  <c r="T119" i="119"/>
  <c r="U119" i="119" s="1"/>
  <c r="V119" i="119" s="1"/>
  <c r="W119" i="119" s="1"/>
  <c r="X119" i="119" s="1"/>
  <c r="Y119" i="119" s="1"/>
  <c r="Z119" i="119" s="1"/>
  <c r="AA119" i="119" s="1"/>
  <c r="AB119" i="119" s="1"/>
  <c r="AC119" i="119" s="1"/>
  <c r="AD119" i="119" s="1"/>
  <c r="AE119" i="119" s="1"/>
  <c r="AF119" i="119" s="1"/>
  <c r="AG119" i="119" s="1"/>
  <c r="S119" i="119"/>
  <c r="G119" i="119"/>
  <c r="H119" i="119" s="1"/>
  <c r="I119" i="119" s="1"/>
  <c r="J119" i="119" s="1"/>
  <c r="K119" i="119" s="1"/>
  <c r="L119" i="119" s="1"/>
  <c r="M119" i="119" s="1"/>
  <c r="N119" i="119" s="1"/>
  <c r="O119" i="119" s="1"/>
  <c r="P119" i="119" s="1"/>
  <c r="Q119" i="119" s="1"/>
  <c r="R119" i="119" s="1"/>
  <c r="F119" i="119"/>
  <c r="E119" i="119"/>
  <c r="AH118" i="119"/>
  <c r="B118" i="119" s="1"/>
  <c r="AD114" i="119"/>
  <c r="AC114" i="119"/>
  <c r="AB114" i="119"/>
  <c r="AA114" i="119"/>
  <c r="Z114" i="119"/>
  <c r="X114" i="119"/>
  <c r="W114" i="119"/>
  <c r="O114" i="119"/>
  <c r="L114" i="119"/>
  <c r="K114" i="119"/>
  <c r="D114" i="119"/>
  <c r="AG113" i="119"/>
  <c r="AG114" i="119" s="1"/>
  <c r="AF113" i="119"/>
  <c r="AF114" i="119" s="1"/>
  <c r="AC113" i="119"/>
  <c r="X113" i="119"/>
  <c r="AE112" i="119"/>
  <c r="AE114" i="119" s="1"/>
  <c r="AD112" i="119"/>
  <c r="AD113" i="119" s="1"/>
  <c r="AA112" i="119"/>
  <c r="AA113" i="119" s="1"/>
  <c r="AD111" i="119"/>
  <c r="AC111" i="119"/>
  <c r="AC112" i="119" s="1"/>
  <c r="AC110" i="119"/>
  <c r="AB110" i="119"/>
  <c r="AB111" i="119" s="1"/>
  <c r="AB112" i="119" s="1"/>
  <c r="AB113" i="119" s="1"/>
  <c r="AA110" i="119"/>
  <c r="AA111" i="119" s="1"/>
  <c r="X110" i="119"/>
  <c r="X111" i="119" s="1"/>
  <c r="X112" i="119" s="1"/>
  <c r="AB109" i="119"/>
  <c r="AA108" i="119"/>
  <c r="AA109" i="119" s="1"/>
  <c r="Z108" i="119"/>
  <c r="Z109" i="119" s="1"/>
  <c r="Z110" i="119" s="1"/>
  <c r="Z111" i="119" s="1"/>
  <c r="Z112" i="119" s="1"/>
  <c r="Z113" i="119" s="1"/>
  <c r="Z107" i="119"/>
  <c r="Y106" i="119"/>
  <c r="Y107" i="119" s="1"/>
  <c r="Y108" i="119" s="1"/>
  <c r="Y109" i="119" s="1"/>
  <c r="Y110" i="119" s="1"/>
  <c r="Y111" i="119" s="1"/>
  <c r="Y112" i="119" s="1"/>
  <c r="Y113" i="119" s="1"/>
  <c r="X106" i="119"/>
  <c r="X107" i="119" s="1"/>
  <c r="X108" i="119" s="1"/>
  <c r="X109" i="119" s="1"/>
  <c r="X105" i="119"/>
  <c r="W105" i="119"/>
  <c r="W106" i="119" s="1"/>
  <c r="W107" i="119" s="1"/>
  <c r="W108" i="119" s="1"/>
  <c r="W109" i="119" s="1"/>
  <c r="W110" i="119" s="1"/>
  <c r="W111" i="119" s="1"/>
  <c r="W112" i="119" s="1"/>
  <c r="W113" i="119" s="1"/>
  <c r="K105" i="119"/>
  <c r="K106" i="119" s="1"/>
  <c r="K107" i="119" s="1"/>
  <c r="K108" i="119" s="1"/>
  <c r="K109" i="119" s="1"/>
  <c r="K110" i="119" s="1"/>
  <c r="K111" i="119" s="1"/>
  <c r="AH111" i="119" s="1"/>
  <c r="W104" i="119"/>
  <c r="V104" i="119"/>
  <c r="V105" i="119" s="1"/>
  <c r="V106" i="119" s="1"/>
  <c r="V107" i="119" s="1"/>
  <c r="V108" i="119" s="1"/>
  <c r="V109" i="119" s="1"/>
  <c r="V110" i="119" s="1"/>
  <c r="V111" i="119" s="1"/>
  <c r="V112" i="119" s="1"/>
  <c r="V113" i="119" s="1"/>
  <c r="V103" i="119"/>
  <c r="V114" i="119" s="1"/>
  <c r="U102" i="119"/>
  <c r="T102" i="119"/>
  <c r="T103" i="119" s="1"/>
  <c r="T104" i="119" s="1"/>
  <c r="T105" i="119" s="1"/>
  <c r="T106" i="119" s="1"/>
  <c r="T107" i="119" s="1"/>
  <c r="T108" i="119" s="1"/>
  <c r="T109" i="119" s="1"/>
  <c r="T110" i="119" s="1"/>
  <c r="T111" i="119" s="1"/>
  <c r="T112" i="119" s="1"/>
  <c r="T113" i="119" s="1"/>
  <c r="T101" i="119"/>
  <c r="T114" i="119" s="1"/>
  <c r="Q101" i="119"/>
  <c r="Q102" i="119" s="1"/>
  <c r="Q103" i="119" s="1"/>
  <c r="Q104" i="119" s="1"/>
  <c r="Q105" i="119" s="1"/>
  <c r="Q106" i="119" s="1"/>
  <c r="Q107" i="119" s="1"/>
  <c r="Q108" i="119" s="1"/>
  <c r="Q109" i="119" s="1"/>
  <c r="Q110" i="119" s="1"/>
  <c r="Q111" i="119" s="1"/>
  <c r="Q112" i="119" s="1"/>
  <c r="Q113" i="119" s="1"/>
  <c r="N101" i="119"/>
  <c r="N102" i="119" s="1"/>
  <c r="N103" i="119" s="1"/>
  <c r="N104" i="119" s="1"/>
  <c r="N105" i="119" s="1"/>
  <c r="N106" i="119" s="1"/>
  <c r="N107" i="119" s="1"/>
  <c r="N108" i="119" s="1"/>
  <c r="N109" i="119" s="1"/>
  <c r="N110" i="119" s="1"/>
  <c r="N111" i="119" s="1"/>
  <c r="N112" i="119" s="1"/>
  <c r="N113" i="119" s="1"/>
  <c r="S100" i="119"/>
  <c r="S114" i="119" s="1"/>
  <c r="O100" i="119"/>
  <c r="O101" i="119" s="1"/>
  <c r="O102" i="119" s="1"/>
  <c r="O103" i="119" s="1"/>
  <c r="O104" i="119" s="1"/>
  <c r="O105" i="119" s="1"/>
  <c r="O106" i="119" s="1"/>
  <c r="O107" i="119" s="1"/>
  <c r="O108" i="119" s="1"/>
  <c r="O109" i="119" s="1"/>
  <c r="O110" i="119" s="1"/>
  <c r="O111" i="119" s="1"/>
  <c r="O112" i="119" s="1"/>
  <c r="O113" i="119" s="1"/>
  <c r="M100" i="119"/>
  <c r="M101" i="119" s="1"/>
  <c r="M102" i="119" s="1"/>
  <c r="M103" i="119" s="1"/>
  <c r="M104" i="119" s="1"/>
  <c r="M105" i="119" s="1"/>
  <c r="M106" i="119" s="1"/>
  <c r="M107" i="119" s="1"/>
  <c r="M108" i="119" s="1"/>
  <c r="M109" i="119" s="1"/>
  <c r="M110" i="119" s="1"/>
  <c r="M111" i="119" s="1"/>
  <c r="M112" i="119" s="1"/>
  <c r="M113" i="119" s="1"/>
  <c r="AH113" i="119" s="1"/>
  <c r="K100" i="119"/>
  <c r="K101" i="119" s="1"/>
  <c r="K102" i="119" s="1"/>
  <c r="K103" i="119" s="1"/>
  <c r="K104" i="119" s="1"/>
  <c r="R99" i="119"/>
  <c r="Q99" i="119"/>
  <c r="Q100" i="119" s="1"/>
  <c r="Q98" i="119"/>
  <c r="Q114" i="119" s="1"/>
  <c r="K98" i="119"/>
  <c r="K99" i="119" s="1"/>
  <c r="F98" i="119"/>
  <c r="F99" i="119" s="1"/>
  <c r="F100" i="119" s="1"/>
  <c r="F101" i="119" s="1"/>
  <c r="F102" i="119" s="1"/>
  <c r="F103" i="119" s="1"/>
  <c r="F104" i="119" s="1"/>
  <c r="F105" i="119" s="1"/>
  <c r="F106" i="119" s="1"/>
  <c r="AH106" i="119" s="1"/>
  <c r="P97" i="119"/>
  <c r="K97" i="119"/>
  <c r="O96" i="119"/>
  <c r="O97" i="119" s="1"/>
  <c r="O98" i="119" s="1"/>
  <c r="O99" i="119" s="1"/>
  <c r="N95" i="119"/>
  <c r="N96" i="119" s="1"/>
  <c r="N97" i="119" s="1"/>
  <c r="N98" i="119" s="1"/>
  <c r="N99" i="119" s="1"/>
  <c r="N100" i="119" s="1"/>
  <c r="K95" i="119"/>
  <c r="K96" i="119" s="1"/>
  <c r="F95" i="119"/>
  <c r="F96" i="119" s="1"/>
  <c r="F97" i="119" s="1"/>
  <c r="M94" i="119"/>
  <c r="M95" i="119" s="1"/>
  <c r="M96" i="119" s="1"/>
  <c r="M97" i="119" s="1"/>
  <c r="M98" i="119" s="1"/>
  <c r="M99" i="119" s="1"/>
  <c r="L93" i="119"/>
  <c r="L94" i="119" s="1"/>
  <c r="L95" i="119" s="1"/>
  <c r="L96" i="119" s="1"/>
  <c r="L97" i="119" s="1"/>
  <c r="L98" i="119" s="1"/>
  <c r="L99" i="119" s="1"/>
  <c r="L100" i="119" s="1"/>
  <c r="L101" i="119" s="1"/>
  <c r="L102" i="119" s="1"/>
  <c r="L103" i="119" s="1"/>
  <c r="L104" i="119" s="1"/>
  <c r="L105" i="119" s="1"/>
  <c r="L106" i="119" s="1"/>
  <c r="L107" i="119" s="1"/>
  <c r="L108" i="119" s="1"/>
  <c r="L109" i="119" s="1"/>
  <c r="L110" i="119" s="1"/>
  <c r="L111" i="119" s="1"/>
  <c r="L112" i="119" s="1"/>
  <c r="AH112" i="119" s="1"/>
  <c r="K93" i="119"/>
  <c r="K94" i="119" s="1"/>
  <c r="K92" i="119"/>
  <c r="J91" i="119"/>
  <c r="I90" i="119"/>
  <c r="I114" i="119" s="1"/>
  <c r="H89" i="119"/>
  <c r="G88" i="119"/>
  <c r="F87" i="119"/>
  <c r="F88" i="119" s="1"/>
  <c r="F89" i="119" s="1"/>
  <c r="F90" i="119" s="1"/>
  <c r="F91" i="119" s="1"/>
  <c r="F92" i="119" s="1"/>
  <c r="F93" i="119" s="1"/>
  <c r="F94" i="119" s="1"/>
  <c r="E86" i="119"/>
  <c r="AH85" i="119"/>
  <c r="D85" i="119"/>
  <c r="D86" i="119" s="1"/>
  <c r="C85" i="119"/>
  <c r="C86" i="119" s="1"/>
  <c r="C87" i="119" s="1"/>
  <c r="C88" i="119" s="1"/>
  <c r="C89" i="119" s="1"/>
  <c r="C90" i="119" s="1"/>
  <c r="C91" i="119" s="1"/>
  <c r="C92" i="119" s="1"/>
  <c r="C93" i="119" s="1"/>
  <c r="C94" i="119" s="1"/>
  <c r="C95" i="119" s="1"/>
  <c r="C96" i="119" s="1"/>
  <c r="C97" i="119" s="1"/>
  <c r="C98" i="119" s="1"/>
  <c r="C99" i="119" s="1"/>
  <c r="C100" i="119" s="1"/>
  <c r="C101" i="119" s="1"/>
  <c r="C102" i="119" s="1"/>
  <c r="C103" i="119" s="1"/>
  <c r="C104" i="119" s="1"/>
  <c r="C105" i="119" s="1"/>
  <c r="C106" i="119" s="1"/>
  <c r="C107" i="119" s="1"/>
  <c r="C108" i="119" s="1"/>
  <c r="C109" i="119" s="1"/>
  <c r="C110" i="119" s="1"/>
  <c r="C111" i="119" s="1"/>
  <c r="C112" i="119" s="1"/>
  <c r="C113" i="119" s="1"/>
  <c r="AH84" i="119"/>
  <c r="C84" i="119"/>
  <c r="AH83" i="119"/>
  <c r="C83" i="119"/>
  <c r="T82" i="119"/>
  <c r="U82" i="119" s="1"/>
  <c r="V82" i="119" s="1"/>
  <c r="W82" i="119" s="1"/>
  <c r="X82" i="119" s="1"/>
  <c r="Y82" i="119" s="1"/>
  <c r="Z82" i="119" s="1"/>
  <c r="AA82" i="119" s="1"/>
  <c r="AB82" i="119" s="1"/>
  <c r="AC82" i="119" s="1"/>
  <c r="AD82" i="119" s="1"/>
  <c r="AE82" i="119" s="1"/>
  <c r="AF82" i="119" s="1"/>
  <c r="AG82" i="119" s="1"/>
  <c r="F82" i="119"/>
  <c r="G82" i="119" s="1"/>
  <c r="H82" i="119" s="1"/>
  <c r="I82" i="119" s="1"/>
  <c r="J82" i="119" s="1"/>
  <c r="K82" i="119" s="1"/>
  <c r="L82" i="119" s="1"/>
  <c r="M82" i="119" s="1"/>
  <c r="N82" i="119" s="1"/>
  <c r="O82" i="119" s="1"/>
  <c r="P82" i="119" s="1"/>
  <c r="Q82" i="119" s="1"/>
  <c r="R82" i="119" s="1"/>
  <c r="S82" i="119" s="1"/>
  <c r="E82" i="119"/>
  <c r="AH81" i="119"/>
  <c r="B81" i="119"/>
  <c r="AG77" i="119"/>
  <c r="AF77" i="119"/>
  <c r="AC77" i="119"/>
  <c r="AB77" i="119"/>
  <c r="W77" i="119"/>
  <c r="Q77" i="119"/>
  <c r="P77" i="119"/>
  <c r="O77" i="119"/>
  <c r="N77" i="119"/>
  <c r="K77" i="119"/>
  <c r="J77" i="119"/>
  <c r="AG76" i="119"/>
  <c r="AF76" i="119"/>
  <c r="AE76" i="119"/>
  <c r="AE75" i="119"/>
  <c r="AE77" i="119" s="1"/>
  <c r="AB75" i="119"/>
  <c r="AB76" i="119" s="1"/>
  <c r="AD74" i="119"/>
  <c r="AD77" i="119" s="1"/>
  <c r="AC74" i="119"/>
  <c r="AC75" i="119" s="1"/>
  <c r="AC76" i="119" s="1"/>
  <c r="AB74" i="119"/>
  <c r="AC73" i="119"/>
  <c r="AB73" i="119"/>
  <c r="AB72" i="119"/>
  <c r="AA72" i="119"/>
  <c r="AA73" i="119" s="1"/>
  <c r="AA74" i="119" s="1"/>
  <c r="AA75" i="119" s="1"/>
  <c r="AA76" i="119" s="1"/>
  <c r="AA71" i="119"/>
  <c r="AA77" i="119" s="1"/>
  <c r="V71" i="119"/>
  <c r="V72" i="119" s="1"/>
  <c r="V73" i="119" s="1"/>
  <c r="V74" i="119" s="1"/>
  <c r="V75" i="119" s="1"/>
  <c r="V76" i="119" s="1"/>
  <c r="Z70" i="119"/>
  <c r="Y69" i="119"/>
  <c r="Y70" i="119" s="1"/>
  <c r="Y71" i="119" s="1"/>
  <c r="Y72" i="119" s="1"/>
  <c r="Y73" i="119" s="1"/>
  <c r="Y74" i="119" s="1"/>
  <c r="Y75" i="119" s="1"/>
  <c r="Y76" i="119" s="1"/>
  <c r="R69" i="119"/>
  <c r="R70" i="119" s="1"/>
  <c r="R71" i="119" s="1"/>
  <c r="R72" i="119" s="1"/>
  <c r="R73" i="119" s="1"/>
  <c r="R74" i="119" s="1"/>
  <c r="R75" i="119" s="1"/>
  <c r="R76" i="119" s="1"/>
  <c r="X68" i="119"/>
  <c r="X77" i="119" s="1"/>
  <c r="V68" i="119"/>
  <c r="V69" i="119" s="1"/>
  <c r="V70" i="119" s="1"/>
  <c r="W67" i="119"/>
  <c r="W68" i="119" s="1"/>
  <c r="W69" i="119" s="1"/>
  <c r="W70" i="119" s="1"/>
  <c r="W71" i="119" s="1"/>
  <c r="W72" i="119" s="1"/>
  <c r="W73" i="119" s="1"/>
  <c r="W74" i="119" s="1"/>
  <c r="W75" i="119" s="1"/>
  <c r="W76" i="119" s="1"/>
  <c r="V67" i="119"/>
  <c r="P67" i="119"/>
  <c r="P68" i="119" s="1"/>
  <c r="P69" i="119" s="1"/>
  <c r="P70" i="119" s="1"/>
  <c r="P71" i="119" s="1"/>
  <c r="P72" i="119" s="1"/>
  <c r="P73" i="119" s="1"/>
  <c r="P74" i="119" s="1"/>
  <c r="P75" i="119" s="1"/>
  <c r="P76" i="119" s="1"/>
  <c r="V66" i="119"/>
  <c r="V77" i="119" s="1"/>
  <c r="U66" i="119"/>
  <c r="U67" i="119" s="1"/>
  <c r="U68" i="119" s="1"/>
  <c r="U69" i="119" s="1"/>
  <c r="U70" i="119" s="1"/>
  <c r="U71" i="119" s="1"/>
  <c r="U72" i="119" s="1"/>
  <c r="U73" i="119" s="1"/>
  <c r="U74" i="119" s="1"/>
  <c r="U75" i="119" s="1"/>
  <c r="U76" i="119" s="1"/>
  <c r="U65" i="119"/>
  <c r="U77" i="119" s="1"/>
  <c r="R65" i="119"/>
  <c r="R66" i="119" s="1"/>
  <c r="R67" i="119" s="1"/>
  <c r="R68" i="119" s="1"/>
  <c r="T64" i="119"/>
  <c r="T77" i="119" s="1"/>
  <c r="R64" i="119"/>
  <c r="K64" i="119"/>
  <c r="K65" i="119" s="1"/>
  <c r="K66" i="119" s="1"/>
  <c r="K67" i="119" s="1"/>
  <c r="K68" i="119" s="1"/>
  <c r="K69" i="119" s="1"/>
  <c r="K70" i="119" s="1"/>
  <c r="K71" i="119" s="1"/>
  <c r="K72" i="119" s="1"/>
  <c r="K73" i="119" s="1"/>
  <c r="K74" i="119" s="1"/>
  <c r="K75" i="119" s="1"/>
  <c r="K76" i="119" s="1"/>
  <c r="S63" i="119"/>
  <c r="R63" i="119"/>
  <c r="Q63" i="119"/>
  <c r="Q64" i="119" s="1"/>
  <c r="Q65" i="119" s="1"/>
  <c r="Q66" i="119" s="1"/>
  <c r="Q67" i="119" s="1"/>
  <c r="Q68" i="119" s="1"/>
  <c r="Q69" i="119" s="1"/>
  <c r="Q70" i="119" s="1"/>
  <c r="Q71" i="119" s="1"/>
  <c r="Q72" i="119" s="1"/>
  <c r="Q73" i="119" s="1"/>
  <c r="Q74" i="119" s="1"/>
  <c r="Q75" i="119" s="1"/>
  <c r="Q76" i="119" s="1"/>
  <c r="R62" i="119"/>
  <c r="R77" i="119" s="1"/>
  <c r="Q62" i="119"/>
  <c r="Q61" i="119"/>
  <c r="P61" i="119"/>
  <c r="P62" i="119" s="1"/>
  <c r="P63" i="119" s="1"/>
  <c r="P64" i="119" s="1"/>
  <c r="P65" i="119" s="1"/>
  <c r="P66" i="119" s="1"/>
  <c r="K61" i="119"/>
  <c r="K62" i="119" s="1"/>
  <c r="K63" i="119" s="1"/>
  <c r="P60" i="119"/>
  <c r="O60" i="119"/>
  <c r="O61" i="119" s="1"/>
  <c r="O62" i="119" s="1"/>
  <c r="O63" i="119" s="1"/>
  <c r="O64" i="119" s="1"/>
  <c r="O65" i="119" s="1"/>
  <c r="O66" i="119" s="1"/>
  <c r="O67" i="119" s="1"/>
  <c r="O68" i="119" s="1"/>
  <c r="O69" i="119" s="1"/>
  <c r="O70" i="119" s="1"/>
  <c r="O71" i="119" s="1"/>
  <c r="O72" i="119" s="1"/>
  <c r="O73" i="119" s="1"/>
  <c r="O74" i="119" s="1"/>
  <c r="O75" i="119" s="1"/>
  <c r="O76" i="119" s="1"/>
  <c r="N60" i="119"/>
  <c r="N61" i="119" s="1"/>
  <c r="N62" i="119" s="1"/>
  <c r="N63" i="119" s="1"/>
  <c r="N64" i="119" s="1"/>
  <c r="N65" i="119" s="1"/>
  <c r="N66" i="119" s="1"/>
  <c r="N67" i="119" s="1"/>
  <c r="N68" i="119" s="1"/>
  <c r="N69" i="119" s="1"/>
  <c r="N70" i="119" s="1"/>
  <c r="N71" i="119" s="1"/>
  <c r="N72" i="119" s="1"/>
  <c r="N73" i="119" s="1"/>
  <c r="N74" i="119" s="1"/>
  <c r="N75" i="119" s="1"/>
  <c r="N76" i="119" s="1"/>
  <c r="O59" i="119"/>
  <c r="N59" i="119"/>
  <c r="K59" i="119"/>
  <c r="K60" i="119" s="1"/>
  <c r="N58" i="119"/>
  <c r="M57" i="119"/>
  <c r="M77" i="119" s="1"/>
  <c r="L56" i="119"/>
  <c r="L77" i="119" s="1"/>
  <c r="K56" i="119"/>
  <c r="K57" i="119" s="1"/>
  <c r="K58" i="119" s="1"/>
  <c r="H56" i="119"/>
  <c r="H57" i="119" s="1"/>
  <c r="H58" i="119" s="1"/>
  <c r="H59" i="119" s="1"/>
  <c r="H60" i="119" s="1"/>
  <c r="H61" i="119" s="1"/>
  <c r="H62" i="119" s="1"/>
  <c r="H63" i="119" s="1"/>
  <c r="H64" i="119" s="1"/>
  <c r="H65" i="119" s="1"/>
  <c r="H66" i="119" s="1"/>
  <c r="H67" i="119" s="1"/>
  <c r="H68" i="119" s="1"/>
  <c r="H69" i="119" s="1"/>
  <c r="H70" i="119" s="1"/>
  <c r="H71" i="119" s="1"/>
  <c r="H72" i="119" s="1"/>
  <c r="H73" i="119" s="1"/>
  <c r="H74" i="119" s="1"/>
  <c r="H75" i="119" s="1"/>
  <c r="H76" i="119" s="1"/>
  <c r="AH76" i="119" s="1"/>
  <c r="K55" i="119"/>
  <c r="J55" i="119"/>
  <c r="J56" i="119" s="1"/>
  <c r="J57" i="119" s="1"/>
  <c r="J58" i="119" s="1"/>
  <c r="J59" i="119" s="1"/>
  <c r="J60" i="119" s="1"/>
  <c r="J61" i="119" s="1"/>
  <c r="J62" i="119" s="1"/>
  <c r="J63" i="119" s="1"/>
  <c r="J64" i="119" s="1"/>
  <c r="J65" i="119" s="1"/>
  <c r="J66" i="119" s="1"/>
  <c r="J67" i="119" s="1"/>
  <c r="J68" i="119" s="1"/>
  <c r="J69" i="119" s="1"/>
  <c r="J70" i="119" s="1"/>
  <c r="J71" i="119" s="1"/>
  <c r="J72" i="119" s="1"/>
  <c r="J73" i="119" s="1"/>
  <c r="J74" i="119" s="1"/>
  <c r="J75" i="119" s="1"/>
  <c r="J76" i="119" s="1"/>
  <c r="I55" i="119"/>
  <c r="I56" i="119" s="1"/>
  <c r="I57" i="119" s="1"/>
  <c r="I58" i="119" s="1"/>
  <c r="I59" i="119" s="1"/>
  <c r="I60" i="119" s="1"/>
  <c r="I61" i="119" s="1"/>
  <c r="I62" i="119" s="1"/>
  <c r="I63" i="119" s="1"/>
  <c r="I64" i="119" s="1"/>
  <c r="I65" i="119" s="1"/>
  <c r="I66" i="119" s="1"/>
  <c r="I67" i="119" s="1"/>
  <c r="I68" i="119" s="1"/>
  <c r="I69" i="119" s="1"/>
  <c r="I70" i="119" s="1"/>
  <c r="I71" i="119" s="1"/>
  <c r="I72" i="119" s="1"/>
  <c r="I73" i="119" s="1"/>
  <c r="I74" i="119" s="1"/>
  <c r="I75" i="119" s="1"/>
  <c r="I76" i="119" s="1"/>
  <c r="J54" i="119"/>
  <c r="I53" i="119"/>
  <c r="I54" i="119" s="1"/>
  <c r="H53" i="119"/>
  <c r="H54" i="119" s="1"/>
  <c r="H55" i="119" s="1"/>
  <c r="G53" i="119"/>
  <c r="G54" i="119" s="1"/>
  <c r="G55" i="119" s="1"/>
  <c r="G56" i="119" s="1"/>
  <c r="G57" i="119" s="1"/>
  <c r="G58" i="119" s="1"/>
  <c r="G59" i="119" s="1"/>
  <c r="G60" i="119" s="1"/>
  <c r="G61" i="119" s="1"/>
  <c r="G62" i="119" s="1"/>
  <c r="G63" i="119" s="1"/>
  <c r="G64" i="119" s="1"/>
  <c r="G65" i="119" s="1"/>
  <c r="G66" i="119" s="1"/>
  <c r="G67" i="119" s="1"/>
  <c r="G68" i="119" s="1"/>
  <c r="G69" i="119" s="1"/>
  <c r="G70" i="119" s="1"/>
  <c r="G71" i="119" s="1"/>
  <c r="G72" i="119" s="1"/>
  <c r="G73" i="119" s="1"/>
  <c r="G74" i="119" s="1"/>
  <c r="G75" i="119" s="1"/>
  <c r="AH75" i="119" s="1"/>
  <c r="H52" i="119"/>
  <c r="H77" i="119" s="1"/>
  <c r="G52" i="119"/>
  <c r="C52" i="119"/>
  <c r="C53" i="119" s="1"/>
  <c r="C54" i="119" s="1"/>
  <c r="C55" i="119" s="1"/>
  <c r="C56" i="119" s="1"/>
  <c r="C57" i="119" s="1"/>
  <c r="C58" i="119" s="1"/>
  <c r="C59" i="119" s="1"/>
  <c r="C60" i="119" s="1"/>
  <c r="C61" i="119" s="1"/>
  <c r="C62" i="119" s="1"/>
  <c r="C63" i="119" s="1"/>
  <c r="C64" i="119" s="1"/>
  <c r="C65" i="119" s="1"/>
  <c r="C66" i="119" s="1"/>
  <c r="C67" i="119" s="1"/>
  <c r="C68" i="119" s="1"/>
  <c r="C69" i="119" s="1"/>
  <c r="C70" i="119" s="1"/>
  <c r="C71" i="119" s="1"/>
  <c r="C72" i="119" s="1"/>
  <c r="C73" i="119" s="1"/>
  <c r="C74" i="119" s="1"/>
  <c r="C75" i="119" s="1"/>
  <c r="C76" i="119" s="1"/>
  <c r="G51" i="119"/>
  <c r="G77" i="119" s="1"/>
  <c r="C51" i="119"/>
  <c r="F50" i="119"/>
  <c r="F77" i="119" s="1"/>
  <c r="E49" i="119"/>
  <c r="C49" i="119"/>
  <c r="C50" i="119" s="1"/>
  <c r="D48" i="119"/>
  <c r="C48" i="119"/>
  <c r="AH47" i="119"/>
  <c r="C47" i="119"/>
  <c r="AH46" i="119"/>
  <c r="E46" i="119"/>
  <c r="G45" i="119"/>
  <c r="H45" i="119" s="1"/>
  <c r="I45" i="119" s="1"/>
  <c r="J45" i="119" s="1"/>
  <c r="K45" i="119" s="1"/>
  <c r="L45" i="119" s="1"/>
  <c r="M45" i="119" s="1"/>
  <c r="N45" i="119" s="1"/>
  <c r="O45" i="119" s="1"/>
  <c r="P45" i="119" s="1"/>
  <c r="Q45" i="119" s="1"/>
  <c r="R45" i="119" s="1"/>
  <c r="S45" i="119" s="1"/>
  <c r="T45" i="119" s="1"/>
  <c r="U45" i="119" s="1"/>
  <c r="V45" i="119" s="1"/>
  <c r="W45" i="119" s="1"/>
  <c r="X45" i="119" s="1"/>
  <c r="Y45" i="119" s="1"/>
  <c r="Z45" i="119" s="1"/>
  <c r="AA45" i="119" s="1"/>
  <c r="AB45" i="119" s="1"/>
  <c r="AC45" i="119" s="1"/>
  <c r="AD45" i="119" s="1"/>
  <c r="AE45" i="119" s="1"/>
  <c r="AF45" i="119" s="1"/>
  <c r="AG45" i="119" s="1"/>
  <c r="E45" i="119"/>
  <c r="F45" i="119" s="1"/>
  <c r="AH44" i="119"/>
  <c r="B44" i="119"/>
  <c r="J17" i="119"/>
  <c r="J18" i="119" s="1"/>
  <c r="J19" i="119" s="1"/>
  <c r="J20" i="119" s="1"/>
  <c r="J21" i="119" s="1"/>
  <c r="J22" i="119" s="1"/>
  <c r="J23" i="119" s="1"/>
  <c r="J24" i="119" s="1"/>
  <c r="J25" i="119" s="1"/>
  <c r="J26" i="119" s="1"/>
  <c r="J27" i="119" s="1"/>
  <c r="J28" i="119" s="1"/>
  <c r="J29" i="119" s="1"/>
  <c r="J30" i="119" s="1"/>
  <c r="J31" i="119" s="1"/>
  <c r="J32" i="119" s="1"/>
  <c r="J33" i="119" s="1"/>
  <c r="J34" i="119" s="1"/>
  <c r="J35" i="119" s="1"/>
  <c r="J36" i="119" s="1"/>
  <c r="J37" i="119" s="1"/>
  <c r="J38" i="119" s="1"/>
  <c r="J39" i="119" s="1"/>
  <c r="I17" i="119"/>
  <c r="I18" i="119" s="1"/>
  <c r="I19" i="119" s="1"/>
  <c r="I20" i="119" s="1"/>
  <c r="I21" i="119" s="1"/>
  <c r="I22" i="119" s="1"/>
  <c r="I23" i="119" s="1"/>
  <c r="I24" i="119" s="1"/>
  <c r="I25" i="119" s="1"/>
  <c r="I26" i="119" s="1"/>
  <c r="I27" i="119" s="1"/>
  <c r="I28" i="119" s="1"/>
  <c r="I29" i="119" s="1"/>
  <c r="I30" i="119" s="1"/>
  <c r="I31" i="119" s="1"/>
  <c r="I32" i="119" s="1"/>
  <c r="I33" i="119" s="1"/>
  <c r="I34" i="119" s="1"/>
  <c r="I35" i="119" s="1"/>
  <c r="I36" i="119" s="1"/>
  <c r="I37" i="119" s="1"/>
  <c r="I38" i="119" s="1"/>
  <c r="I39" i="119" s="1"/>
  <c r="I16" i="119"/>
  <c r="G16" i="119"/>
  <c r="G17" i="119" s="1"/>
  <c r="G18" i="119" s="1"/>
  <c r="G19" i="119" s="1"/>
  <c r="G20" i="119" s="1"/>
  <c r="G21" i="119" s="1"/>
  <c r="G22" i="119" s="1"/>
  <c r="G23" i="119" s="1"/>
  <c r="G24" i="119" s="1"/>
  <c r="G25" i="119" s="1"/>
  <c r="G26" i="119" s="1"/>
  <c r="G27" i="119" s="1"/>
  <c r="G28" i="119" s="1"/>
  <c r="G29" i="119" s="1"/>
  <c r="G30" i="119" s="1"/>
  <c r="G31" i="119" s="1"/>
  <c r="G32" i="119" s="1"/>
  <c r="G33" i="119" s="1"/>
  <c r="G34" i="119" s="1"/>
  <c r="G35" i="119" s="1"/>
  <c r="G36" i="119" s="1"/>
  <c r="G37" i="119" s="1"/>
  <c r="G38" i="119" s="1"/>
  <c r="G39" i="119" s="1"/>
  <c r="F16" i="119"/>
  <c r="F17" i="119" s="1"/>
  <c r="F18" i="119" s="1"/>
  <c r="F19" i="119" s="1"/>
  <c r="F20" i="119" s="1"/>
  <c r="F21" i="119" s="1"/>
  <c r="F22" i="119" s="1"/>
  <c r="F23" i="119" s="1"/>
  <c r="F24" i="119" s="1"/>
  <c r="F25" i="119" s="1"/>
  <c r="F26" i="119" s="1"/>
  <c r="F27" i="119" s="1"/>
  <c r="F28" i="119" s="1"/>
  <c r="F29" i="119" s="1"/>
  <c r="F30" i="119" s="1"/>
  <c r="F31" i="119" s="1"/>
  <c r="F32" i="119" s="1"/>
  <c r="F33" i="119" s="1"/>
  <c r="F34" i="119" s="1"/>
  <c r="F35" i="119" s="1"/>
  <c r="F36" i="119" s="1"/>
  <c r="F37" i="119" s="1"/>
  <c r="F38" i="119" s="1"/>
  <c r="F39" i="119" s="1"/>
  <c r="G15" i="119"/>
  <c r="G14" i="119"/>
  <c r="F14" i="119"/>
  <c r="F15" i="119" s="1"/>
  <c r="D14" i="119"/>
  <c r="D15" i="119" s="1"/>
  <c r="D13" i="119"/>
  <c r="C10" i="119"/>
  <c r="D9" i="119"/>
  <c r="E8" i="119"/>
  <c r="E10" i="119" s="1"/>
  <c r="K7" i="119"/>
  <c r="K4" i="119" s="1"/>
  <c r="J7" i="119"/>
  <c r="I7" i="119"/>
  <c r="H7" i="119"/>
  <c r="H15" i="119" s="1"/>
  <c r="H16" i="119" s="1"/>
  <c r="H17" i="119" s="1"/>
  <c r="H18" i="119" s="1"/>
  <c r="H19" i="119" s="1"/>
  <c r="H20" i="119" s="1"/>
  <c r="H21" i="119" s="1"/>
  <c r="H22" i="119" s="1"/>
  <c r="H23" i="119" s="1"/>
  <c r="H24" i="119" s="1"/>
  <c r="H25" i="119" s="1"/>
  <c r="H26" i="119" s="1"/>
  <c r="H27" i="119" s="1"/>
  <c r="H28" i="119" s="1"/>
  <c r="H29" i="119" s="1"/>
  <c r="H30" i="119" s="1"/>
  <c r="H31" i="119" s="1"/>
  <c r="H32" i="119" s="1"/>
  <c r="H33" i="119" s="1"/>
  <c r="H34" i="119" s="1"/>
  <c r="H35" i="119" s="1"/>
  <c r="H36" i="119" s="1"/>
  <c r="H37" i="119" s="1"/>
  <c r="H38" i="119" s="1"/>
  <c r="H39" i="119" s="1"/>
  <c r="G7" i="119"/>
  <c r="F7" i="119"/>
  <c r="F13" i="119" s="1"/>
  <c r="E7" i="119"/>
  <c r="E4" i="119" s="1"/>
  <c r="D7" i="119"/>
  <c r="D11" i="119" s="1"/>
  <c r="D12" i="119" s="1"/>
  <c r="J4" i="119"/>
  <c r="I4" i="119"/>
  <c r="G4" i="119"/>
  <c r="F4" i="119"/>
  <c r="E3" i="119"/>
  <c r="F3" i="119" s="1"/>
  <c r="G3" i="119" s="1"/>
  <c r="H3" i="119" s="1"/>
  <c r="I3" i="119" s="1"/>
  <c r="J3" i="119" s="1"/>
  <c r="K3" i="119" s="1"/>
  <c r="L3" i="119" s="1"/>
  <c r="M3" i="119" s="1"/>
  <c r="N3" i="119" s="1"/>
  <c r="O3" i="119" s="1"/>
  <c r="P3" i="119" s="1"/>
  <c r="Q3" i="119" s="1"/>
  <c r="R3" i="119" s="1"/>
  <c r="S3" i="119" s="1"/>
  <c r="T3" i="119" s="1"/>
  <c r="U3" i="119" s="1"/>
  <c r="V3" i="119" s="1"/>
  <c r="W3" i="119" s="1"/>
  <c r="X3" i="119" s="1"/>
  <c r="Y3" i="119" s="1"/>
  <c r="Z3" i="119" s="1"/>
  <c r="AA3" i="119" s="1"/>
  <c r="AB3" i="119" s="1"/>
  <c r="AC3" i="119" s="1"/>
  <c r="AD3" i="119" s="1"/>
  <c r="AE3" i="119" s="1"/>
  <c r="AF3" i="119" s="1"/>
  <c r="AG3" i="119" s="1"/>
  <c r="B3" i="119"/>
  <c r="E2" i="119"/>
  <c r="F2" i="119" s="1"/>
  <c r="G2" i="119" s="1"/>
  <c r="H2" i="119" s="1"/>
  <c r="I2" i="119" s="1"/>
  <c r="J2" i="119" s="1"/>
  <c r="K2" i="119" s="1"/>
  <c r="L2" i="119" s="1"/>
  <c r="M2" i="119" s="1"/>
  <c r="N2" i="119" s="1"/>
  <c r="O2" i="119" s="1"/>
  <c r="P2" i="119" s="1"/>
  <c r="Q2" i="119" s="1"/>
  <c r="R2" i="119" s="1"/>
  <c r="S2" i="119" s="1"/>
  <c r="T2" i="119" s="1"/>
  <c r="U2" i="119" s="1"/>
  <c r="V2" i="119" s="1"/>
  <c r="W2" i="119" s="1"/>
  <c r="X2" i="119" s="1"/>
  <c r="Y2" i="119" s="1"/>
  <c r="Z2" i="119" s="1"/>
  <c r="AA2" i="119" s="1"/>
  <c r="AB2" i="119" s="1"/>
  <c r="AC2" i="119" s="1"/>
  <c r="AD2" i="119" s="1"/>
  <c r="AE2" i="119" s="1"/>
  <c r="AF2" i="119" s="1"/>
  <c r="AG2" i="119" s="1"/>
  <c r="N7" i="118"/>
  <c r="O7" i="118"/>
  <c r="O4" i="118" s="1"/>
  <c r="P7" i="118"/>
  <c r="P23" i="118" s="1"/>
  <c r="P24" i="118" s="1"/>
  <c r="P25" i="118" s="1"/>
  <c r="P26" i="118" s="1"/>
  <c r="P27" i="118" s="1"/>
  <c r="P28" i="118" s="1"/>
  <c r="P29" i="118" s="1"/>
  <c r="P30" i="118" s="1"/>
  <c r="P31" i="118" s="1"/>
  <c r="P32" i="118" s="1"/>
  <c r="P33" i="118" s="1"/>
  <c r="P34" i="118" s="1"/>
  <c r="P35" i="118" s="1"/>
  <c r="P36" i="118" s="1"/>
  <c r="P37" i="118" s="1"/>
  <c r="P38" i="118" s="1"/>
  <c r="P39" i="118" s="1"/>
  <c r="Q7" i="118"/>
  <c r="R7" i="118"/>
  <c r="S7" i="118"/>
  <c r="T7" i="118"/>
  <c r="U7" i="118"/>
  <c r="V7" i="118"/>
  <c r="V29" i="118" s="1"/>
  <c r="V30" i="118" s="1"/>
  <c r="V31" i="118" s="1"/>
  <c r="V32" i="118" s="1"/>
  <c r="V33" i="118" s="1"/>
  <c r="V34" i="118" s="1"/>
  <c r="V35" i="118" s="1"/>
  <c r="V36" i="118" s="1"/>
  <c r="V37" i="118" s="1"/>
  <c r="V38" i="118" s="1"/>
  <c r="V39" i="118" s="1"/>
  <c r="W7" i="118"/>
  <c r="X7" i="118"/>
  <c r="X4" i="118" s="1"/>
  <c r="Y7" i="118"/>
  <c r="Y4" i="118" s="1"/>
  <c r="Z7" i="118"/>
  <c r="AA7" i="118"/>
  <c r="AA34" i="118" s="1"/>
  <c r="AA35" i="118" s="1"/>
  <c r="AA36" i="118" s="1"/>
  <c r="AA37" i="118" s="1"/>
  <c r="AA38" i="118" s="1"/>
  <c r="AA39" i="118" s="1"/>
  <c r="AB7" i="118"/>
  <c r="AB35" i="118" s="1"/>
  <c r="AB36" i="118" s="1"/>
  <c r="AB37" i="118" s="1"/>
  <c r="AB38" i="118" s="1"/>
  <c r="AB39" i="118" s="1"/>
  <c r="AC7" i="118"/>
  <c r="AC36" i="118" s="1"/>
  <c r="AC37" i="118" s="1"/>
  <c r="AC38" i="118" s="1"/>
  <c r="AC39" i="118" s="1"/>
  <c r="AD7" i="118"/>
  <c r="AD37" i="118" s="1"/>
  <c r="AD38" i="118" s="1"/>
  <c r="AD39" i="118" s="1"/>
  <c r="AE7" i="118"/>
  <c r="AF7" i="118"/>
  <c r="AG7" i="118"/>
  <c r="C342" i="118"/>
  <c r="C343" i="118" s="1"/>
  <c r="H340" i="118"/>
  <c r="I340" i="118" s="1"/>
  <c r="J340" i="118" s="1"/>
  <c r="K340" i="118" s="1"/>
  <c r="L340" i="118" s="1"/>
  <c r="M340" i="118" s="1"/>
  <c r="N340" i="118" s="1"/>
  <c r="O340" i="118" s="1"/>
  <c r="P340" i="118" s="1"/>
  <c r="Q340" i="118" s="1"/>
  <c r="R340" i="118" s="1"/>
  <c r="S340" i="118" s="1"/>
  <c r="T340" i="118" s="1"/>
  <c r="U340" i="118" s="1"/>
  <c r="V340" i="118" s="1"/>
  <c r="W340" i="118" s="1"/>
  <c r="X340" i="118" s="1"/>
  <c r="Y340" i="118" s="1"/>
  <c r="Z340" i="118" s="1"/>
  <c r="AA340" i="118" s="1"/>
  <c r="AB340" i="118" s="1"/>
  <c r="AC340" i="118" s="1"/>
  <c r="AD340" i="118" s="1"/>
  <c r="AE340" i="118" s="1"/>
  <c r="AF340" i="118" s="1"/>
  <c r="AG340" i="118" s="1"/>
  <c r="F340" i="118"/>
  <c r="G340" i="118" s="1"/>
  <c r="E340" i="118"/>
  <c r="AC337" i="118"/>
  <c r="AA337" i="118"/>
  <c r="Z337" i="118"/>
  <c r="X337" i="118"/>
  <c r="W337" i="118"/>
  <c r="V337" i="118"/>
  <c r="R337" i="118"/>
  <c r="N337" i="118"/>
  <c r="L337" i="118"/>
  <c r="E337" i="118"/>
  <c r="D337" i="118"/>
  <c r="AG336" i="118"/>
  <c r="AG337" i="118" s="1"/>
  <c r="AF336" i="118"/>
  <c r="AF337" i="118" s="1"/>
  <c r="AE336" i="118"/>
  <c r="AE335" i="118"/>
  <c r="AE337" i="118" s="1"/>
  <c r="AD334" i="118"/>
  <c r="AC334" i="118"/>
  <c r="AC335" i="118" s="1"/>
  <c r="AH335" i="118" s="1"/>
  <c r="AC333" i="118"/>
  <c r="AB332" i="118"/>
  <c r="AA332" i="118"/>
  <c r="AA333" i="118" s="1"/>
  <c r="AH333" i="118" s="1"/>
  <c r="Z332" i="118"/>
  <c r="AH332" i="118" s="1"/>
  <c r="AA331" i="118"/>
  <c r="Z331" i="118"/>
  <c r="Z330" i="118"/>
  <c r="Y329" i="118"/>
  <c r="Y330" i="118" s="1"/>
  <c r="Y331" i="118" s="1"/>
  <c r="AH331" i="118" s="1"/>
  <c r="X329" i="118"/>
  <c r="X330" i="118" s="1"/>
  <c r="AH330" i="118" s="1"/>
  <c r="W329" i="118"/>
  <c r="AH329" i="118" s="1"/>
  <c r="AH328" i="118"/>
  <c r="X328" i="118"/>
  <c r="W327" i="118"/>
  <c r="W328" i="118" s="1"/>
  <c r="V326" i="118"/>
  <c r="V327" i="118" s="1"/>
  <c r="V328" i="118" s="1"/>
  <c r="U325" i="118"/>
  <c r="T325" i="118"/>
  <c r="T326" i="118" s="1"/>
  <c r="AH326" i="118" s="1"/>
  <c r="S325" i="118"/>
  <c r="AH325" i="118" s="1"/>
  <c r="T324" i="118"/>
  <c r="T337" i="118" s="1"/>
  <c r="S324" i="118"/>
  <c r="S323" i="118"/>
  <c r="S337" i="118" s="1"/>
  <c r="Q323" i="118"/>
  <c r="AH323" i="118" s="1"/>
  <c r="R322" i="118"/>
  <c r="R323" i="118" s="1"/>
  <c r="R324" i="118" s="1"/>
  <c r="AH324" i="118" s="1"/>
  <c r="Q322" i="118"/>
  <c r="Q321" i="118"/>
  <c r="Q337" i="118" s="1"/>
  <c r="AH320" i="118"/>
  <c r="P320" i="118"/>
  <c r="C320" i="118"/>
  <c r="C321" i="118" s="1"/>
  <c r="C322" i="118" s="1"/>
  <c r="C323" i="118" s="1"/>
  <c r="C324" i="118" s="1"/>
  <c r="C325" i="118" s="1"/>
  <c r="C326" i="118" s="1"/>
  <c r="C327" i="118" s="1"/>
  <c r="C328" i="118" s="1"/>
  <c r="C329" i="118" s="1"/>
  <c r="C330" i="118" s="1"/>
  <c r="C331" i="118" s="1"/>
  <c r="C332" i="118" s="1"/>
  <c r="C333" i="118" s="1"/>
  <c r="C334" i="118" s="1"/>
  <c r="C335" i="118" s="1"/>
  <c r="C336" i="118" s="1"/>
  <c r="AH319" i="118"/>
  <c r="O319" i="118"/>
  <c r="O337" i="118" s="1"/>
  <c r="N319" i="118"/>
  <c r="N320" i="118" s="1"/>
  <c r="M319" i="118"/>
  <c r="N318" i="118"/>
  <c r="M317" i="118"/>
  <c r="M318" i="118" s="1"/>
  <c r="L317" i="118"/>
  <c r="L318" i="118" s="1"/>
  <c r="AH318" i="118" s="1"/>
  <c r="L316" i="118"/>
  <c r="K315" i="118"/>
  <c r="I315" i="118"/>
  <c r="AH315" i="118" s="1"/>
  <c r="J314" i="118"/>
  <c r="I314" i="118"/>
  <c r="I313" i="118"/>
  <c r="I337" i="118" s="1"/>
  <c r="G313" i="118"/>
  <c r="AH313" i="118" s="1"/>
  <c r="H312" i="118"/>
  <c r="G312" i="118"/>
  <c r="F312" i="118"/>
  <c r="AH312" i="118" s="1"/>
  <c r="G311" i="118"/>
  <c r="G337" i="118" s="1"/>
  <c r="E311" i="118"/>
  <c r="AH311" i="118" s="1"/>
  <c r="C311" i="118"/>
  <c r="C312" i="118" s="1"/>
  <c r="C313" i="118" s="1"/>
  <c r="C314" i="118" s="1"/>
  <c r="C315" i="118" s="1"/>
  <c r="C316" i="118" s="1"/>
  <c r="C317" i="118" s="1"/>
  <c r="C318" i="118" s="1"/>
  <c r="C319" i="118" s="1"/>
  <c r="F310" i="118"/>
  <c r="F311" i="118" s="1"/>
  <c r="E310" i="118"/>
  <c r="E309" i="118"/>
  <c r="D308" i="118"/>
  <c r="C308" i="118"/>
  <c r="C309" i="118" s="1"/>
  <c r="C310" i="118" s="1"/>
  <c r="AH307" i="118"/>
  <c r="C307" i="118"/>
  <c r="AH306" i="118"/>
  <c r="L305" i="118"/>
  <c r="M305" i="118" s="1"/>
  <c r="N305" i="118" s="1"/>
  <c r="O305" i="118" s="1"/>
  <c r="P305" i="118" s="1"/>
  <c r="Q305" i="118" s="1"/>
  <c r="R305" i="118" s="1"/>
  <c r="S305" i="118" s="1"/>
  <c r="T305" i="118" s="1"/>
  <c r="U305" i="118" s="1"/>
  <c r="V305" i="118" s="1"/>
  <c r="W305" i="118" s="1"/>
  <c r="X305" i="118" s="1"/>
  <c r="Y305" i="118" s="1"/>
  <c r="Z305" i="118" s="1"/>
  <c r="AA305" i="118" s="1"/>
  <c r="AB305" i="118" s="1"/>
  <c r="AC305" i="118" s="1"/>
  <c r="AD305" i="118" s="1"/>
  <c r="AE305" i="118" s="1"/>
  <c r="AF305" i="118" s="1"/>
  <c r="AG305" i="118" s="1"/>
  <c r="F305" i="118"/>
  <c r="G305" i="118" s="1"/>
  <c r="H305" i="118" s="1"/>
  <c r="I305" i="118" s="1"/>
  <c r="J305" i="118" s="1"/>
  <c r="K305" i="118" s="1"/>
  <c r="E305" i="118"/>
  <c r="AH304" i="118"/>
  <c r="B304" i="118" s="1"/>
  <c r="AG299" i="118"/>
  <c r="AF299" i="118"/>
  <c r="AE299" i="118"/>
  <c r="AD299" i="118"/>
  <c r="AC299" i="118"/>
  <c r="U299" i="118"/>
  <c r="T299" i="118"/>
  <c r="R299" i="118"/>
  <c r="Q299" i="118"/>
  <c r="P299" i="118"/>
  <c r="N299" i="118"/>
  <c r="I299" i="118"/>
  <c r="H299" i="118"/>
  <c r="F299" i="118"/>
  <c r="D299" i="118"/>
  <c r="AG298" i="118"/>
  <c r="AF298" i="118"/>
  <c r="AE297" i="118"/>
  <c r="AE298" i="118" s="1"/>
  <c r="AD297" i="118"/>
  <c r="AD298" i="118" s="1"/>
  <c r="AC297" i="118"/>
  <c r="AC298" i="118" s="1"/>
  <c r="AD296" i="118"/>
  <c r="AC296" i="118"/>
  <c r="AC295" i="118"/>
  <c r="AB294" i="118"/>
  <c r="AA293" i="118"/>
  <c r="Z292" i="118"/>
  <c r="Y292" i="118"/>
  <c r="Y293" i="118" s="1"/>
  <c r="Y294" i="118" s="1"/>
  <c r="Y295" i="118" s="1"/>
  <c r="AH295" i="118" s="1"/>
  <c r="Y291" i="118"/>
  <c r="Y299" i="118" s="1"/>
  <c r="X290" i="118"/>
  <c r="U290" i="118"/>
  <c r="U291" i="118" s="1"/>
  <c r="AH291" i="118" s="1"/>
  <c r="W289" i="118"/>
  <c r="U289" i="118"/>
  <c r="V288" i="118"/>
  <c r="U288" i="118"/>
  <c r="U287" i="118"/>
  <c r="T287" i="118"/>
  <c r="T288" i="118" s="1"/>
  <c r="T289" i="118" s="1"/>
  <c r="T290" i="118" s="1"/>
  <c r="AH290" i="118" s="1"/>
  <c r="AH286" i="118"/>
  <c r="T286" i="118"/>
  <c r="S285" i="118"/>
  <c r="S286" i="118" s="1"/>
  <c r="S287" i="118" s="1"/>
  <c r="S288" i="118" s="1"/>
  <c r="S289" i="118" s="1"/>
  <c r="AH289" i="118" s="1"/>
  <c r="R285" i="118"/>
  <c r="R286" i="118" s="1"/>
  <c r="R287" i="118" s="1"/>
  <c r="R288" i="118" s="1"/>
  <c r="AH288" i="118" s="1"/>
  <c r="P285" i="118"/>
  <c r="P286" i="118" s="1"/>
  <c r="R284" i="118"/>
  <c r="P284" i="118"/>
  <c r="O284" i="118"/>
  <c r="O285" i="118" s="1"/>
  <c r="AH285" i="118" s="1"/>
  <c r="Q283" i="118"/>
  <c r="Q284" i="118" s="1"/>
  <c r="Q285" i="118" s="1"/>
  <c r="Q286" i="118" s="1"/>
  <c r="Q287" i="118" s="1"/>
  <c r="AH287" i="118" s="1"/>
  <c r="P283" i="118"/>
  <c r="P282" i="118"/>
  <c r="O282" i="118"/>
  <c r="O283" i="118" s="1"/>
  <c r="N282" i="118"/>
  <c r="N283" i="118" s="1"/>
  <c r="N284" i="118" s="1"/>
  <c r="AH284" i="118" s="1"/>
  <c r="M282" i="118"/>
  <c r="M283" i="118" s="1"/>
  <c r="AH283" i="118" s="1"/>
  <c r="O281" i="118"/>
  <c r="O299" i="118" s="1"/>
  <c r="N280" i="118"/>
  <c r="N281" i="118" s="1"/>
  <c r="M280" i="118"/>
  <c r="M281" i="118" s="1"/>
  <c r="M279" i="118"/>
  <c r="M299" i="118" s="1"/>
  <c r="L278" i="118"/>
  <c r="J278" i="118"/>
  <c r="J279" i="118" s="1"/>
  <c r="J280" i="118" s="1"/>
  <c r="AH280" i="118" s="1"/>
  <c r="K277" i="118"/>
  <c r="J277" i="118"/>
  <c r="I277" i="118"/>
  <c r="I278" i="118" s="1"/>
  <c r="I279" i="118" s="1"/>
  <c r="AH279" i="118" s="1"/>
  <c r="H277" i="118"/>
  <c r="H278" i="118" s="1"/>
  <c r="AH278" i="118" s="1"/>
  <c r="J276" i="118"/>
  <c r="J299" i="118" s="1"/>
  <c r="I275" i="118"/>
  <c r="I276" i="118" s="1"/>
  <c r="H275" i="118"/>
  <c r="H276" i="118" s="1"/>
  <c r="G275" i="118"/>
  <c r="G276" i="118" s="1"/>
  <c r="G277" i="118" s="1"/>
  <c r="AH277" i="118" s="1"/>
  <c r="F275" i="118"/>
  <c r="F276" i="118" s="1"/>
  <c r="AH276" i="118" s="1"/>
  <c r="H274" i="118"/>
  <c r="G273" i="118"/>
  <c r="G274" i="118" s="1"/>
  <c r="F273" i="118"/>
  <c r="F274" i="118" s="1"/>
  <c r="C273" i="118"/>
  <c r="C274" i="118" s="1"/>
  <c r="C275" i="118" s="1"/>
  <c r="C276" i="118" s="1"/>
  <c r="C277" i="118" s="1"/>
  <c r="C278" i="118" s="1"/>
  <c r="C279" i="118" s="1"/>
  <c r="C280" i="118" s="1"/>
  <c r="C281" i="118" s="1"/>
  <c r="C282" i="118" s="1"/>
  <c r="C283" i="118" s="1"/>
  <c r="C284" i="118" s="1"/>
  <c r="C285" i="118" s="1"/>
  <c r="C286" i="118" s="1"/>
  <c r="C287" i="118" s="1"/>
  <c r="C288" i="118" s="1"/>
  <c r="C289" i="118" s="1"/>
  <c r="C290" i="118" s="1"/>
  <c r="C291" i="118" s="1"/>
  <c r="C292" i="118" s="1"/>
  <c r="C293" i="118" s="1"/>
  <c r="C294" i="118" s="1"/>
  <c r="C295" i="118" s="1"/>
  <c r="C296" i="118" s="1"/>
  <c r="C297" i="118" s="1"/>
  <c r="C298" i="118" s="1"/>
  <c r="F272" i="118"/>
  <c r="D272" i="118"/>
  <c r="C272" i="118"/>
  <c r="E271" i="118"/>
  <c r="C271" i="118"/>
  <c r="D270" i="118"/>
  <c r="D271" i="118" s="1"/>
  <c r="AH271" i="118" s="1"/>
  <c r="C270" i="118"/>
  <c r="AH269" i="118"/>
  <c r="C269" i="118"/>
  <c r="AH268" i="118"/>
  <c r="F267" i="118"/>
  <c r="G267" i="118" s="1"/>
  <c r="H267" i="118" s="1"/>
  <c r="I267" i="118" s="1"/>
  <c r="J267" i="118" s="1"/>
  <c r="K267" i="118" s="1"/>
  <c r="L267" i="118" s="1"/>
  <c r="M267" i="118" s="1"/>
  <c r="N267" i="118" s="1"/>
  <c r="O267" i="118" s="1"/>
  <c r="P267" i="118" s="1"/>
  <c r="Q267" i="118" s="1"/>
  <c r="R267" i="118" s="1"/>
  <c r="S267" i="118" s="1"/>
  <c r="T267" i="118" s="1"/>
  <c r="U267" i="118" s="1"/>
  <c r="V267" i="118" s="1"/>
  <c r="W267" i="118" s="1"/>
  <c r="X267" i="118" s="1"/>
  <c r="Y267" i="118" s="1"/>
  <c r="Z267" i="118" s="1"/>
  <c r="AA267" i="118" s="1"/>
  <c r="AB267" i="118" s="1"/>
  <c r="AC267" i="118" s="1"/>
  <c r="AD267" i="118" s="1"/>
  <c r="AE267" i="118" s="1"/>
  <c r="AF267" i="118" s="1"/>
  <c r="AG267" i="118" s="1"/>
  <c r="E267" i="118"/>
  <c r="AH266" i="118"/>
  <c r="B266" i="118"/>
  <c r="AC261" i="118"/>
  <c r="Z261" i="118"/>
  <c r="X261" i="118"/>
  <c r="W261" i="118"/>
  <c r="V261" i="118"/>
  <c r="N261" i="118"/>
  <c r="L261" i="118"/>
  <c r="K261" i="118"/>
  <c r="J261" i="118"/>
  <c r="I261" i="118"/>
  <c r="E261" i="118"/>
  <c r="AG260" i="118"/>
  <c r="AG261" i="118" s="1"/>
  <c r="AF260" i="118"/>
  <c r="AF261" i="118" s="1"/>
  <c r="AE259" i="118"/>
  <c r="AD259" i="118"/>
  <c r="AD260" i="118" s="1"/>
  <c r="AD258" i="118"/>
  <c r="AD261" i="118" s="1"/>
  <c r="AC257" i="118"/>
  <c r="AC258" i="118" s="1"/>
  <c r="AC259" i="118" s="1"/>
  <c r="AC260" i="118" s="1"/>
  <c r="X257" i="118"/>
  <c r="X258" i="118" s="1"/>
  <c r="AH258" i="118" s="1"/>
  <c r="AB256" i="118"/>
  <c r="AB261" i="118" s="1"/>
  <c r="AA255" i="118"/>
  <c r="Z255" i="118"/>
  <c r="Z256" i="118" s="1"/>
  <c r="Z257" i="118" s="1"/>
  <c r="Z258" i="118" s="1"/>
  <c r="Z259" i="118" s="1"/>
  <c r="Z260" i="118" s="1"/>
  <c r="AH260" i="118" s="1"/>
  <c r="Z254" i="118"/>
  <c r="X254" i="118"/>
  <c r="X255" i="118" s="1"/>
  <c r="X256" i="118" s="1"/>
  <c r="W254" i="118"/>
  <c r="W255" i="118" s="1"/>
  <c r="W256" i="118" s="1"/>
  <c r="W257" i="118" s="1"/>
  <c r="AH257" i="118" s="1"/>
  <c r="Y253" i="118"/>
  <c r="X252" i="118"/>
  <c r="X253" i="118" s="1"/>
  <c r="W252" i="118"/>
  <c r="W253" i="118" s="1"/>
  <c r="V252" i="118"/>
  <c r="V253" i="118" s="1"/>
  <c r="V254" i="118" s="1"/>
  <c r="V255" i="118" s="1"/>
  <c r="V256" i="118" s="1"/>
  <c r="AH256" i="118" s="1"/>
  <c r="W251" i="118"/>
  <c r="V251" i="118"/>
  <c r="T251" i="118"/>
  <c r="T252" i="118" s="1"/>
  <c r="T253" i="118" s="1"/>
  <c r="T254" i="118" s="1"/>
  <c r="AH254" i="118" s="1"/>
  <c r="R251" i="118"/>
  <c r="R252" i="118" s="1"/>
  <c r="AH252" i="118" s="1"/>
  <c r="V250" i="118"/>
  <c r="U249" i="118"/>
  <c r="U250" i="118" s="1"/>
  <c r="U251" i="118" s="1"/>
  <c r="U252" i="118" s="1"/>
  <c r="U253" i="118" s="1"/>
  <c r="U254" i="118" s="1"/>
  <c r="U255" i="118" s="1"/>
  <c r="AH255" i="118" s="1"/>
  <c r="T249" i="118"/>
  <c r="T250" i="118" s="1"/>
  <c r="T248" i="118"/>
  <c r="T261" i="118" s="1"/>
  <c r="R248" i="118"/>
  <c r="R249" i="118" s="1"/>
  <c r="R250" i="118" s="1"/>
  <c r="S247" i="118"/>
  <c r="R247" i="118"/>
  <c r="P247" i="118"/>
  <c r="P248" i="118" s="1"/>
  <c r="P249" i="118" s="1"/>
  <c r="P250" i="118" s="1"/>
  <c r="AH250" i="118" s="1"/>
  <c r="N247" i="118"/>
  <c r="N248" i="118" s="1"/>
  <c r="AH248" i="118" s="1"/>
  <c r="R246" i="118"/>
  <c r="R261" i="118" s="1"/>
  <c r="O246" i="118"/>
  <c r="O247" i="118" s="1"/>
  <c r="O248" i="118" s="1"/>
  <c r="O249" i="118" s="1"/>
  <c r="AH249" i="118" s="1"/>
  <c r="Q245" i="118"/>
  <c r="P245" i="118"/>
  <c r="P246" i="118" s="1"/>
  <c r="P244" i="118"/>
  <c r="P261" i="118" s="1"/>
  <c r="O244" i="118"/>
  <c r="O245" i="118" s="1"/>
  <c r="O243" i="118"/>
  <c r="O261" i="118" s="1"/>
  <c r="N243" i="118"/>
  <c r="N244" i="118" s="1"/>
  <c r="N245" i="118" s="1"/>
  <c r="N246" i="118" s="1"/>
  <c r="N242" i="118"/>
  <c r="K242" i="118"/>
  <c r="K243" i="118" s="1"/>
  <c r="K244" i="118" s="1"/>
  <c r="K245" i="118" s="1"/>
  <c r="AH245" i="118" s="1"/>
  <c r="J242" i="118"/>
  <c r="J243" i="118" s="1"/>
  <c r="J244" i="118" s="1"/>
  <c r="AH244" i="118" s="1"/>
  <c r="M241" i="118"/>
  <c r="L240" i="118"/>
  <c r="L241" i="118" s="1"/>
  <c r="L242" i="118" s="1"/>
  <c r="L243" i="118" s="1"/>
  <c r="L244" i="118" s="1"/>
  <c r="L245" i="118" s="1"/>
  <c r="L246" i="118" s="1"/>
  <c r="AH246" i="118" s="1"/>
  <c r="K240" i="118"/>
  <c r="K241" i="118" s="1"/>
  <c r="J240" i="118"/>
  <c r="J241" i="118" s="1"/>
  <c r="K239" i="118"/>
  <c r="J239" i="118"/>
  <c r="I239" i="118"/>
  <c r="I240" i="118" s="1"/>
  <c r="I241" i="118" s="1"/>
  <c r="I242" i="118" s="1"/>
  <c r="I243" i="118" s="1"/>
  <c r="AH243" i="118" s="1"/>
  <c r="G239" i="118"/>
  <c r="G240" i="118" s="1"/>
  <c r="G241" i="118" s="1"/>
  <c r="AH241" i="118" s="1"/>
  <c r="E239" i="118"/>
  <c r="AH239" i="118" s="1"/>
  <c r="J238" i="118"/>
  <c r="G238" i="118"/>
  <c r="I237" i="118"/>
  <c r="I238" i="118" s="1"/>
  <c r="H236" i="118"/>
  <c r="G236" i="118"/>
  <c r="G237" i="118" s="1"/>
  <c r="E236" i="118"/>
  <c r="E237" i="118" s="1"/>
  <c r="E238" i="118" s="1"/>
  <c r="G235" i="118"/>
  <c r="G261" i="118" s="1"/>
  <c r="C235" i="118"/>
  <c r="C236" i="118" s="1"/>
  <c r="C237" i="118" s="1"/>
  <c r="C238" i="118" s="1"/>
  <c r="C239" i="118" s="1"/>
  <c r="C240" i="118" s="1"/>
  <c r="C241" i="118" s="1"/>
  <c r="C242" i="118" s="1"/>
  <c r="C243" i="118" s="1"/>
  <c r="C244" i="118" s="1"/>
  <c r="C245" i="118" s="1"/>
  <c r="C246" i="118" s="1"/>
  <c r="C247" i="118" s="1"/>
  <c r="C248" i="118" s="1"/>
  <c r="C249" i="118" s="1"/>
  <c r="C250" i="118" s="1"/>
  <c r="C251" i="118" s="1"/>
  <c r="C252" i="118" s="1"/>
  <c r="C253" i="118" s="1"/>
  <c r="C254" i="118" s="1"/>
  <c r="C255" i="118" s="1"/>
  <c r="C256" i="118" s="1"/>
  <c r="C257" i="118" s="1"/>
  <c r="C258" i="118" s="1"/>
  <c r="C259" i="118" s="1"/>
  <c r="C260" i="118" s="1"/>
  <c r="F234" i="118"/>
  <c r="E234" i="118"/>
  <c r="E235" i="118" s="1"/>
  <c r="E233" i="118"/>
  <c r="AH232" i="118"/>
  <c r="AH261" i="118" s="1"/>
  <c r="D232" i="118"/>
  <c r="AH231" i="118"/>
  <c r="C231" i="118"/>
  <c r="C232" i="118" s="1"/>
  <c r="C233" i="118" s="1"/>
  <c r="C234" i="118" s="1"/>
  <c r="AH230" i="118"/>
  <c r="H229" i="118"/>
  <c r="I229" i="118" s="1"/>
  <c r="J229" i="118" s="1"/>
  <c r="K229" i="118" s="1"/>
  <c r="L229" i="118" s="1"/>
  <c r="M229" i="118" s="1"/>
  <c r="N229" i="118" s="1"/>
  <c r="O229" i="118" s="1"/>
  <c r="P229" i="118" s="1"/>
  <c r="Q229" i="118" s="1"/>
  <c r="R229" i="118" s="1"/>
  <c r="S229" i="118" s="1"/>
  <c r="T229" i="118" s="1"/>
  <c r="U229" i="118" s="1"/>
  <c r="V229" i="118" s="1"/>
  <c r="W229" i="118" s="1"/>
  <c r="X229" i="118" s="1"/>
  <c r="Y229" i="118" s="1"/>
  <c r="Z229" i="118" s="1"/>
  <c r="AA229" i="118" s="1"/>
  <c r="AB229" i="118" s="1"/>
  <c r="AC229" i="118" s="1"/>
  <c r="AD229" i="118" s="1"/>
  <c r="AE229" i="118" s="1"/>
  <c r="AF229" i="118" s="1"/>
  <c r="AG229" i="118" s="1"/>
  <c r="G229" i="118"/>
  <c r="E229" i="118"/>
  <c r="F229" i="118" s="1"/>
  <c r="AH228" i="118"/>
  <c r="B228" i="118"/>
  <c r="AG225" i="118"/>
  <c r="AF225" i="118"/>
  <c r="AE225" i="118"/>
  <c r="AD225" i="118"/>
  <c r="AC225" i="118"/>
  <c r="AB225" i="118"/>
  <c r="AA225" i="118"/>
  <c r="W225" i="118"/>
  <c r="V225" i="118"/>
  <c r="U225" i="118"/>
  <c r="T225" i="118"/>
  <c r="S225" i="118"/>
  <c r="R225" i="118"/>
  <c r="Q225" i="118"/>
  <c r="P225" i="118"/>
  <c r="O225" i="118"/>
  <c r="H225" i="118"/>
  <c r="F225" i="118"/>
  <c r="D225" i="118"/>
  <c r="AG224" i="118"/>
  <c r="AF224" i="118"/>
  <c r="AB224" i="118"/>
  <c r="AA224" i="118"/>
  <c r="AE223" i="118"/>
  <c r="AE224" i="118" s="1"/>
  <c r="AD222" i="118"/>
  <c r="AD223" i="118" s="1"/>
  <c r="AD224" i="118" s="1"/>
  <c r="AB222" i="118"/>
  <c r="AB223" i="118" s="1"/>
  <c r="AA222" i="118"/>
  <c r="AA223" i="118" s="1"/>
  <c r="AC221" i="118"/>
  <c r="AC222" i="118" s="1"/>
  <c r="AC223" i="118" s="1"/>
  <c r="AC224" i="118" s="1"/>
  <c r="AA221" i="118"/>
  <c r="U221" i="118"/>
  <c r="U222" i="118" s="1"/>
  <c r="AH222" i="118" s="1"/>
  <c r="AB220" i="118"/>
  <c r="AB221" i="118" s="1"/>
  <c r="AA219" i="118"/>
  <c r="AA220" i="118" s="1"/>
  <c r="W219" i="118"/>
  <c r="W220" i="118" s="1"/>
  <c r="W221" i="118" s="1"/>
  <c r="W222" i="118" s="1"/>
  <c r="W223" i="118" s="1"/>
  <c r="W224" i="118" s="1"/>
  <c r="AH224" i="118" s="1"/>
  <c r="Z218" i="118"/>
  <c r="Z225" i="118" s="1"/>
  <c r="Y217" i="118"/>
  <c r="Y225" i="118" s="1"/>
  <c r="W217" i="118"/>
  <c r="W218" i="118" s="1"/>
  <c r="X216" i="118"/>
  <c r="X225" i="118" s="1"/>
  <c r="W216" i="118"/>
  <c r="W215" i="118"/>
  <c r="V215" i="118"/>
  <c r="V216" i="118" s="1"/>
  <c r="V217" i="118" s="1"/>
  <c r="V218" i="118" s="1"/>
  <c r="V219" i="118" s="1"/>
  <c r="V220" i="118" s="1"/>
  <c r="V221" i="118" s="1"/>
  <c r="V222" i="118" s="1"/>
  <c r="V223" i="118" s="1"/>
  <c r="AH223" i="118" s="1"/>
  <c r="U215" i="118"/>
  <c r="U216" i="118" s="1"/>
  <c r="U217" i="118" s="1"/>
  <c r="U218" i="118" s="1"/>
  <c r="U219" i="118" s="1"/>
  <c r="U220" i="118" s="1"/>
  <c r="V214" i="118"/>
  <c r="U214" i="118"/>
  <c r="U213" i="118"/>
  <c r="T213" i="118"/>
  <c r="T214" i="118" s="1"/>
  <c r="T215" i="118" s="1"/>
  <c r="T216" i="118" s="1"/>
  <c r="T217" i="118" s="1"/>
  <c r="T218" i="118" s="1"/>
  <c r="T219" i="118" s="1"/>
  <c r="T220" i="118" s="1"/>
  <c r="T221" i="118" s="1"/>
  <c r="AH221" i="118" s="1"/>
  <c r="S213" i="118"/>
  <c r="S214" i="118" s="1"/>
  <c r="S215" i="118" s="1"/>
  <c r="S216" i="118" s="1"/>
  <c r="S217" i="118" s="1"/>
  <c r="S218" i="118" s="1"/>
  <c r="S219" i="118" s="1"/>
  <c r="S220" i="118" s="1"/>
  <c r="AH220" i="118" s="1"/>
  <c r="R213" i="118"/>
  <c r="R214" i="118" s="1"/>
  <c r="R215" i="118" s="1"/>
  <c r="R216" i="118" s="1"/>
  <c r="R217" i="118" s="1"/>
  <c r="R218" i="118" s="1"/>
  <c r="R219" i="118" s="1"/>
  <c r="AH219" i="118" s="1"/>
  <c r="Q213" i="118"/>
  <c r="Q214" i="118" s="1"/>
  <c r="Q215" i="118" s="1"/>
  <c r="Q216" i="118" s="1"/>
  <c r="Q217" i="118" s="1"/>
  <c r="Q218" i="118" s="1"/>
  <c r="AH218" i="118" s="1"/>
  <c r="T212" i="118"/>
  <c r="S212" i="118"/>
  <c r="S211" i="118"/>
  <c r="R211" i="118"/>
  <c r="R212" i="118" s="1"/>
  <c r="Q211" i="118"/>
  <c r="Q212" i="118" s="1"/>
  <c r="R210" i="118"/>
  <c r="Q210" i="118"/>
  <c r="P210" i="118"/>
  <c r="P211" i="118" s="1"/>
  <c r="P212" i="118" s="1"/>
  <c r="P213" i="118" s="1"/>
  <c r="P214" i="118" s="1"/>
  <c r="P215" i="118" s="1"/>
  <c r="P216" i="118" s="1"/>
  <c r="P217" i="118" s="1"/>
  <c r="AH217" i="118" s="1"/>
  <c r="N210" i="118"/>
  <c r="N211" i="118" s="1"/>
  <c r="N212" i="118" s="1"/>
  <c r="N213" i="118" s="1"/>
  <c r="N214" i="118" s="1"/>
  <c r="N215" i="118" s="1"/>
  <c r="AH215" i="118" s="1"/>
  <c r="Q209" i="118"/>
  <c r="P209" i="118"/>
  <c r="N209" i="118"/>
  <c r="P208" i="118"/>
  <c r="O208" i="118"/>
  <c r="O209" i="118" s="1"/>
  <c r="O210" i="118" s="1"/>
  <c r="O211" i="118" s="1"/>
  <c r="O212" i="118" s="1"/>
  <c r="O213" i="118" s="1"/>
  <c r="O214" i="118" s="1"/>
  <c r="O215" i="118" s="1"/>
  <c r="O216" i="118" s="1"/>
  <c r="AH216" i="118" s="1"/>
  <c r="M208" i="118"/>
  <c r="M209" i="118" s="1"/>
  <c r="M210" i="118" s="1"/>
  <c r="M211" i="118" s="1"/>
  <c r="M212" i="118" s="1"/>
  <c r="M213" i="118" s="1"/>
  <c r="M214" i="118" s="1"/>
  <c r="AH214" i="118" s="1"/>
  <c r="L208" i="118"/>
  <c r="L209" i="118" s="1"/>
  <c r="L210" i="118" s="1"/>
  <c r="L211" i="118" s="1"/>
  <c r="L212" i="118" s="1"/>
  <c r="L213" i="118" s="1"/>
  <c r="AH213" i="118" s="1"/>
  <c r="K208" i="118"/>
  <c r="K209" i="118" s="1"/>
  <c r="K210" i="118" s="1"/>
  <c r="K211" i="118" s="1"/>
  <c r="K212" i="118" s="1"/>
  <c r="AH212" i="118" s="1"/>
  <c r="H208" i="118"/>
  <c r="H209" i="118" s="1"/>
  <c r="AH209" i="118" s="1"/>
  <c r="O207" i="118"/>
  <c r="N207" i="118"/>
  <c r="N208" i="118" s="1"/>
  <c r="M207" i="118"/>
  <c r="K207" i="118"/>
  <c r="N206" i="118"/>
  <c r="N225" i="118" s="1"/>
  <c r="M206" i="118"/>
  <c r="H206" i="118"/>
  <c r="H207" i="118" s="1"/>
  <c r="F206" i="118"/>
  <c r="F207" i="118" s="1"/>
  <c r="AH207" i="118" s="1"/>
  <c r="M205" i="118"/>
  <c r="M225" i="118" s="1"/>
  <c r="L205" i="118"/>
  <c r="L206" i="118" s="1"/>
  <c r="L207" i="118" s="1"/>
  <c r="C205" i="118"/>
  <c r="C206" i="118" s="1"/>
  <c r="C207" i="118" s="1"/>
  <c r="C208" i="118" s="1"/>
  <c r="C209" i="118" s="1"/>
  <c r="C210" i="118" s="1"/>
  <c r="C211" i="118" s="1"/>
  <c r="C212" i="118" s="1"/>
  <c r="C213" i="118" s="1"/>
  <c r="C214" i="118" s="1"/>
  <c r="C215" i="118" s="1"/>
  <c r="C216" i="118" s="1"/>
  <c r="C217" i="118" s="1"/>
  <c r="C218" i="118" s="1"/>
  <c r="C219" i="118" s="1"/>
  <c r="C220" i="118" s="1"/>
  <c r="C221" i="118" s="1"/>
  <c r="C222" i="118" s="1"/>
  <c r="C223" i="118" s="1"/>
  <c r="C224" i="118" s="1"/>
  <c r="L204" i="118"/>
  <c r="L225" i="118" s="1"/>
  <c r="K204" i="118"/>
  <c r="K205" i="118" s="1"/>
  <c r="K206" i="118" s="1"/>
  <c r="H204" i="118"/>
  <c r="H205" i="118" s="1"/>
  <c r="F204" i="118"/>
  <c r="F205" i="118" s="1"/>
  <c r="K203" i="118"/>
  <c r="K225" i="118" s="1"/>
  <c r="J202" i="118"/>
  <c r="I201" i="118"/>
  <c r="I225" i="118" s="1"/>
  <c r="H200" i="118"/>
  <c r="H201" i="118" s="1"/>
  <c r="H202" i="118" s="1"/>
  <c r="H203" i="118" s="1"/>
  <c r="G199" i="118"/>
  <c r="F199" i="118"/>
  <c r="F200" i="118" s="1"/>
  <c r="F201" i="118" s="1"/>
  <c r="F202" i="118" s="1"/>
  <c r="F203" i="118" s="1"/>
  <c r="F198" i="118"/>
  <c r="D198" i="118"/>
  <c r="AH197" i="118"/>
  <c r="E197" i="118"/>
  <c r="D197" i="118"/>
  <c r="AH196" i="118"/>
  <c r="D196" i="118"/>
  <c r="C196" i="118"/>
  <c r="C197" i="118" s="1"/>
  <c r="C198" i="118" s="1"/>
  <c r="C199" i="118" s="1"/>
  <c r="C200" i="118" s="1"/>
  <c r="C201" i="118" s="1"/>
  <c r="C202" i="118" s="1"/>
  <c r="C203" i="118" s="1"/>
  <c r="C204" i="118" s="1"/>
  <c r="AH195" i="118"/>
  <c r="C195" i="118"/>
  <c r="AH194" i="118"/>
  <c r="I193" i="118"/>
  <c r="J193" i="118" s="1"/>
  <c r="K193" i="118" s="1"/>
  <c r="L193" i="118" s="1"/>
  <c r="M193" i="118" s="1"/>
  <c r="N193" i="118" s="1"/>
  <c r="O193" i="118" s="1"/>
  <c r="P193" i="118" s="1"/>
  <c r="Q193" i="118" s="1"/>
  <c r="R193" i="118" s="1"/>
  <c r="S193" i="118" s="1"/>
  <c r="T193" i="118" s="1"/>
  <c r="U193" i="118" s="1"/>
  <c r="V193" i="118" s="1"/>
  <c r="W193" i="118" s="1"/>
  <c r="X193" i="118" s="1"/>
  <c r="Y193" i="118" s="1"/>
  <c r="Z193" i="118" s="1"/>
  <c r="AA193" i="118" s="1"/>
  <c r="AB193" i="118" s="1"/>
  <c r="AC193" i="118" s="1"/>
  <c r="AD193" i="118" s="1"/>
  <c r="AE193" i="118" s="1"/>
  <c r="AF193" i="118" s="1"/>
  <c r="AG193" i="118" s="1"/>
  <c r="G193" i="118"/>
  <c r="H193" i="118" s="1"/>
  <c r="F193" i="118"/>
  <c r="E193" i="118"/>
  <c r="AH192" i="118"/>
  <c r="B192" i="118"/>
  <c r="AF188" i="118"/>
  <c r="AD188" i="118"/>
  <c r="AC188" i="118"/>
  <c r="AB188" i="118"/>
  <c r="Z188" i="118"/>
  <c r="T188" i="118"/>
  <c r="Q188" i="118"/>
  <c r="P188" i="118"/>
  <c r="O188" i="118"/>
  <c r="N188" i="118"/>
  <c r="I188" i="118"/>
  <c r="H188" i="118"/>
  <c r="AG187" i="118"/>
  <c r="AG188" i="118" s="1"/>
  <c r="AF187" i="118"/>
  <c r="AD187" i="118"/>
  <c r="AE186" i="118"/>
  <c r="AE187" i="118" s="1"/>
  <c r="AD185" i="118"/>
  <c r="AD186" i="118" s="1"/>
  <c r="AC184" i="118"/>
  <c r="AC185" i="118" s="1"/>
  <c r="AC186" i="118" s="1"/>
  <c r="AC187" i="118" s="1"/>
  <c r="Z184" i="118"/>
  <c r="Z185" i="118" s="1"/>
  <c r="Z186" i="118" s="1"/>
  <c r="Z187" i="118" s="1"/>
  <c r="Y184" i="118"/>
  <c r="Y185" i="118" s="1"/>
  <c r="Y186" i="118" s="1"/>
  <c r="Y187" i="118" s="1"/>
  <c r="AB183" i="118"/>
  <c r="AB184" i="118" s="1"/>
  <c r="AB185" i="118" s="1"/>
  <c r="AB186" i="118" s="1"/>
  <c r="AB187" i="118" s="1"/>
  <c r="Z183" i="118"/>
  <c r="Y183" i="118"/>
  <c r="AA182" i="118"/>
  <c r="Z182" i="118"/>
  <c r="V182" i="118"/>
  <c r="V183" i="118" s="1"/>
  <c r="V184" i="118" s="1"/>
  <c r="V185" i="118" s="1"/>
  <c r="V186" i="118" s="1"/>
  <c r="V187" i="118" s="1"/>
  <c r="U182" i="118"/>
  <c r="U183" i="118" s="1"/>
  <c r="U184" i="118" s="1"/>
  <c r="U185" i="118" s="1"/>
  <c r="U186" i="118" s="1"/>
  <c r="U187" i="118" s="1"/>
  <c r="AH187" i="118" s="1"/>
  <c r="Z181" i="118"/>
  <c r="Y181" i="118"/>
  <c r="Y182" i="118" s="1"/>
  <c r="O181" i="118"/>
  <c r="AH181" i="118" s="1"/>
  <c r="Y180" i="118"/>
  <c r="Y188" i="118" s="1"/>
  <c r="X179" i="118"/>
  <c r="X188" i="118" s="1"/>
  <c r="W178" i="118"/>
  <c r="V178" i="118"/>
  <c r="V179" i="118" s="1"/>
  <c r="V180" i="118" s="1"/>
  <c r="V181" i="118" s="1"/>
  <c r="U178" i="118"/>
  <c r="U179" i="118" s="1"/>
  <c r="U180" i="118" s="1"/>
  <c r="U181" i="118" s="1"/>
  <c r="V177" i="118"/>
  <c r="V188" i="118" s="1"/>
  <c r="U177" i="118"/>
  <c r="U176" i="118"/>
  <c r="U188" i="118" s="1"/>
  <c r="T176" i="118"/>
  <c r="T177" i="118" s="1"/>
  <c r="T178" i="118" s="1"/>
  <c r="T179" i="118" s="1"/>
  <c r="T180" i="118" s="1"/>
  <c r="T181" i="118" s="1"/>
  <c r="T182" i="118" s="1"/>
  <c r="T183" i="118" s="1"/>
  <c r="T184" i="118" s="1"/>
  <c r="T185" i="118" s="1"/>
  <c r="T186" i="118" s="1"/>
  <c r="AH186" i="118" s="1"/>
  <c r="Q176" i="118"/>
  <c r="Q177" i="118" s="1"/>
  <c r="Q178" i="118" s="1"/>
  <c r="Q179" i="118" s="1"/>
  <c r="Q180" i="118" s="1"/>
  <c r="Q181" i="118" s="1"/>
  <c r="Q182" i="118" s="1"/>
  <c r="Q183" i="118" s="1"/>
  <c r="AH183" i="118" s="1"/>
  <c r="T175" i="118"/>
  <c r="S175" i="118"/>
  <c r="S176" i="118" s="1"/>
  <c r="S177" i="118" s="1"/>
  <c r="S178" i="118" s="1"/>
  <c r="S179" i="118" s="1"/>
  <c r="S180" i="118" s="1"/>
  <c r="S181" i="118" s="1"/>
  <c r="S182" i="118" s="1"/>
  <c r="S183" i="118" s="1"/>
  <c r="S184" i="118" s="1"/>
  <c r="S185" i="118" s="1"/>
  <c r="AH185" i="118" s="1"/>
  <c r="S174" i="118"/>
  <c r="S188" i="118" s="1"/>
  <c r="R173" i="118"/>
  <c r="I173" i="118"/>
  <c r="I174" i="118" s="1"/>
  <c r="I175" i="118" s="1"/>
  <c r="AH175" i="118" s="1"/>
  <c r="Q172" i="118"/>
  <c r="Q173" i="118" s="1"/>
  <c r="Q174" i="118" s="1"/>
  <c r="Q175" i="118" s="1"/>
  <c r="H172" i="118"/>
  <c r="H173" i="118" s="1"/>
  <c r="H174" i="118" s="1"/>
  <c r="AH174" i="118" s="1"/>
  <c r="P171" i="118"/>
  <c r="P172" i="118" s="1"/>
  <c r="P173" i="118" s="1"/>
  <c r="P174" i="118" s="1"/>
  <c r="P175" i="118" s="1"/>
  <c r="P176" i="118" s="1"/>
  <c r="P177" i="118" s="1"/>
  <c r="P178" i="118" s="1"/>
  <c r="P179" i="118" s="1"/>
  <c r="P180" i="118" s="1"/>
  <c r="P181" i="118" s="1"/>
  <c r="P182" i="118" s="1"/>
  <c r="AH182" i="118" s="1"/>
  <c r="I171" i="118"/>
  <c r="I172" i="118" s="1"/>
  <c r="O170" i="118"/>
  <c r="O171" i="118" s="1"/>
  <c r="O172" i="118" s="1"/>
  <c r="O173" i="118" s="1"/>
  <c r="O174" i="118" s="1"/>
  <c r="O175" i="118" s="1"/>
  <c r="O176" i="118" s="1"/>
  <c r="O177" i="118" s="1"/>
  <c r="O178" i="118" s="1"/>
  <c r="O179" i="118" s="1"/>
  <c r="O180" i="118" s="1"/>
  <c r="G170" i="118"/>
  <c r="G171" i="118" s="1"/>
  <c r="G172" i="118" s="1"/>
  <c r="G173" i="118" s="1"/>
  <c r="AH173" i="118" s="1"/>
  <c r="N169" i="118"/>
  <c r="N170" i="118" s="1"/>
  <c r="N171" i="118" s="1"/>
  <c r="N172" i="118" s="1"/>
  <c r="N173" i="118" s="1"/>
  <c r="N174" i="118" s="1"/>
  <c r="N175" i="118" s="1"/>
  <c r="N176" i="118" s="1"/>
  <c r="N177" i="118" s="1"/>
  <c r="N178" i="118" s="1"/>
  <c r="N179" i="118" s="1"/>
  <c r="N180" i="118" s="1"/>
  <c r="AH180" i="118" s="1"/>
  <c r="H169" i="118"/>
  <c r="H170" i="118" s="1"/>
  <c r="H171" i="118" s="1"/>
  <c r="M168" i="118"/>
  <c r="I168" i="118"/>
  <c r="I169" i="118" s="1"/>
  <c r="I170" i="118" s="1"/>
  <c r="L167" i="118"/>
  <c r="L168" i="118" s="1"/>
  <c r="L169" i="118" s="1"/>
  <c r="L170" i="118" s="1"/>
  <c r="L171" i="118" s="1"/>
  <c r="L172" i="118" s="1"/>
  <c r="L173" i="118" s="1"/>
  <c r="L174" i="118" s="1"/>
  <c r="L175" i="118" s="1"/>
  <c r="L176" i="118" s="1"/>
  <c r="L177" i="118" s="1"/>
  <c r="L178" i="118" s="1"/>
  <c r="AH178" i="118" s="1"/>
  <c r="K167" i="118"/>
  <c r="K168" i="118" s="1"/>
  <c r="K169" i="118" s="1"/>
  <c r="K170" i="118" s="1"/>
  <c r="K171" i="118" s="1"/>
  <c r="K172" i="118" s="1"/>
  <c r="K173" i="118" s="1"/>
  <c r="K174" i="118" s="1"/>
  <c r="K175" i="118" s="1"/>
  <c r="K176" i="118" s="1"/>
  <c r="K177" i="118" s="1"/>
  <c r="AH177" i="118" s="1"/>
  <c r="K166" i="118"/>
  <c r="K188" i="118" s="1"/>
  <c r="J165" i="118"/>
  <c r="I165" i="118"/>
  <c r="I166" i="118" s="1"/>
  <c r="I167" i="118" s="1"/>
  <c r="H165" i="118"/>
  <c r="H166" i="118" s="1"/>
  <c r="H167" i="118" s="1"/>
  <c r="H168" i="118" s="1"/>
  <c r="I164" i="118"/>
  <c r="C164" i="118"/>
  <c r="C165" i="118" s="1"/>
  <c r="C166" i="118" s="1"/>
  <c r="C167" i="118" s="1"/>
  <c r="C168" i="118" s="1"/>
  <c r="C169" i="118" s="1"/>
  <c r="C170" i="118" s="1"/>
  <c r="C171" i="118" s="1"/>
  <c r="C172" i="118" s="1"/>
  <c r="C173" i="118" s="1"/>
  <c r="C174" i="118" s="1"/>
  <c r="C175" i="118" s="1"/>
  <c r="C176" i="118" s="1"/>
  <c r="C177" i="118" s="1"/>
  <c r="C178" i="118" s="1"/>
  <c r="C179" i="118" s="1"/>
  <c r="C180" i="118" s="1"/>
  <c r="C181" i="118" s="1"/>
  <c r="C182" i="118" s="1"/>
  <c r="C183" i="118" s="1"/>
  <c r="C184" i="118" s="1"/>
  <c r="C185" i="118" s="1"/>
  <c r="C186" i="118" s="1"/>
  <c r="C187" i="118" s="1"/>
  <c r="H163" i="118"/>
  <c r="H164" i="118" s="1"/>
  <c r="G163" i="118"/>
  <c r="G164" i="118" s="1"/>
  <c r="G165" i="118" s="1"/>
  <c r="G166" i="118" s="1"/>
  <c r="G167" i="118" s="1"/>
  <c r="G168" i="118" s="1"/>
  <c r="G169" i="118" s="1"/>
  <c r="G162" i="118"/>
  <c r="G188" i="118" s="1"/>
  <c r="F161" i="118"/>
  <c r="E160" i="118"/>
  <c r="D160" i="118"/>
  <c r="AH160" i="118" s="1"/>
  <c r="C160" i="118"/>
  <c r="C161" i="118" s="1"/>
  <c r="C162" i="118" s="1"/>
  <c r="C163" i="118" s="1"/>
  <c r="AH159" i="118"/>
  <c r="D159" i="118"/>
  <c r="D188" i="118" s="1"/>
  <c r="AH158" i="118"/>
  <c r="C158" i="118"/>
  <c r="C159" i="118" s="1"/>
  <c r="AH157" i="118"/>
  <c r="E156" i="118"/>
  <c r="F156" i="118" s="1"/>
  <c r="G156" i="118" s="1"/>
  <c r="H156" i="118" s="1"/>
  <c r="I156" i="118" s="1"/>
  <c r="J156" i="118" s="1"/>
  <c r="K156" i="118" s="1"/>
  <c r="L156" i="118" s="1"/>
  <c r="M156" i="118" s="1"/>
  <c r="N156" i="118" s="1"/>
  <c r="O156" i="118" s="1"/>
  <c r="P156" i="118" s="1"/>
  <c r="Q156" i="118" s="1"/>
  <c r="R156" i="118" s="1"/>
  <c r="S156" i="118" s="1"/>
  <c r="T156" i="118" s="1"/>
  <c r="U156" i="118" s="1"/>
  <c r="V156" i="118" s="1"/>
  <c r="W156" i="118" s="1"/>
  <c r="X156" i="118" s="1"/>
  <c r="Y156" i="118" s="1"/>
  <c r="Z156" i="118" s="1"/>
  <c r="AA156" i="118" s="1"/>
  <c r="AB156" i="118" s="1"/>
  <c r="AC156" i="118" s="1"/>
  <c r="AD156" i="118" s="1"/>
  <c r="AE156" i="118" s="1"/>
  <c r="AF156" i="118" s="1"/>
  <c r="AG156" i="118" s="1"/>
  <c r="AH155" i="118"/>
  <c r="B155" i="118"/>
  <c r="AG151" i="118"/>
  <c r="AE151" i="118"/>
  <c r="AD151" i="118"/>
  <c r="AC151" i="118"/>
  <c r="W151" i="118"/>
  <c r="V151" i="118"/>
  <c r="T151" i="118"/>
  <c r="S151" i="118"/>
  <c r="Q151" i="118"/>
  <c r="M151" i="118"/>
  <c r="F151" i="118"/>
  <c r="E151" i="118"/>
  <c r="AF150" i="118"/>
  <c r="AF151" i="118" s="1"/>
  <c r="AE150" i="118"/>
  <c r="S150" i="118"/>
  <c r="AE149" i="118"/>
  <c r="AD149" i="118"/>
  <c r="AD150" i="118" s="1"/>
  <c r="X149" i="118"/>
  <c r="X150" i="118" s="1"/>
  <c r="AD148" i="118"/>
  <c r="AC148" i="118"/>
  <c r="AC149" i="118" s="1"/>
  <c r="AC150" i="118" s="1"/>
  <c r="S148" i="118"/>
  <c r="S149" i="118" s="1"/>
  <c r="AC147" i="118"/>
  <c r="AB147" i="118"/>
  <c r="AB148" i="118" s="1"/>
  <c r="AB149" i="118" s="1"/>
  <c r="AB150" i="118" s="1"/>
  <c r="AB146" i="118"/>
  <c r="AB151" i="118" s="1"/>
  <c r="AA145" i="118"/>
  <c r="X145" i="118"/>
  <c r="X146" i="118" s="1"/>
  <c r="X147" i="118" s="1"/>
  <c r="X148" i="118" s="1"/>
  <c r="Z144" i="118"/>
  <c r="Y144" i="118"/>
  <c r="Y145" i="118" s="1"/>
  <c r="Y146" i="118" s="1"/>
  <c r="Y147" i="118" s="1"/>
  <c r="Y148" i="118" s="1"/>
  <c r="Y149" i="118" s="1"/>
  <c r="Y150" i="118" s="1"/>
  <c r="W144" i="118"/>
  <c r="W145" i="118" s="1"/>
  <c r="W146" i="118" s="1"/>
  <c r="W147" i="118" s="1"/>
  <c r="W148" i="118" s="1"/>
  <c r="W149" i="118" s="1"/>
  <c r="W150" i="118" s="1"/>
  <c r="Y143" i="118"/>
  <c r="Y151" i="118" s="1"/>
  <c r="X142" i="118"/>
  <c r="X143" i="118" s="1"/>
  <c r="X144" i="118" s="1"/>
  <c r="V142" i="118"/>
  <c r="V143" i="118" s="1"/>
  <c r="V144" i="118" s="1"/>
  <c r="V145" i="118" s="1"/>
  <c r="V146" i="118" s="1"/>
  <c r="V147" i="118" s="1"/>
  <c r="V148" i="118" s="1"/>
  <c r="V149" i="118" s="1"/>
  <c r="V150" i="118" s="1"/>
  <c r="W141" i="118"/>
  <c r="W142" i="118" s="1"/>
  <c r="W143" i="118" s="1"/>
  <c r="V140" i="118"/>
  <c r="V141" i="118" s="1"/>
  <c r="U140" i="118"/>
  <c r="U141" i="118" s="1"/>
  <c r="U142" i="118" s="1"/>
  <c r="U143" i="118" s="1"/>
  <c r="U144" i="118" s="1"/>
  <c r="U145" i="118" s="1"/>
  <c r="U146" i="118" s="1"/>
  <c r="U147" i="118" s="1"/>
  <c r="U148" i="118" s="1"/>
  <c r="U149" i="118" s="1"/>
  <c r="U150" i="118" s="1"/>
  <c r="U139" i="118"/>
  <c r="U151" i="118" s="1"/>
  <c r="T138" i="118"/>
  <c r="T139" i="118" s="1"/>
  <c r="T140" i="118" s="1"/>
  <c r="T141" i="118" s="1"/>
  <c r="T142" i="118" s="1"/>
  <c r="T143" i="118" s="1"/>
  <c r="T144" i="118" s="1"/>
  <c r="T145" i="118" s="1"/>
  <c r="T146" i="118" s="1"/>
  <c r="T147" i="118" s="1"/>
  <c r="T148" i="118" s="1"/>
  <c r="T149" i="118" s="1"/>
  <c r="T150" i="118" s="1"/>
  <c r="S138" i="118"/>
  <c r="S139" i="118" s="1"/>
  <c r="S140" i="118" s="1"/>
  <c r="S141" i="118" s="1"/>
  <c r="S142" i="118" s="1"/>
  <c r="S143" i="118" s="1"/>
  <c r="S144" i="118" s="1"/>
  <c r="S145" i="118" s="1"/>
  <c r="S146" i="118" s="1"/>
  <c r="S147" i="118" s="1"/>
  <c r="M138" i="118"/>
  <c r="M139" i="118" s="1"/>
  <c r="M140" i="118" s="1"/>
  <c r="M141" i="118" s="1"/>
  <c r="M142" i="118" s="1"/>
  <c r="M143" i="118" s="1"/>
  <c r="M144" i="118" s="1"/>
  <c r="M145" i="118" s="1"/>
  <c r="AH145" i="118" s="1"/>
  <c r="S137" i="118"/>
  <c r="R136" i="118"/>
  <c r="R151" i="118" s="1"/>
  <c r="Q136" i="118"/>
  <c r="Q137" i="118" s="1"/>
  <c r="Q138" i="118" s="1"/>
  <c r="Q139" i="118" s="1"/>
  <c r="Q140" i="118" s="1"/>
  <c r="Q141" i="118" s="1"/>
  <c r="Q142" i="118" s="1"/>
  <c r="Q143" i="118" s="1"/>
  <c r="Q144" i="118" s="1"/>
  <c r="Q145" i="118" s="1"/>
  <c r="Q146" i="118" s="1"/>
  <c r="Q147" i="118" s="1"/>
  <c r="Q148" i="118" s="1"/>
  <c r="Q149" i="118" s="1"/>
  <c r="AH149" i="118" s="1"/>
  <c r="Q135" i="118"/>
  <c r="P134" i="118"/>
  <c r="O134" i="118"/>
  <c r="O135" i="118" s="1"/>
  <c r="O136" i="118" s="1"/>
  <c r="O137" i="118" s="1"/>
  <c r="O138" i="118" s="1"/>
  <c r="O139" i="118" s="1"/>
  <c r="O140" i="118" s="1"/>
  <c r="O141" i="118" s="1"/>
  <c r="O142" i="118" s="1"/>
  <c r="O143" i="118" s="1"/>
  <c r="O144" i="118" s="1"/>
  <c r="O145" i="118" s="1"/>
  <c r="O146" i="118" s="1"/>
  <c r="O147" i="118" s="1"/>
  <c r="AH147" i="118" s="1"/>
  <c r="O133" i="118"/>
  <c r="O151" i="118" s="1"/>
  <c r="N132" i="118"/>
  <c r="F132" i="118"/>
  <c r="F133" i="118" s="1"/>
  <c r="F134" i="118" s="1"/>
  <c r="F135" i="118" s="1"/>
  <c r="F136" i="118" s="1"/>
  <c r="F137" i="118" s="1"/>
  <c r="F138" i="118" s="1"/>
  <c r="AH138" i="118" s="1"/>
  <c r="M131" i="118"/>
  <c r="M132" i="118" s="1"/>
  <c r="M133" i="118" s="1"/>
  <c r="M134" i="118" s="1"/>
  <c r="M135" i="118" s="1"/>
  <c r="M136" i="118" s="1"/>
  <c r="M137" i="118" s="1"/>
  <c r="L130" i="118"/>
  <c r="L151" i="118" s="1"/>
  <c r="F130" i="118"/>
  <c r="F131" i="118" s="1"/>
  <c r="K129" i="118"/>
  <c r="K151" i="118" s="1"/>
  <c r="J129" i="118"/>
  <c r="J130" i="118" s="1"/>
  <c r="J131" i="118" s="1"/>
  <c r="J132" i="118" s="1"/>
  <c r="J133" i="118" s="1"/>
  <c r="J134" i="118" s="1"/>
  <c r="J135" i="118" s="1"/>
  <c r="J136" i="118" s="1"/>
  <c r="J137" i="118" s="1"/>
  <c r="J138" i="118" s="1"/>
  <c r="J139" i="118" s="1"/>
  <c r="J140" i="118" s="1"/>
  <c r="J141" i="118" s="1"/>
  <c r="J142" i="118" s="1"/>
  <c r="AH142" i="118" s="1"/>
  <c r="E129" i="118"/>
  <c r="E130" i="118" s="1"/>
  <c r="E131" i="118" s="1"/>
  <c r="E132" i="118" s="1"/>
  <c r="E133" i="118" s="1"/>
  <c r="E134" i="118" s="1"/>
  <c r="E135" i="118" s="1"/>
  <c r="E136" i="118" s="1"/>
  <c r="E137" i="118" s="1"/>
  <c r="AH137" i="118" s="1"/>
  <c r="J128" i="118"/>
  <c r="J151" i="118" s="1"/>
  <c r="I127" i="118"/>
  <c r="E127" i="118"/>
  <c r="E128" i="118" s="1"/>
  <c r="H126" i="118"/>
  <c r="C126" i="118"/>
  <c r="C127" i="118" s="1"/>
  <c r="C128" i="118" s="1"/>
  <c r="C129" i="118" s="1"/>
  <c r="C130" i="118" s="1"/>
  <c r="C131" i="118" s="1"/>
  <c r="C132" i="118" s="1"/>
  <c r="C133" i="118" s="1"/>
  <c r="C134" i="118" s="1"/>
  <c r="C135" i="118" s="1"/>
  <c r="C136" i="118" s="1"/>
  <c r="C137" i="118" s="1"/>
  <c r="C138" i="118" s="1"/>
  <c r="C139" i="118" s="1"/>
  <c r="C140" i="118" s="1"/>
  <c r="C141" i="118" s="1"/>
  <c r="C142" i="118" s="1"/>
  <c r="C143" i="118" s="1"/>
  <c r="C144" i="118" s="1"/>
  <c r="C145" i="118" s="1"/>
  <c r="C146" i="118" s="1"/>
  <c r="C147" i="118" s="1"/>
  <c r="C148" i="118" s="1"/>
  <c r="C149" i="118" s="1"/>
  <c r="C150" i="118" s="1"/>
  <c r="G125" i="118"/>
  <c r="F125" i="118"/>
  <c r="F126" i="118" s="1"/>
  <c r="F127" i="118" s="1"/>
  <c r="F128" i="118" s="1"/>
  <c r="F129" i="118" s="1"/>
  <c r="E125" i="118"/>
  <c r="E126" i="118" s="1"/>
  <c r="C125" i="118"/>
  <c r="F124" i="118"/>
  <c r="E123" i="118"/>
  <c r="E124" i="118" s="1"/>
  <c r="AH122" i="118"/>
  <c r="D122" i="118"/>
  <c r="C122" i="118"/>
  <c r="C123" i="118" s="1"/>
  <c r="C124" i="118" s="1"/>
  <c r="AH121" i="118"/>
  <c r="C121" i="118"/>
  <c r="AH120" i="118"/>
  <c r="I119" i="118"/>
  <c r="J119" i="118" s="1"/>
  <c r="K119" i="118" s="1"/>
  <c r="L119" i="118" s="1"/>
  <c r="M119" i="118" s="1"/>
  <c r="N119" i="118" s="1"/>
  <c r="O119" i="118" s="1"/>
  <c r="P119" i="118" s="1"/>
  <c r="Q119" i="118" s="1"/>
  <c r="R119" i="118" s="1"/>
  <c r="S119" i="118" s="1"/>
  <c r="T119" i="118" s="1"/>
  <c r="U119" i="118" s="1"/>
  <c r="V119" i="118" s="1"/>
  <c r="W119" i="118" s="1"/>
  <c r="X119" i="118" s="1"/>
  <c r="Y119" i="118" s="1"/>
  <c r="Z119" i="118" s="1"/>
  <c r="AA119" i="118" s="1"/>
  <c r="AB119" i="118" s="1"/>
  <c r="AC119" i="118" s="1"/>
  <c r="AD119" i="118" s="1"/>
  <c r="AE119" i="118" s="1"/>
  <c r="AF119" i="118" s="1"/>
  <c r="AG119" i="118" s="1"/>
  <c r="G119" i="118"/>
  <c r="H119" i="118" s="1"/>
  <c r="E119" i="118"/>
  <c r="F119" i="118" s="1"/>
  <c r="AH118" i="118"/>
  <c r="B118" i="118"/>
  <c r="AF114" i="118"/>
  <c r="Z114" i="118"/>
  <c r="S114" i="118"/>
  <c r="R114" i="118"/>
  <c r="Q114" i="118"/>
  <c r="N114" i="118"/>
  <c r="J114" i="118"/>
  <c r="G114" i="118"/>
  <c r="F114" i="118"/>
  <c r="AG113" i="118"/>
  <c r="AG114" i="118" s="1"/>
  <c r="AF113" i="118"/>
  <c r="AE113" i="118"/>
  <c r="AE112" i="118"/>
  <c r="AE114" i="118" s="1"/>
  <c r="AD111" i="118"/>
  <c r="AC110" i="118"/>
  <c r="X110" i="118"/>
  <c r="X111" i="118" s="1"/>
  <c r="X112" i="118" s="1"/>
  <c r="X113" i="118" s="1"/>
  <c r="AB109" i="118"/>
  <c r="AB114" i="118" s="1"/>
  <c r="AA109" i="118"/>
  <c r="AA110" i="118" s="1"/>
  <c r="AA111" i="118" s="1"/>
  <c r="AA112" i="118" s="1"/>
  <c r="AA113" i="118" s="1"/>
  <c r="AA108" i="118"/>
  <c r="AA114" i="118" s="1"/>
  <c r="Z108" i="118"/>
  <c r="Z109" i="118" s="1"/>
  <c r="Z110" i="118" s="1"/>
  <c r="Z111" i="118" s="1"/>
  <c r="Z112" i="118" s="1"/>
  <c r="Z113" i="118" s="1"/>
  <c r="Z107" i="118"/>
  <c r="Y107" i="118"/>
  <c r="Y108" i="118" s="1"/>
  <c r="Y109" i="118" s="1"/>
  <c r="Y110" i="118" s="1"/>
  <c r="Y111" i="118" s="1"/>
  <c r="Y112" i="118" s="1"/>
  <c r="Y113" i="118" s="1"/>
  <c r="Y106" i="118"/>
  <c r="Y114" i="118" s="1"/>
  <c r="X105" i="118"/>
  <c r="X106" i="118" s="1"/>
  <c r="X107" i="118" s="1"/>
  <c r="X108" i="118" s="1"/>
  <c r="X109" i="118" s="1"/>
  <c r="W104" i="118"/>
  <c r="W114" i="118" s="1"/>
  <c r="S104" i="118"/>
  <c r="S105" i="118" s="1"/>
  <c r="S106" i="118" s="1"/>
  <c r="S107" i="118" s="1"/>
  <c r="S108" i="118" s="1"/>
  <c r="S109" i="118" s="1"/>
  <c r="S110" i="118" s="1"/>
  <c r="S111" i="118" s="1"/>
  <c r="S112" i="118" s="1"/>
  <c r="S113" i="118" s="1"/>
  <c r="V103" i="118"/>
  <c r="R103" i="118"/>
  <c r="R104" i="118" s="1"/>
  <c r="R105" i="118" s="1"/>
  <c r="R106" i="118" s="1"/>
  <c r="R107" i="118" s="1"/>
  <c r="R108" i="118" s="1"/>
  <c r="R109" i="118" s="1"/>
  <c r="R110" i="118" s="1"/>
  <c r="R111" i="118" s="1"/>
  <c r="R112" i="118" s="1"/>
  <c r="R113" i="118" s="1"/>
  <c r="U102" i="118"/>
  <c r="S102" i="118"/>
  <c r="S103" i="118" s="1"/>
  <c r="R102" i="118"/>
  <c r="T101" i="118"/>
  <c r="T114" i="118" s="1"/>
  <c r="S101" i="118"/>
  <c r="R101" i="118"/>
  <c r="S100" i="118"/>
  <c r="Q100" i="118"/>
  <c r="Q101" i="118" s="1"/>
  <c r="Q102" i="118" s="1"/>
  <c r="Q103" i="118" s="1"/>
  <c r="Q104" i="118" s="1"/>
  <c r="Q105" i="118" s="1"/>
  <c r="Q106" i="118" s="1"/>
  <c r="Q107" i="118" s="1"/>
  <c r="Q108" i="118" s="1"/>
  <c r="Q109" i="118" s="1"/>
  <c r="Q110" i="118" s="1"/>
  <c r="Q111" i="118" s="1"/>
  <c r="Q112" i="118" s="1"/>
  <c r="Q113" i="118" s="1"/>
  <c r="R99" i="118"/>
  <c r="R100" i="118" s="1"/>
  <c r="Q99" i="118"/>
  <c r="Q98" i="118"/>
  <c r="P97" i="118"/>
  <c r="P114" i="118" s="1"/>
  <c r="N97" i="118"/>
  <c r="N98" i="118" s="1"/>
  <c r="N99" i="118" s="1"/>
  <c r="N100" i="118" s="1"/>
  <c r="N101" i="118" s="1"/>
  <c r="N102" i="118" s="1"/>
  <c r="N103" i="118" s="1"/>
  <c r="N104" i="118" s="1"/>
  <c r="N105" i="118" s="1"/>
  <c r="N106" i="118" s="1"/>
  <c r="N107" i="118" s="1"/>
  <c r="N108" i="118" s="1"/>
  <c r="N109" i="118" s="1"/>
  <c r="N110" i="118" s="1"/>
  <c r="N111" i="118" s="1"/>
  <c r="N112" i="118" s="1"/>
  <c r="N113" i="118" s="1"/>
  <c r="M97" i="118"/>
  <c r="M98" i="118" s="1"/>
  <c r="M99" i="118" s="1"/>
  <c r="M100" i="118" s="1"/>
  <c r="M101" i="118" s="1"/>
  <c r="M102" i="118" s="1"/>
  <c r="M103" i="118" s="1"/>
  <c r="M104" i="118" s="1"/>
  <c r="M105" i="118" s="1"/>
  <c r="M106" i="118" s="1"/>
  <c r="M107" i="118" s="1"/>
  <c r="M108" i="118" s="1"/>
  <c r="M109" i="118" s="1"/>
  <c r="M110" i="118" s="1"/>
  <c r="M111" i="118" s="1"/>
  <c r="M112" i="118" s="1"/>
  <c r="M113" i="118" s="1"/>
  <c r="AH113" i="118" s="1"/>
  <c r="O96" i="118"/>
  <c r="O114" i="118" s="1"/>
  <c r="N96" i="118"/>
  <c r="M96" i="118"/>
  <c r="L96" i="118"/>
  <c r="L97" i="118" s="1"/>
  <c r="L98" i="118" s="1"/>
  <c r="L99" i="118" s="1"/>
  <c r="L100" i="118" s="1"/>
  <c r="L101" i="118" s="1"/>
  <c r="L102" i="118" s="1"/>
  <c r="L103" i="118" s="1"/>
  <c r="L104" i="118" s="1"/>
  <c r="L105" i="118" s="1"/>
  <c r="L106" i="118" s="1"/>
  <c r="L107" i="118" s="1"/>
  <c r="L108" i="118" s="1"/>
  <c r="L109" i="118" s="1"/>
  <c r="L110" i="118" s="1"/>
  <c r="L111" i="118" s="1"/>
  <c r="L112" i="118" s="1"/>
  <c r="AH112" i="118" s="1"/>
  <c r="N95" i="118"/>
  <c r="M95" i="118"/>
  <c r="L95" i="118"/>
  <c r="M94" i="118"/>
  <c r="M114" i="118" s="1"/>
  <c r="L94" i="118"/>
  <c r="L93" i="118"/>
  <c r="L114" i="118" s="1"/>
  <c r="K92" i="118"/>
  <c r="J91" i="118"/>
  <c r="J92" i="118" s="1"/>
  <c r="J93" i="118" s="1"/>
  <c r="J94" i="118" s="1"/>
  <c r="J95" i="118" s="1"/>
  <c r="J96" i="118" s="1"/>
  <c r="J97" i="118" s="1"/>
  <c r="J98" i="118" s="1"/>
  <c r="J99" i="118" s="1"/>
  <c r="J100" i="118" s="1"/>
  <c r="J101" i="118" s="1"/>
  <c r="J102" i="118" s="1"/>
  <c r="J103" i="118" s="1"/>
  <c r="J104" i="118" s="1"/>
  <c r="J105" i="118" s="1"/>
  <c r="J106" i="118" s="1"/>
  <c r="J107" i="118" s="1"/>
  <c r="J108" i="118" s="1"/>
  <c r="J109" i="118" s="1"/>
  <c r="J110" i="118" s="1"/>
  <c r="AH110" i="118" s="1"/>
  <c r="I91" i="118"/>
  <c r="I92" i="118" s="1"/>
  <c r="I93" i="118" s="1"/>
  <c r="I94" i="118" s="1"/>
  <c r="I95" i="118" s="1"/>
  <c r="I96" i="118" s="1"/>
  <c r="I97" i="118" s="1"/>
  <c r="I98" i="118" s="1"/>
  <c r="I99" i="118" s="1"/>
  <c r="I100" i="118" s="1"/>
  <c r="I101" i="118" s="1"/>
  <c r="I102" i="118" s="1"/>
  <c r="I103" i="118" s="1"/>
  <c r="I104" i="118" s="1"/>
  <c r="I105" i="118" s="1"/>
  <c r="I106" i="118" s="1"/>
  <c r="I107" i="118" s="1"/>
  <c r="I108" i="118" s="1"/>
  <c r="I109" i="118" s="1"/>
  <c r="AH109" i="118" s="1"/>
  <c r="G91" i="118"/>
  <c r="G92" i="118" s="1"/>
  <c r="G93" i="118" s="1"/>
  <c r="G94" i="118" s="1"/>
  <c r="G95" i="118" s="1"/>
  <c r="G96" i="118" s="1"/>
  <c r="G97" i="118" s="1"/>
  <c r="G98" i="118" s="1"/>
  <c r="G99" i="118" s="1"/>
  <c r="G100" i="118" s="1"/>
  <c r="G101" i="118" s="1"/>
  <c r="G102" i="118" s="1"/>
  <c r="G103" i="118" s="1"/>
  <c r="G104" i="118" s="1"/>
  <c r="G105" i="118" s="1"/>
  <c r="G106" i="118" s="1"/>
  <c r="G107" i="118" s="1"/>
  <c r="AH107" i="118" s="1"/>
  <c r="I90" i="118"/>
  <c r="I114" i="118" s="1"/>
  <c r="H89" i="118"/>
  <c r="G89" i="118"/>
  <c r="G90" i="118" s="1"/>
  <c r="G88" i="118"/>
  <c r="F87" i="118"/>
  <c r="F88" i="118" s="1"/>
  <c r="F89" i="118" s="1"/>
  <c r="F90" i="118" s="1"/>
  <c r="F91" i="118" s="1"/>
  <c r="F92" i="118" s="1"/>
  <c r="F93" i="118" s="1"/>
  <c r="F94" i="118" s="1"/>
  <c r="F95" i="118" s="1"/>
  <c r="F96" i="118" s="1"/>
  <c r="F97" i="118" s="1"/>
  <c r="F98" i="118" s="1"/>
  <c r="F99" i="118" s="1"/>
  <c r="F100" i="118" s="1"/>
  <c r="F101" i="118" s="1"/>
  <c r="F102" i="118" s="1"/>
  <c r="F103" i="118" s="1"/>
  <c r="F104" i="118" s="1"/>
  <c r="F105" i="118" s="1"/>
  <c r="F106" i="118" s="1"/>
  <c r="AH106" i="118" s="1"/>
  <c r="E86" i="118"/>
  <c r="D85" i="118"/>
  <c r="D114" i="118" s="1"/>
  <c r="C85" i="118"/>
  <c r="C86" i="118" s="1"/>
  <c r="C87" i="118" s="1"/>
  <c r="C88" i="118" s="1"/>
  <c r="C89" i="118" s="1"/>
  <c r="C90" i="118" s="1"/>
  <c r="C91" i="118" s="1"/>
  <c r="C92" i="118" s="1"/>
  <c r="C93" i="118" s="1"/>
  <c r="C94" i="118" s="1"/>
  <c r="C95" i="118" s="1"/>
  <c r="C96" i="118" s="1"/>
  <c r="C97" i="118" s="1"/>
  <c r="C98" i="118" s="1"/>
  <c r="C99" i="118" s="1"/>
  <c r="C100" i="118" s="1"/>
  <c r="C101" i="118" s="1"/>
  <c r="C102" i="118" s="1"/>
  <c r="C103" i="118" s="1"/>
  <c r="C104" i="118" s="1"/>
  <c r="C105" i="118" s="1"/>
  <c r="C106" i="118" s="1"/>
  <c r="C107" i="118" s="1"/>
  <c r="C108" i="118" s="1"/>
  <c r="C109" i="118" s="1"/>
  <c r="C110" i="118" s="1"/>
  <c r="C111" i="118" s="1"/>
  <c r="C112" i="118" s="1"/>
  <c r="C113" i="118" s="1"/>
  <c r="AH84" i="118"/>
  <c r="C84" i="118"/>
  <c r="AH83" i="118"/>
  <c r="C83" i="118"/>
  <c r="E82" i="118"/>
  <c r="F82" i="118" s="1"/>
  <c r="G82" i="118" s="1"/>
  <c r="H82" i="118" s="1"/>
  <c r="I82" i="118" s="1"/>
  <c r="J82" i="118" s="1"/>
  <c r="K82" i="118" s="1"/>
  <c r="L82" i="118" s="1"/>
  <c r="M82" i="118" s="1"/>
  <c r="N82" i="118" s="1"/>
  <c r="O82" i="118" s="1"/>
  <c r="P82" i="118" s="1"/>
  <c r="Q82" i="118" s="1"/>
  <c r="R82" i="118" s="1"/>
  <c r="S82" i="118" s="1"/>
  <c r="T82" i="118" s="1"/>
  <c r="U82" i="118" s="1"/>
  <c r="V82" i="118" s="1"/>
  <c r="W82" i="118" s="1"/>
  <c r="X82" i="118" s="1"/>
  <c r="Y82" i="118" s="1"/>
  <c r="Z82" i="118" s="1"/>
  <c r="AA82" i="118" s="1"/>
  <c r="AB82" i="118" s="1"/>
  <c r="AC82" i="118" s="1"/>
  <c r="AD82" i="118" s="1"/>
  <c r="AE82" i="118" s="1"/>
  <c r="AF82" i="118" s="1"/>
  <c r="AG82" i="118" s="1"/>
  <c r="AH81" i="118"/>
  <c r="B81" i="118"/>
  <c r="AH77" i="118"/>
  <c r="AF77" i="118"/>
  <c r="AD77" i="118"/>
  <c r="AA77" i="118"/>
  <c r="Z77" i="118"/>
  <c r="Y77" i="118"/>
  <c r="X77" i="118"/>
  <c r="V77" i="118"/>
  <c r="T77" i="118"/>
  <c r="P77" i="118"/>
  <c r="N77" i="118"/>
  <c r="M77" i="118"/>
  <c r="L77" i="118"/>
  <c r="K77" i="118"/>
  <c r="J77" i="118"/>
  <c r="I77" i="118"/>
  <c r="AG76" i="118"/>
  <c r="AG77" i="118" s="1"/>
  <c r="AF76" i="118"/>
  <c r="AD76" i="118"/>
  <c r="AA76" i="118"/>
  <c r="AE75" i="118"/>
  <c r="AE77" i="118" s="1"/>
  <c r="AD75" i="118"/>
  <c r="AD74" i="118"/>
  <c r="Y74" i="118"/>
  <c r="Y75" i="118" s="1"/>
  <c r="Y76" i="118" s="1"/>
  <c r="X74" i="118"/>
  <c r="X75" i="118" s="1"/>
  <c r="X76" i="118" s="1"/>
  <c r="W74" i="118"/>
  <c r="W75" i="118" s="1"/>
  <c r="W76" i="118" s="1"/>
  <c r="V74" i="118"/>
  <c r="V75" i="118" s="1"/>
  <c r="V76" i="118" s="1"/>
  <c r="AC73" i="118"/>
  <c r="AB73" i="118"/>
  <c r="AB74" i="118" s="1"/>
  <c r="AB75" i="118" s="1"/>
  <c r="AB76" i="118" s="1"/>
  <c r="W73" i="118"/>
  <c r="AB72" i="118"/>
  <c r="AB77" i="118" s="1"/>
  <c r="AA72" i="118"/>
  <c r="AA73" i="118" s="1"/>
  <c r="AA74" i="118" s="1"/>
  <c r="AA75" i="118" s="1"/>
  <c r="N72" i="118"/>
  <c r="N73" i="118" s="1"/>
  <c r="N74" i="118" s="1"/>
  <c r="N75" i="118" s="1"/>
  <c r="N76" i="118" s="1"/>
  <c r="AA71" i="118"/>
  <c r="Y71" i="118"/>
  <c r="Y72" i="118" s="1"/>
  <c r="Y73" i="118" s="1"/>
  <c r="W71" i="118"/>
  <c r="W72" i="118" s="1"/>
  <c r="N71" i="118"/>
  <c r="Z70" i="118"/>
  <c r="Z71" i="118" s="1"/>
  <c r="Z72" i="118" s="1"/>
  <c r="Z73" i="118" s="1"/>
  <c r="Z74" i="118" s="1"/>
  <c r="Z75" i="118" s="1"/>
  <c r="Z76" i="118" s="1"/>
  <c r="N70" i="118"/>
  <c r="Y69" i="118"/>
  <c r="Y70" i="118" s="1"/>
  <c r="X69" i="118"/>
  <c r="X70" i="118" s="1"/>
  <c r="X71" i="118" s="1"/>
  <c r="X72" i="118" s="1"/>
  <c r="X73" i="118" s="1"/>
  <c r="V69" i="118"/>
  <c r="V70" i="118" s="1"/>
  <c r="V71" i="118" s="1"/>
  <c r="V72" i="118" s="1"/>
  <c r="V73" i="118" s="1"/>
  <c r="X68" i="118"/>
  <c r="W67" i="118"/>
  <c r="W68" i="118" s="1"/>
  <c r="W69" i="118" s="1"/>
  <c r="W70" i="118" s="1"/>
  <c r="V66" i="118"/>
  <c r="V67" i="118" s="1"/>
  <c r="V68" i="118" s="1"/>
  <c r="L66" i="118"/>
  <c r="L67" i="118" s="1"/>
  <c r="L68" i="118" s="1"/>
  <c r="L69" i="118" s="1"/>
  <c r="L70" i="118" s="1"/>
  <c r="L71" i="118" s="1"/>
  <c r="L72" i="118" s="1"/>
  <c r="L73" i="118" s="1"/>
  <c r="L74" i="118" s="1"/>
  <c r="L75" i="118" s="1"/>
  <c r="L76" i="118" s="1"/>
  <c r="U65" i="118"/>
  <c r="U66" i="118" s="1"/>
  <c r="U67" i="118" s="1"/>
  <c r="U68" i="118" s="1"/>
  <c r="U69" i="118" s="1"/>
  <c r="U70" i="118" s="1"/>
  <c r="U71" i="118" s="1"/>
  <c r="U72" i="118" s="1"/>
  <c r="U73" i="118" s="1"/>
  <c r="U74" i="118" s="1"/>
  <c r="U75" i="118" s="1"/>
  <c r="U76" i="118" s="1"/>
  <c r="T65" i="118"/>
  <c r="T66" i="118" s="1"/>
  <c r="T67" i="118" s="1"/>
  <c r="T68" i="118" s="1"/>
  <c r="T69" i="118" s="1"/>
  <c r="T70" i="118" s="1"/>
  <c r="T71" i="118" s="1"/>
  <c r="T72" i="118" s="1"/>
  <c r="T73" i="118" s="1"/>
  <c r="T74" i="118" s="1"/>
  <c r="T75" i="118" s="1"/>
  <c r="T76" i="118" s="1"/>
  <c r="E65" i="118"/>
  <c r="E66" i="118" s="1"/>
  <c r="E67" i="118" s="1"/>
  <c r="E68" i="118" s="1"/>
  <c r="E69" i="118" s="1"/>
  <c r="E70" i="118" s="1"/>
  <c r="E71" i="118" s="1"/>
  <c r="E72" i="118" s="1"/>
  <c r="E73" i="118" s="1"/>
  <c r="AH73" i="118" s="1"/>
  <c r="T64" i="118"/>
  <c r="S63" i="118"/>
  <c r="E63" i="118"/>
  <c r="E64" i="118" s="1"/>
  <c r="R62" i="118"/>
  <c r="Q61" i="118"/>
  <c r="Q77" i="118" s="1"/>
  <c r="P61" i="118"/>
  <c r="P62" i="118" s="1"/>
  <c r="P63" i="118" s="1"/>
  <c r="P64" i="118" s="1"/>
  <c r="P65" i="118" s="1"/>
  <c r="P66" i="118" s="1"/>
  <c r="P67" i="118" s="1"/>
  <c r="P68" i="118" s="1"/>
  <c r="P69" i="118" s="1"/>
  <c r="P70" i="118" s="1"/>
  <c r="P71" i="118" s="1"/>
  <c r="P72" i="118" s="1"/>
  <c r="P73" i="118" s="1"/>
  <c r="P74" i="118" s="1"/>
  <c r="P75" i="118" s="1"/>
  <c r="P76" i="118" s="1"/>
  <c r="P60" i="118"/>
  <c r="O60" i="118"/>
  <c r="O61" i="118" s="1"/>
  <c r="O62" i="118" s="1"/>
  <c r="O63" i="118" s="1"/>
  <c r="O64" i="118" s="1"/>
  <c r="O65" i="118" s="1"/>
  <c r="O66" i="118" s="1"/>
  <c r="O67" i="118" s="1"/>
  <c r="O68" i="118" s="1"/>
  <c r="O69" i="118" s="1"/>
  <c r="O70" i="118" s="1"/>
  <c r="O71" i="118" s="1"/>
  <c r="O72" i="118" s="1"/>
  <c r="O73" i="118" s="1"/>
  <c r="O74" i="118" s="1"/>
  <c r="O75" i="118" s="1"/>
  <c r="O76" i="118" s="1"/>
  <c r="O59" i="118"/>
  <c r="O77" i="118" s="1"/>
  <c r="N59" i="118"/>
  <c r="N60" i="118" s="1"/>
  <c r="N61" i="118" s="1"/>
  <c r="N62" i="118" s="1"/>
  <c r="N63" i="118" s="1"/>
  <c r="N64" i="118" s="1"/>
  <c r="N65" i="118" s="1"/>
  <c r="N66" i="118" s="1"/>
  <c r="N67" i="118" s="1"/>
  <c r="N68" i="118" s="1"/>
  <c r="N69" i="118" s="1"/>
  <c r="I59" i="118"/>
  <c r="I60" i="118" s="1"/>
  <c r="I61" i="118" s="1"/>
  <c r="I62" i="118" s="1"/>
  <c r="I63" i="118" s="1"/>
  <c r="I64" i="118" s="1"/>
  <c r="I65" i="118" s="1"/>
  <c r="I66" i="118" s="1"/>
  <c r="I67" i="118" s="1"/>
  <c r="I68" i="118" s="1"/>
  <c r="I69" i="118" s="1"/>
  <c r="I70" i="118" s="1"/>
  <c r="I71" i="118" s="1"/>
  <c r="I72" i="118" s="1"/>
  <c r="I73" i="118" s="1"/>
  <c r="I74" i="118" s="1"/>
  <c r="I75" i="118" s="1"/>
  <c r="I76" i="118" s="1"/>
  <c r="N58" i="118"/>
  <c r="H58" i="118"/>
  <c r="H59" i="118" s="1"/>
  <c r="H60" i="118" s="1"/>
  <c r="H61" i="118" s="1"/>
  <c r="H62" i="118" s="1"/>
  <c r="H63" i="118" s="1"/>
  <c r="H64" i="118" s="1"/>
  <c r="H65" i="118" s="1"/>
  <c r="H66" i="118" s="1"/>
  <c r="H67" i="118" s="1"/>
  <c r="H68" i="118" s="1"/>
  <c r="H69" i="118" s="1"/>
  <c r="H70" i="118" s="1"/>
  <c r="H71" i="118" s="1"/>
  <c r="H72" i="118" s="1"/>
  <c r="H73" i="118" s="1"/>
  <c r="H74" i="118" s="1"/>
  <c r="H75" i="118" s="1"/>
  <c r="H76" i="118" s="1"/>
  <c r="AH76" i="118" s="1"/>
  <c r="M57" i="118"/>
  <c r="M58" i="118" s="1"/>
  <c r="M59" i="118" s="1"/>
  <c r="M60" i="118" s="1"/>
  <c r="M61" i="118" s="1"/>
  <c r="M62" i="118" s="1"/>
  <c r="M63" i="118" s="1"/>
  <c r="M64" i="118" s="1"/>
  <c r="M65" i="118" s="1"/>
  <c r="M66" i="118" s="1"/>
  <c r="M67" i="118" s="1"/>
  <c r="M68" i="118" s="1"/>
  <c r="M69" i="118" s="1"/>
  <c r="M70" i="118" s="1"/>
  <c r="M71" i="118" s="1"/>
  <c r="M72" i="118" s="1"/>
  <c r="M73" i="118" s="1"/>
  <c r="M74" i="118" s="1"/>
  <c r="M75" i="118" s="1"/>
  <c r="M76" i="118" s="1"/>
  <c r="L56" i="118"/>
  <c r="L57" i="118" s="1"/>
  <c r="L58" i="118" s="1"/>
  <c r="L59" i="118" s="1"/>
  <c r="L60" i="118" s="1"/>
  <c r="L61" i="118" s="1"/>
  <c r="L62" i="118" s="1"/>
  <c r="L63" i="118" s="1"/>
  <c r="L64" i="118" s="1"/>
  <c r="L65" i="118" s="1"/>
  <c r="K56" i="118"/>
  <c r="K57" i="118" s="1"/>
  <c r="K58" i="118" s="1"/>
  <c r="K59" i="118" s="1"/>
  <c r="K60" i="118" s="1"/>
  <c r="K61" i="118" s="1"/>
  <c r="K62" i="118" s="1"/>
  <c r="K63" i="118" s="1"/>
  <c r="K64" i="118" s="1"/>
  <c r="K65" i="118" s="1"/>
  <c r="K66" i="118" s="1"/>
  <c r="K67" i="118" s="1"/>
  <c r="K68" i="118" s="1"/>
  <c r="K69" i="118" s="1"/>
  <c r="K70" i="118" s="1"/>
  <c r="K71" i="118" s="1"/>
  <c r="K72" i="118" s="1"/>
  <c r="K73" i="118" s="1"/>
  <c r="K74" i="118" s="1"/>
  <c r="K75" i="118" s="1"/>
  <c r="K76" i="118" s="1"/>
  <c r="J56" i="118"/>
  <c r="J57" i="118" s="1"/>
  <c r="J58" i="118" s="1"/>
  <c r="J59" i="118" s="1"/>
  <c r="J60" i="118" s="1"/>
  <c r="J61" i="118" s="1"/>
  <c r="J62" i="118" s="1"/>
  <c r="J63" i="118" s="1"/>
  <c r="J64" i="118" s="1"/>
  <c r="J65" i="118" s="1"/>
  <c r="J66" i="118" s="1"/>
  <c r="J67" i="118" s="1"/>
  <c r="J68" i="118" s="1"/>
  <c r="J69" i="118" s="1"/>
  <c r="J70" i="118" s="1"/>
  <c r="J71" i="118" s="1"/>
  <c r="J72" i="118" s="1"/>
  <c r="J73" i="118" s="1"/>
  <c r="J74" i="118" s="1"/>
  <c r="J75" i="118" s="1"/>
  <c r="J76" i="118" s="1"/>
  <c r="K55" i="118"/>
  <c r="J55" i="118"/>
  <c r="I55" i="118"/>
  <c r="I56" i="118" s="1"/>
  <c r="I57" i="118" s="1"/>
  <c r="I58" i="118" s="1"/>
  <c r="J54" i="118"/>
  <c r="I54" i="118"/>
  <c r="I53" i="118"/>
  <c r="H52" i="118"/>
  <c r="H53" i="118" s="1"/>
  <c r="H54" i="118" s="1"/>
  <c r="H55" i="118" s="1"/>
  <c r="H56" i="118" s="1"/>
  <c r="H57" i="118" s="1"/>
  <c r="G51" i="118"/>
  <c r="G77" i="118" s="1"/>
  <c r="C51" i="118"/>
  <c r="C52" i="118" s="1"/>
  <c r="C53" i="118" s="1"/>
  <c r="C54" i="118" s="1"/>
  <c r="C55" i="118" s="1"/>
  <c r="C56" i="118" s="1"/>
  <c r="C57" i="118" s="1"/>
  <c r="C58" i="118" s="1"/>
  <c r="C59" i="118" s="1"/>
  <c r="C60" i="118" s="1"/>
  <c r="C61" i="118" s="1"/>
  <c r="C62" i="118" s="1"/>
  <c r="C63" i="118" s="1"/>
  <c r="C64" i="118" s="1"/>
  <c r="C65" i="118" s="1"/>
  <c r="C66" i="118" s="1"/>
  <c r="C67" i="118" s="1"/>
  <c r="C68" i="118" s="1"/>
  <c r="C69" i="118" s="1"/>
  <c r="C70" i="118" s="1"/>
  <c r="C71" i="118" s="1"/>
  <c r="C72" i="118" s="1"/>
  <c r="C73" i="118" s="1"/>
  <c r="C74" i="118" s="1"/>
  <c r="C75" i="118" s="1"/>
  <c r="C76" i="118" s="1"/>
  <c r="F50" i="118"/>
  <c r="E50" i="118"/>
  <c r="E51" i="118" s="1"/>
  <c r="E52" i="118" s="1"/>
  <c r="E53" i="118" s="1"/>
  <c r="E54" i="118" s="1"/>
  <c r="E55" i="118" s="1"/>
  <c r="E56" i="118" s="1"/>
  <c r="E57" i="118" s="1"/>
  <c r="E58" i="118" s="1"/>
  <c r="E59" i="118" s="1"/>
  <c r="E60" i="118" s="1"/>
  <c r="E61" i="118" s="1"/>
  <c r="E62" i="118" s="1"/>
  <c r="E49" i="118"/>
  <c r="E77" i="118" s="1"/>
  <c r="D48" i="118"/>
  <c r="AH48" i="118" s="1"/>
  <c r="AH47" i="118"/>
  <c r="C47" i="118"/>
  <c r="C48" i="118" s="1"/>
  <c r="C49" i="118" s="1"/>
  <c r="C50" i="118" s="1"/>
  <c r="AH46" i="118"/>
  <c r="E46" i="118"/>
  <c r="F45" i="118"/>
  <c r="G45" i="118" s="1"/>
  <c r="H45" i="118" s="1"/>
  <c r="I45" i="118" s="1"/>
  <c r="J45" i="118" s="1"/>
  <c r="K45" i="118" s="1"/>
  <c r="L45" i="118" s="1"/>
  <c r="M45" i="118" s="1"/>
  <c r="N45" i="118" s="1"/>
  <c r="O45" i="118" s="1"/>
  <c r="P45" i="118" s="1"/>
  <c r="Q45" i="118" s="1"/>
  <c r="R45" i="118" s="1"/>
  <c r="S45" i="118" s="1"/>
  <c r="T45" i="118" s="1"/>
  <c r="U45" i="118" s="1"/>
  <c r="V45" i="118" s="1"/>
  <c r="W45" i="118" s="1"/>
  <c r="X45" i="118" s="1"/>
  <c r="Y45" i="118" s="1"/>
  <c r="Z45" i="118" s="1"/>
  <c r="AA45" i="118" s="1"/>
  <c r="AB45" i="118" s="1"/>
  <c r="AC45" i="118" s="1"/>
  <c r="AD45" i="118" s="1"/>
  <c r="AE45" i="118" s="1"/>
  <c r="AF45" i="118" s="1"/>
  <c r="AG45" i="118" s="1"/>
  <c r="E45" i="118"/>
  <c r="AH44" i="118"/>
  <c r="B44" i="118"/>
  <c r="O22" i="118"/>
  <c r="O23" i="118" s="1"/>
  <c r="O24" i="118" s="1"/>
  <c r="O25" i="118" s="1"/>
  <c r="O26" i="118" s="1"/>
  <c r="O27" i="118" s="1"/>
  <c r="O28" i="118" s="1"/>
  <c r="O29" i="118" s="1"/>
  <c r="O30" i="118" s="1"/>
  <c r="O31" i="118" s="1"/>
  <c r="O32" i="118" s="1"/>
  <c r="O33" i="118" s="1"/>
  <c r="O34" i="118" s="1"/>
  <c r="O35" i="118" s="1"/>
  <c r="O36" i="118" s="1"/>
  <c r="O37" i="118" s="1"/>
  <c r="O38" i="118" s="1"/>
  <c r="O39" i="118" s="1"/>
  <c r="N21" i="118"/>
  <c r="N22" i="118" s="1"/>
  <c r="N23" i="118" s="1"/>
  <c r="N24" i="118" s="1"/>
  <c r="N25" i="118" s="1"/>
  <c r="N26" i="118" s="1"/>
  <c r="N27" i="118" s="1"/>
  <c r="N28" i="118" s="1"/>
  <c r="N29" i="118" s="1"/>
  <c r="N30" i="118" s="1"/>
  <c r="N31" i="118" s="1"/>
  <c r="N32" i="118" s="1"/>
  <c r="N33" i="118" s="1"/>
  <c r="N34" i="118" s="1"/>
  <c r="N35" i="118" s="1"/>
  <c r="N36" i="118" s="1"/>
  <c r="N37" i="118" s="1"/>
  <c r="N38" i="118" s="1"/>
  <c r="N39" i="118" s="1"/>
  <c r="L19" i="118"/>
  <c r="L20" i="118" s="1"/>
  <c r="L21" i="118" s="1"/>
  <c r="L22" i="118" s="1"/>
  <c r="L23" i="118" s="1"/>
  <c r="L24" i="118" s="1"/>
  <c r="L25" i="118" s="1"/>
  <c r="L26" i="118" s="1"/>
  <c r="L27" i="118" s="1"/>
  <c r="L28" i="118" s="1"/>
  <c r="L29" i="118" s="1"/>
  <c r="L30" i="118" s="1"/>
  <c r="L31" i="118" s="1"/>
  <c r="L32" i="118" s="1"/>
  <c r="L33" i="118" s="1"/>
  <c r="L34" i="118" s="1"/>
  <c r="L35" i="118" s="1"/>
  <c r="L36" i="118" s="1"/>
  <c r="L37" i="118" s="1"/>
  <c r="L38" i="118" s="1"/>
  <c r="L39" i="118" s="1"/>
  <c r="D13" i="118"/>
  <c r="D12" i="118"/>
  <c r="AH11" i="118"/>
  <c r="C11" i="118"/>
  <c r="C10" i="118"/>
  <c r="F9" i="118"/>
  <c r="E9" i="118"/>
  <c r="D9" i="118"/>
  <c r="F8" i="118"/>
  <c r="G8" i="118" s="1"/>
  <c r="E8" i="118"/>
  <c r="Z33" i="118"/>
  <c r="Z34" i="118" s="1"/>
  <c r="Z35" i="118" s="1"/>
  <c r="Z36" i="118" s="1"/>
  <c r="Z37" i="118" s="1"/>
  <c r="Z38" i="118" s="1"/>
  <c r="Z39" i="118" s="1"/>
  <c r="L7" i="118"/>
  <c r="K7" i="118"/>
  <c r="J7" i="118"/>
  <c r="J17" i="118" s="1"/>
  <c r="J18" i="118" s="1"/>
  <c r="J19" i="118" s="1"/>
  <c r="J20" i="118" s="1"/>
  <c r="J21" i="118" s="1"/>
  <c r="J22" i="118" s="1"/>
  <c r="J23" i="118" s="1"/>
  <c r="J24" i="118" s="1"/>
  <c r="J25" i="118" s="1"/>
  <c r="J26" i="118" s="1"/>
  <c r="J27" i="118" s="1"/>
  <c r="J28" i="118" s="1"/>
  <c r="J29" i="118" s="1"/>
  <c r="J30" i="118" s="1"/>
  <c r="J31" i="118" s="1"/>
  <c r="J32" i="118" s="1"/>
  <c r="J33" i="118" s="1"/>
  <c r="J34" i="118" s="1"/>
  <c r="J35" i="118" s="1"/>
  <c r="J36" i="118" s="1"/>
  <c r="J37" i="118" s="1"/>
  <c r="J38" i="118" s="1"/>
  <c r="J39" i="118" s="1"/>
  <c r="I7" i="118"/>
  <c r="I4" i="118" s="1"/>
  <c r="H7" i="118"/>
  <c r="H15" i="118" s="1"/>
  <c r="H16" i="118" s="1"/>
  <c r="H17" i="118" s="1"/>
  <c r="H18" i="118" s="1"/>
  <c r="H19" i="118" s="1"/>
  <c r="H20" i="118" s="1"/>
  <c r="H21" i="118" s="1"/>
  <c r="H22" i="118" s="1"/>
  <c r="H23" i="118" s="1"/>
  <c r="H24" i="118" s="1"/>
  <c r="H25" i="118" s="1"/>
  <c r="H26" i="118" s="1"/>
  <c r="H27" i="118" s="1"/>
  <c r="H28" i="118" s="1"/>
  <c r="H29" i="118" s="1"/>
  <c r="H30" i="118" s="1"/>
  <c r="H31" i="118" s="1"/>
  <c r="H32" i="118" s="1"/>
  <c r="H33" i="118" s="1"/>
  <c r="H34" i="118" s="1"/>
  <c r="H35" i="118" s="1"/>
  <c r="H36" i="118" s="1"/>
  <c r="H37" i="118" s="1"/>
  <c r="H38" i="118" s="1"/>
  <c r="H39" i="118" s="1"/>
  <c r="G7" i="118"/>
  <c r="G4" i="118" s="1"/>
  <c r="F7" i="118"/>
  <c r="F4" i="118" s="1"/>
  <c r="E7" i="118"/>
  <c r="D7" i="118"/>
  <c r="D11" i="118" s="1"/>
  <c r="AH4" i="118"/>
  <c r="B4" i="118" s="1"/>
  <c r="AA4" i="118"/>
  <c r="Z4" i="118"/>
  <c r="N4" i="118"/>
  <c r="L4" i="118"/>
  <c r="D4" i="118"/>
  <c r="E3" i="118"/>
  <c r="F3" i="118" s="1"/>
  <c r="G3" i="118" s="1"/>
  <c r="H3" i="118" s="1"/>
  <c r="I3" i="118" s="1"/>
  <c r="J3" i="118" s="1"/>
  <c r="K3" i="118" s="1"/>
  <c r="L3" i="118" s="1"/>
  <c r="M3" i="118" s="1"/>
  <c r="N3" i="118" s="1"/>
  <c r="O3" i="118" s="1"/>
  <c r="P3" i="118" s="1"/>
  <c r="Q3" i="118" s="1"/>
  <c r="R3" i="118" s="1"/>
  <c r="S3" i="118" s="1"/>
  <c r="T3" i="118" s="1"/>
  <c r="U3" i="118" s="1"/>
  <c r="V3" i="118" s="1"/>
  <c r="W3" i="118" s="1"/>
  <c r="X3" i="118" s="1"/>
  <c r="Y3" i="118" s="1"/>
  <c r="Z3" i="118" s="1"/>
  <c r="AA3" i="118" s="1"/>
  <c r="AB3" i="118" s="1"/>
  <c r="AC3" i="118" s="1"/>
  <c r="AD3" i="118" s="1"/>
  <c r="AE3" i="118" s="1"/>
  <c r="AF3" i="118" s="1"/>
  <c r="AG3" i="118" s="1"/>
  <c r="B3" i="118"/>
  <c r="E2" i="118"/>
  <c r="F2" i="118" s="1"/>
  <c r="G2" i="118" s="1"/>
  <c r="H2" i="118" s="1"/>
  <c r="I2" i="118" s="1"/>
  <c r="J2" i="118" s="1"/>
  <c r="K2" i="118" s="1"/>
  <c r="L2" i="118" s="1"/>
  <c r="M2" i="118" s="1"/>
  <c r="N2" i="118" s="1"/>
  <c r="O2" i="118" s="1"/>
  <c r="P2" i="118" s="1"/>
  <c r="Q2" i="118" s="1"/>
  <c r="R2" i="118" s="1"/>
  <c r="S2" i="118" s="1"/>
  <c r="T2" i="118" s="1"/>
  <c r="U2" i="118" s="1"/>
  <c r="V2" i="118" s="1"/>
  <c r="W2" i="118" s="1"/>
  <c r="X2" i="118" s="1"/>
  <c r="Y2" i="118" s="1"/>
  <c r="Z2" i="118" s="1"/>
  <c r="AA2" i="118" s="1"/>
  <c r="AB2" i="118" s="1"/>
  <c r="AC2" i="118" s="1"/>
  <c r="AD2" i="118" s="1"/>
  <c r="AE2" i="118" s="1"/>
  <c r="AF2" i="118" s="1"/>
  <c r="AG2" i="118" s="1"/>
  <c r="D49" i="110"/>
  <c r="E49" i="110"/>
  <c r="F49" i="110"/>
  <c r="D50" i="110"/>
  <c r="E50" i="110"/>
  <c r="F50" i="110"/>
  <c r="F48" i="110" s="1"/>
  <c r="D51" i="110"/>
  <c r="E51" i="110"/>
  <c r="E48" i="110" s="1"/>
  <c r="F51" i="110"/>
  <c r="C50" i="110"/>
  <c r="C51" i="110"/>
  <c r="D19" i="110"/>
  <c r="D18" i="110" s="1"/>
  <c r="E19" i="110"/>
  <c r="F19" i="110"/>
  <c r="F18" i="110" s="1"/>
  <c r="D20" i="110"/>
  <c r="E20" i="110"/>
  <c r="F20" i="110"/>
  <c r="C20" i="110"/>
  <c r="C19" i="110"/>
  <c r="AF66" i="110"/>
  <c r="C54" i="110"/>
  <c r="C53" i="110"/>
  <c r="C49" i="110"/>
  <c r="D48" i="110"/>
  <c r="AG46" i="110"/>
  <c r="C30" i="110"/>
  <c r="C22" i="110"/>
  <c r="AF16" i="110"/>
  <c r="AE16" i="110"/>
  <c r="AD16" i="110"/>
  <c r="AC16" i="110"/>
  <c r="AB16" i="110"/>
  <c r="AA16" i="110"/>
  <c r="Z16" i="110"/>
  <c r="Y16" i="110"/>
  <c r="X16" i="110"/>
  <c r="W16" i="110"/>
  <c r="V16" i="110"/>
  <c r="U16" i="110"/>
  <c r="T16" i="110"/>
  <c r="S16" i="110"/>
  <c r="R16" i="110"/>
  <c r="Q16" i="110"/>
  <c r="P16" i="110"/>
  <c r="O16" i="110"/>
  <c r="N16" i="110"/>
  <c r="M16" i="110"/>
  <c r="L16" i="110"/>
  <c r="K16" i="110"/>
  <c r="J16" i="110"/>
  <c r="I16" i="110"/>
  <c r="H16" i="110"/>
  <c r="G16" i="110"/>
  <c r="F13" i="110"/>
  <c r="E13" i="110"/>
  <c r="D13" i="110"/>
  <c r="C13" i="110"/>
  <c r="E9" i="110"/>
  <c r="D9" i="110"/>
  <c r="D17" i="110" s="1"/>
  <c r="D26" i="110" s="1"/>
  <c r="J113" i="87"/>
  <c r="K113" i="87"/>
  <c r="L113" i="87"/>
  <c r="L116" i="87" s="1"/>
  <c r="M113" i="87"/>
  <c r="J114" i="87"/>
  <c r="K114" i="87"/>
  <c r="L114" i="87"/>
  <c r="M114" i="87"/>
  <c r="J115" i="87"/>
  <c r="K115" i="87"/>
  <c r="L115" i="87"/>
  <c r="M115" i="87"/>
  <c r="I114" i="87"/>
  <c r="N114" i="87" s="1"/>
  <c r="I115" i="87"/>
  <c r="I113" i="87"/>
  <c r="I116" i="87" s="1"/>
  <c r="J116" i="87"/>
  <c r="D45" i="109"/>
  <c r="E45" i="109"/>
  <c r="F45" i="109"/>
  <c r="G45" i="109"/>
  <c r="H45" i="109"/>
  <c r="I45" i="109"/>
  <c r="J45" i="109"/>
  <c r="K45" i="109"/>
  <c r="L45" i="109"/>
  <c r="M45" i="109"/>
  <c r="N45" i="109"/>
  <c r="O45" i="109"/>
  <c r="P45" i="109"/>
  <c r="Q45" i="109"/>
  <c r="R45" i="109"/>
  <c r="S45" i="109"/>
  <c r="T45" i="109"/>
  <c r="U45" i="109"/>
  <c r="V45" i="109"/>
  <c r="W45" i="109"/>
  <c r="X45" i="109"/>
  <c r="Y45" i="109"/>
  <c r="Z45" i="109"/>
  <c r="AA45" i="109"/>
  <c r="B45" i="109"/>
  <c r="B32" i="109"/>
  <c r="G48" i="109"/>
  <c r="H48" i="109"/>
  <c r="I48" i="109"/>
  <c r="J48" i="109"/>
  <c r="K48" i="109"/>
  <c r="L48" i="109"/>
  <c r="M48" i="109"/>
  <c r="N48" i="109"/>
  <c r="O48" i="109"/>
  <c r="P48" i="109"/>
  <c r="Q48" i="109"/>
  <c r="R48" i="109"/>
  <c r="S48" i="109"/>
  <c r="T48" i="109"/>
  <c r="U48" i="109"/>
  <c r="V48" i="109"/>
  <c r="W48" i="109"/>
  <c r="X48" i="109"/>
  <c r="Y48" i="109"/>
  <c r="Z48" i="109"/>
  <c r="AA48" i="109"/>
  <c r="G44" i="109"/>
  <c r="H44" i="109"/>
  <c r="I44" i="109"/>
  <c r="J44" i="109"/>
  <c r="K44" i="109"/>
  <c r="L44" i="109"/>
  <c r="M44" i="109"/>
  <c r="N44" i="109"/>
  <c r="O44" i="109"/>
  <c r="P44" i="109"/>
  <c r="Q44" i="109"/>
  <c r="R44" i="109"/>
  <c r="S44" i="109"/>
  <c r="T44" i="109"/>
  <c r="U44" i="109"/>
  <c r="V44" i="109"/>
  <c r="W44" i="109"/>
  <c r="X44" i="109"/>
  <c r="Y44" i="109"/>
  <c r="Z44" i="109"/>
  <c r="AA44" i="109"/>
  <c r="J43" i="109"/>
  <c r="K43" i="109"/>
  <c r="L43" i="109"/>
  <c r="M43" i="109"/>
  <c r="N43" i="109"/>
  <c r="O43" i="109"/>
  <c r="P43" i="109"/>
  <c r="Q43" i="109"/>
  <c r="R43" i="109"/>
  <c r="S43" i="109"/>
  <c r="T43" i="109"/>
  <c r="U43" i="109"/>
  <c r="V43" i="109"/>
  <c r="W43" i="109"/>
  <c r="X43" i="109"/>
  <c r="Y43" i="109"/>
  <c r="Z43" i="109"/>
  <c r="AA43" i="109"/>
  <c r="H11" i="109"/>
  <c r="I11" i="109"/>
  <c r="J11" i="109"/>
  <c r="K11" i="109"/>
  <c r="L11" i="109"/>
  <c r="M11" i="109"/>
  <c r="N11" i="109"/>
  <c r="O11" i="109"/>
  <c r="P11" i="109"/>
  <c r="Q11" i="109"/>
  <c r="R11" i="109"/>
  <c r="S11" i="109"/>
  <c r="T11" i="109"/>
  <c r="U11" i="109"/>
  <c r="V11" i="109"/>
  <c r="W11" i="109"/>
  <c r="X11" i="109"/>
  <c r="Y11" i="109"/>
  <c r="Z11" i="109"/>
  <c r="AA11" i="109"/>
  <c r="H12" i="109"/>
  <c r="I12" i="109"/>
  <c r="G12" i="109"/>
  <c r="F12" i="109"/>
  <c r="G11" i="109"/>
  <c r="C7" i="109"/>
  <c r="D7" i="109"/>
  <c r="E7" i="109"/>
  <c r="F14" i="109"/>
  <c r="G14" i="109"/>
  <c r="H14" i="109"/>
  <c r="I14" i="109"/>
  <c r="J14" i="109"/>
  <c r="K14" i="109"/>
  <c r="L14" i="109"/>
  <c r="M14" i="109"/>
  <c r="N14" i="109"/>
  <c r="O14" i="109"/>
  <c r="P14" i="109"/>
  <c r="Q14" i="109"/>
  <c r="R14" i="109"/>
  <c r="S14" i="109"/>
  <c r="T14" i="109"/>
  <c r="U14" i="109"/>
  <c r="V14" i="109"/>
  <c r="W14" i="109"/>
  <c r="X14" i="109"/>
  <c r="Y14" i="109"/>
  <c r="Z14" i="109"/>
  <c r="AA14" i="109"/>
  <c r="F51" i="109"/>
  <c r="G51" i="109"/>
  <c r="H51" i="109"/>
  <c r="I51" i="109"/>
  <c r="J51" i="109"/>
  <c r="K51" i="109"/>
  <c r="L51" i="109"/>
  <c r="M51" i="109"/>
  <c r="N51" i="109"/>
  <c r="O51" i="109"/>
  <c r="P51" i="109"/>
  <c r="Q51" i="109"/>
  <c r="R51" i="109"/>
  <c r="S51" i="109"/>
  <c r="T51" i="109"/>
  <c r="U51" i="109"/>
  <c r="V51" i="109"/>
  <c r="W51" i="109"/>
  <c r="X51" i="109"/>
  <c r="Y51" i="109"/>
  <c r="Z51" i="109"/>
  <c r="AA51" i="109"/>
  <c r="B7" i="109"/>
  <c r="H14" i="85"/>
  <c r="AF66" i="108"/>
  <c r="C54" i="108"/>
  <c r="C53" i="108"/>
  <c r="AF51" i="108"/>
  <c r="AE51" i="108"/>
  <c r="AD51" i="108"/>
  <c r="AC51" i="108"/>
  <c r="AB51" i="108"/>
  <c r="AA51" i="108"/>
  <c r="Z51" i="108"/>
  <c r="Y51" i="108"/>
  <c r="X51" i="108"/>
  <c r="W51" i="108"/>
  <c r="V51" i="108"/>
  <c r="U51" i="108"/>
  <c r="T51" i="108"/>
  <c r="S51" i="108"/>
  <c r="R51" i="108"/>
  <c r="Q51" i="108"/>
  <c r="P51" i="108"/>
  <c r="O51" i="108"/>
  <c r="N51" i="108"/>
  <c r="M51" i="108"/>
  <c r="L51" i="108"/>
  <c r="K51" i="108"/>
  <c r="J51" i="108"/>
  <c r="I51" i="108"/>
  <c r="H51" i="108"/>
  <c r="G51" i="108"/>
  <c r="F51" i="108"/>
  <c r="E51" i="108"/>
  <c r="D51" i="108"/>
  <c r="C51" i="108"/>
  <c r="AG51" i="108" s="1"/>
  <c r="AF50" i="108"/>
  <c r="AE50" i="108"/>
  <c r="AD50" i="108"/>
  <c r="AC50" i="108"/>
  <c r="AB50" i="108"/>
  <c r="AA50" i="108"/>
  <c r="Z50" i="108"/>
  <c r="Y50" i="108"/>
  <c r="X50" i="108"/>
  <c r="W50" i="108"/>
  <c r="V50" i="108"/>
  <c r="U50" i="108"/>
  <c r="U48" i="108" s="1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AG50" i="108" s="1"/>
  <c r="H50" i="108"/>
  <c r="G50" i="108"/>
  <c r="F50" i="108"/>
  <c r="E50" i="108"/>
  <c r="D50" i="108"/>
  <c r="C50" i="108"/>
  <c r="AF49" i="108"/>
  <c r="AF48" i="108" s="1"/>
  <c r="AE49" i="108"/>
  <c r="AE48" i="108" s="1"/>
  <c r="AD49" i="108"/>
  <c r="AD48" i="108" s="1"/>
  <c r="AC49" i="108"/>
  <c r="AC48" i="108" s="1"/>
  <c r="AB49" i="108"/>
  <c r="AB48" i="108" s="1"/>
  <c r="AA49" i="108"/>
  <c r="Z49" i="108"/>
  <c r="Y49" i="108"/>
  <c r="Y48" i="108" s="1"/>
  <c r="X49" i="108"/>
  <c r="X48" i="108" s="1"/>
  <c r="W49" i="108"/>
  <c r="V49" i="108"/>
  <c r="U49" i="108"/>
  <c r="T49" i="108"/>
  <c r="T48" i="108" s="1"/>
  <c r="S49" i="108"/>
  <c r="S48" i="108" s="1"/>
  <c r="R49" i="108"/>
  <c r="R48" i="108" s="1"/>
  <c r="Q49" i="108"/>
  <c r="Q48" i="108" s="1"/>
  <c r="P49" i="108"/>
  <c r="P48" i="108" s="1"/>
  <c r="O49" i="108"/>
  <c r="N49" i="108"/>
  <c r="M49" i="108"/>
  <c r="M48" i="108" s="1"/>
  <c r="L49" i="108"/>
  <c r="L48" i="108" s="1"/>
  <c r="K49" i="108"/>
  <c r="J49" i="108"/>
  <c r="I49" i="108"/>
  <c r="H49" i="108"/>
  <c r="H48" i="108" s="1"/>
  <c r="G49" i="108"/>
  <c r="G48" i="108" s="1"/>
  <c r="F49" i="108"/>
  <c r="F48" i="108" s="1"/>
  <c r="E49" i="108"/>
  <c r="E48" i="108" s="1"/>
  <c r="D49" i="108"/>
  <c r="D48" i="108" s="1"/>
  <c r="C49" i="108"/>
  <c r="AG49" i="108" s="1"/>
  <c r="AA48" i="108"/>
  <c r="Z48" i="108"/>
  <c r="W48" i="108"/>
  <c r="V48" i="108"/>
  <c r="O48" i="108"/>
  <c r="N48" i="108"/>
  <c r="K48" i="108"/>
  <c r="J48" i="108"/>
  <c r="C48" i="108"/>
  <c r="AG46" i="108"/>
  <c r="C30" i="108"/>
  <c r="AF28" i="108"/>
  <c r="AE28" i="108"/>
  <c r="AD28" i="108"/>
  <c r="AC28" i="108"/>
  <c r="AB28" i="108"/>
  <c r="AA28" i="108"/>
  <c r="Z28" i="108"/>
  <c r="Y28" i="108"/>
  <c r="X28" i="108"/>
  <c r="W28" i="108"/>
  <c r="V28" i="108"/>
  <c r="U28" i="108"/>
  <c r="T28" i="108"/>
  <c r="S28" i="108"/>
  <c r="R28" i="108"/>
  <c r="Q28" i="108"/>
  <c r="P28" i="108"/>
  <c r="O28" i="108"/>
  <c r="N28" i="108"/>
  <c r="M28" i="108"/>
  <c r="L28" i="108"/>
  <c r="K28" i="108"/>
  <c r="J28" i="108"/>
  <c r="I28" i="108"/>
  <c r="H28" i="108"/>
  <c r="G28" i="108"/>
  <c r="F28" i="108"/>
  <c r="E28" i="108"/>
  <c r="D28" i="108"/>
  <c r="AG28" i="108" s="1"/>
  <c r="AF25" i="108"/>
  <c r="AE25" i="108"/>
  <c r="AE21" i="108" s="1"/>
  <c r="AD25" i="108"/>
  <c r="AD21" i="108" s="1"/>
  <c r="AC25" i="108"/>
  <c r="AB25" i="108"/>
  <c r="AA25" i="108"/>
  <c r="Z25" i="108"/>
  <c r="Y25" i="108"/>
  <c r="X25" i="108"/>
  <c r="W25" i="108"/>
  <c r="V25" i="108"/>
  <c r="U25" i="108"/>
  <c r="T25" i="108"/>
  <c r="S25" i="108"/>
  <c r="S21" i="108" s="1"/>
  <c r="R25" i="108"/>
  <c r="R21" i="108" s="1"/>
  <c r="Q25" i="108"/>
  <c r="P25" i="108"/>
  <c r="O25" i="108"/>
  <c r="N25" i="108"/>
  <c r="M25" i="108"/>
  <c r="L25" i="108"/>
  <c r="K25" i="108"/>
  <c r="J25" i="108"/>
  <c r="I25" i="108"/>
  <c r="H25" i="108"/>
  <c r="G25" i="108"/>
  <c r="G21" i="108" s="1"/>
  <c r="F25" i="108"/>
  <c r="F21" i="108" s="1"/>
  <c r="E25" i="108"/>
  <c r="D25" i="108"/>
  <c r="C25" i="108"/>
  <c r="AG25" i="108" s="1"/>
  <c r="AF24" i="108"/>
  <c r="AE24" i="108"/>
  <c r="AD24" i="108"/>
  <c r="AC24" i="108"/>
  <c r="AB24" i="108"/>
  <c r="AA24" i="108"/>
  <c r="Z24" i="108"/>
  <c r="Y24" i="108"/>
  <c r="X24" i="108"/>
  <c r="W24" i="108"/>
  <c r="V24" i="108"/>
  <c r="U24" i="108"/>
  <c r="T24" i="108"/>
  <c r="S24" i="108"/>
  <c r="R24" i="108"/>
  <c r="Q24" i="108"/>
  <c r="P24" i="108"/>
  <c r="O24" i="108"/>
  <c r="N24" i="108"/>
  <c r="M24" i="108"/>
  <c r="L24" i="108"/>
  <c r="K24" i="108"/>
  <c r="J24" i="108"/>
  <c r="I24" i="108"/>
  <c r="AG24" i="108" s="1"/>
  <c r="H24" i="108"/>
  <c r="G24" i="108"/>
  <c r="F24" i="108"/>
  <c r="E24" i="108"/>
  <c r="D24" i="108"/>
  <c r="C24" i="108"/>
  <c r="AF23" i="108"/>
  <c r="AE23" i="108"/>
  <c r="AD23" i="108"/>
  <c r="AC23" i="108"/>
  <c r="AC21" i="108" s="1"/>
  <c r="AB23" i="108"/>
  <c r="AA23" i="108"/>
  <c r="Z23" i="108"/>
  <c r="Y23" i="108"/>
  <c r="X23" i="108"/>
  <c r="W23" i="108"/>
  <c r="V23" i="108"/>
  <c r="U23" i="108"/>
  <c r="T23" i="108"/>
  <c r="S23" i="108"/>
  <c r="R23" i="108"/>
  <c r="Q23" i="108"/>
  <c r="Q21" i="108" s="1"/>
  <c r="P23" i="108"/>
  <c r="O23" i="108"/>
  <c r="N23" i="108"/>
  <c r="M23" i="108"/>
  <c r="L23" i="108"/>
  <c r="K23" i="108"/>
  <c r="J23" i="108"/>
  <c r="I23" i="108"/>
  <c r="H23" i="108"/>
  <c r="AG23" i="108" s="1"/>
  <c r="G23" i="108"/>
  <c r="F23" i="108"/>
  <c r="E23" i="108"/>
  <c r="E21" i="108" s="1"/>
  <c r="D23" i="108"/>
  <c r="C23" i="108"/>
  <c r="AF22" i="108"/>
  <c r="AF21" i="108" s="1"/>
  <c r="AE22" i="108"/>
  <c r="AD22" i="108"/>
  <c r="AC22" i="108"/>
  <c r="AB22" i="108"/>
  <c r="AB21" i="108" s="1"/>
  <c r="AA22" i="108"/>
  <c r="AA21" i="108" s="1"/>
  <c r="Z22" i="108"/>
  <c r="Z21" i="108" s="1"/>
  <c r="Y22" i="108"/>
  <c r="Y21" i="108" s="1"/>
  <c r="X22" i="108"/>
  <c r="X21" i="108" s="1"/>
  <c r="W22" i="108"/>
  <c r="V22" i="108"/>
  <c r="U22" i="108"/>
  <c r="U21" i="108" s="1"/>
  <c r="T22" i="108"/>
  <c r="T21" i="108" s="1"/>
  <c r="S22" i="108"/>
  <c r="R22" i="108"/>
  <c r="Q22" i="108"/>
  <c r="P22" i="108"/>
  <c r="P21" i="108" s="1"/>
  <c r="O22" i="108"/>
  <c r="O21" i="108" s="1"/>
  <c r="N22" i="108"/>
  <c r="N21" i="108" s="1"/>
  <c r="M22" i="108"/>
  <c r="M21" i="108" s="1"/>
  <c r="L22" i="108"/>
  <c r="L21" i="108" s="1"/>
  <c r="K22" i="108"/>
  <c r="J22" i="108"/>
  <c r="I22" i="108"/>
  <c r="I21" i="108" s="1"/>
  <c r="H22" i="108"/>
  <c r="H21" i="108" s="1"/>
  <c r="G22" i="108"/>
  <c r="F22" i="108"/>
  <c r="E22" i="108"/>
  <c r="D22" i="108"/>
  <c r="D21" i="108" s="1"/>
  <c r="C22" i="108"/>
  <c r="W21" i="108"/>
  <c r="V21" i="108"/>
  <c r="K21" i="108"/>
  <c r="J21" i="108"/>
  <c r="AF20" i="108"/>
  <c r="AE20" i="108"/>
  <c r="AD20" i="108"/>
  <c r="AC20" i="108"/>
  <c r="AC18" i="108" s="1"/>
  <c r="AB20" i="108"/>
  <c r="AA20" i="108"/>
  <c r="Z20" i="108"/>
  <c r="Z18" i="108" s="1"/>
  <c r="Y20" i="108"/>
  <c r="X20" i="108"/>
  <c r="W20" i="108"/>
  <c r="V20" i="108"/>
  <c r="U20" i="108"/>
  <c r="T20" i="108"/>
  <c r="S20" i="108"/>
  <c r="R20" i="108"/>
  <c r="Q20" i="108"/>
  <c r="Q18" i="108" s="1"/>
  <c r="P20" i="108"/>
  <c r="O20" i="108"/>
  <c r="N20" i="108"/>
  <c r="N18" i="108" s="1"/>
  <c r="M20" i="108"/>
  <c r="L20" i="108"/>
  <c r="K20" i="108"/>
  <c r="J20" i="108"/>
  <c r="I20" i="108"/>
  <c r="H20" i="108"/>
  <c r="G20" i="108"/>
  <c r="F20" i="108"/>
  <c r="E20" i="108"/>
  <c r="D20" i="108"/>
  <c r="C20" i="108"/>
  <c r="AF19" i="108"/>
  <c r="AE19" i="108"/>
  <c r="AD19" i="108"/>
  <c r="AD18" i="108" s="1"/>
  <c r="AC19" i="108"/>
  <c r="AB19" i="108"/>
  <c r="AA19" i="108"/>
  <c r="Z19" i="108"/>
  <c r="Y19" i="108"/>
  <c r="Y18" i="108" s="1"/>
  <c r="X19" i="108"/>
  <c r="X18" i="108" s="1"/>
  <c r="W19" i="108"/>
  <c r="W18" i="108" s="1"/>
  <c r="V19" i="108"/>
  <c r="V18" i="108" s="1"/>
  <c r="U19" i="108"/>
  <c r="U18" i="108" s="1"/>
  <c r="T19" i="108"/>
  <c r="S19" i="108"/>
  <c r="R19" i="108"/>
  <c r="R18" i="108" s="1"/>
  <c r="Q19" i="108"/>
  <c r="P19" i="108"/>
  <c r="O19" i="108"/>
  <c r="N19" i="108"/>
  <c r="M19" i="108"/>
  <c r="M18" i="108" s="1"/>
  <c r="L19" i="108"/>
  <c r="L18" i="108" s="1"/>
  <c r="K19" i="108"/>
  <c r="K18" i="108" s="1"/>
  <c r="J19" i="108"/>
  <c r="J18" i="108" s="1"/>
  <c r="I19" i="108"/>
  <c r="I18" i="108" s="1"/>
  <c r="H19" i="108"/>
  <c r="G19" i="108"/>
  <c r="F19" i="108"/>
  <c r="F18" i="108" s="1"/>
  <c r="E19" i="108"/>
  <c r="D19" i="108"/>
  <c r="C19" i="108"/>
  <c r="AF18" i="108"/>
  <c r="AE18" i="108"/>
  <c r="AB18" i="108"/>
  <c r="AA18" i="108"/>
  <c r="T18" i="108"/>
  <c r="S18" i="108"/>
  <c r="P18" i="108"/>
  <c r="O18" i="108"/>
  <c r="H18" i="108"/>
  <c r="G18" i="108"/>
  <c r="D18" i="108"/>
  <c r="C18" i="108"/>
  <c r="AF16" i="108"/>
  <c r="AE16" i="108"/>
  <c r="AD16" i="108"/>
  <c r="AC16" i="108"/>
  <c r="AB16" i="108"/>
  <c r="AA16" i="108"/>
  <c r="Z16" i="108"/>
  <c r="Y16" i="108"/>
  <c r="X16" i="108"/>
  <c r="W16" i="108"/>
  <c r="V16" i="108"/>
  <c r="U16" i="108"/>
  <c r="T16" i="108"/>
  <c r="S16" i="108"/>
  <c r="R16" i="108"/>
  <c r="Q16" i="108"/>
  <c r="P16" i="108"/>
  <c r="O16" i="108"/>
  <c r="N16" i="108"/>
  <c r="M16" i="108"/>
  <c r="L16" i="108"/>
  <c r="K16" i="108"/>
  <c r="J16" i="108"/>
  <c r="I16" i="108"/>
  <c r="AG16" i="108" s="1"/>
  <c r="H16" i="108"/>
  <c r="G16" i="108"/>
  <c r="F13" i="108"/>
  <c r="E13" i="108"/>
  <c r="D13" i="108"/>
  <c r="C13" i="108"/>
  <c r="AF12" i="108"/>
  <c r="AE12" i="108"/>
  <c r="AD12" i="108"/>
  <c r="AC12" i="108"/>
  <c r="AB12" i="108"/>
  <c r="AA12" i="108"/>
  <c r="Z12" i="108"/>
  <c r="Y12" i="108"/>
  <c r="X12" i="108"/>
  <c r="W12" i="108"/>
  <c r="V12" i="108"/>
  <c r="U12" i="108"/>
  <c r="T12" i="108"/>
  <c r="S12" i="108"/>
  <c r="R12" i="108"/>
  <c r="Q12" i="108"/>
  <c r="P12" i="108"/>
  <c r="O12" i="108"/>
  <c r="N12" i="108"/>
  <c r="M12" i="108"/>
  <c r="L12" i="108"/>
  <c r="K12" i="108"/>
  <c r="E9" i="108"/>
  <c r="E17" i="108" s="1"/>
  <c r="AF11" i="108"/>
  <c r="AE11" i="108"/>
  <c r="AD11" i="108"/>
  <c r="AC11" i="108"/>
  <c r="AB11" i="108"/>
  <c r="AA11" i="108"/>
  <c r="Z11" i="108"/>
  <c r="Y11" i="108"/>
  <c r="X11" i="108"/>
  <c r="W11" i="108"/>
  <c r="V11" i="108"/>
  <c r="U11" i="108"/>
  <c r="T11" i="108"/>
  <c r="S11" i="108"/>
  <c r="R11" i="108"/>
  <c r="Q11" i="108"/>
  <c r="P11" i="108"/>
  <c r="O11" i="108"/>
  <c r="N11" i="108"/>
  <c r="M11" i="108"/>
  <c r="L11" i="108"/>
  <c r="K11" i="108"/>
  <c r="AF10" i="108"/>
  <c r="AE10" i="108"/>
  <c r="AD10" i="108"/>
  <c r="AC10" i="108"/>
  <c r="AB10" i="108"/>
  <c r="AA10" i="108"/>
  <c r="Z10" i="108"/>
  <c r="Y10" i="108"/>
  <c r="X10" i="108"/>
  <c r="W10" i="108"/>
  <c r="V10" i="108"/>
  <c r="U10" i="108"/>
  <c r="T10" i="108"/>
  <c r="S10" i="108"/>
  <c r="R10" i="108"/>
  <c r="Q10" i="108"/>
  <c r="P10" i="108"/>
  <c r="O10" i="108"/>
  <c r="N10" i="108"/>
  <c r="M10" i="108"/>
  <c r="L10" i="108"/>
  <c r="K10" i="108"/>
  <c r="D9" i="108"/>
  <c r="D17" i="108" s="1"/>
  <c r="D26" i="108" s="1"/>
  <c r="F9" i="108"/>
  <c r="G49" i="107"/>
  <c r="H49" i="107"/>
  <c r="I49" i="107"/>
  <c r="J49" i="107"/>
  <c r="J48" i="107" s="1"/>
  <c r="K49" i="107"/>
  <c r="K48" i="107" s="1"/>
  <c r="L49" i="107"/>
  <c r="M49" i="107"/>
  <c r="M48" i="107" s="1"/>
  <c r="N49" i="107"/>
  <c r="N48" i="107" s="1"/>
  <c r="O49" i="107"/>
  <c r="P49" i="107"/>
  <c r="Q49" i="107"/>
  <c r="R49" i="107"/>
  <c r="R48" i="107" s="1"/>
  <c r="S49" i="107"/>
  <c r="T49" i="107"/>
  <c r="U49" i="107"/>
  <c r="U48" i="107" s="1"/>
  <c r="V49" i="107"/>
  <c r="V48" i="107" s="1"/>
  <c r="W49" i="107"/>
  <c r="X49" i="107"/>
  <c r="Y49" i="107"/>
  <c r="Z49" i="107"/>
  <c r="AA49" i="107"/>
  <c r="AB49" i="107"/>
  <c r="AC49" i="107"/>
  <c r="AD49" i="107"/>
  <c r="AD48" i="107" s="1"/>
  <c r="AE49" i="107"/>
  <c r="AF49" i="107"/>
  <c r="G50" i="107"/>
  <c r="G48" i="107" s="1"/>
  <c r="H50" i="107"/>
  <c r="H48" i="107" s="1"/>
  <c r="I50" i="107"/>
  <c r="J50" i="107"/>
  <c r="K50" i="107"/>
  <c r="L50" i="107"/>
  <c r="L48" i="107" s="1"/>
  <c r="M50" i="107"/>
  <c r="N50" i="107"/>
  <c r="O50" i="107"/>
  <c r="P50" i="107"/>
  <c r="P48" i="107" s="1"/>
  <c r="Q50" i="107"/>
  <c r="R50" i="107"/>
  <c r="S50" i="107"/>
  <c r="T50" i="107"/>
  <c r="T48" i="107" s="1"/>
  <c r="U50" i="107"/>
  <c r="V50" i="107"/>
  <c r="W50" i="107"/>
  <c r="X50" i="107"/>
  <c r="X48" i="107" s="1"/>
  <c r="Y50" i="107"/>
  <c r="Z50" i="107"/>
  <c r="AA50" i="107"/>
  <c r="AB50" i="107"/>
  <c r="AB48" i="107" s="1"/>
  <c r="AC50" i="107"/>
  <c r="AD50" i="107"/>
  <c r="AE50" i="107"/>
  <c r="AE48" i="107" s="1"/>
  <c r="AF50" i="107"/>
  <c r="AF48" i="107" s="1"/>
  <c r="G51" i="107"/>
  <c r="H51" i="107"/>
  <c r="I51" i="107"/>
  <c r="J51" i="107"/>
  <c r="K51" i="107"/>
  <c r="L51" i="107"/>
  <c r="M51" i="107"/>
  <c r="N51" i="107"/>
  <c r="O51" i="107"/>
  <c r="P51" i="107"/>
  <c r="Q51" i="107"/>
  <c r="R51" i="107"/>
  <c r="S51" i="107"/>
  <c r="S48" i="107" s="1"/>
  <c r="T51" i="107"/>
  <c r="U51" i="107"/>
  <c r="V51" i="107"/>
  <c r="W51" i="107"/>
  <c r="X51" i="107"/>
  <c r="Y51" i="107"/>
  <c r="Z51" i="107"/>
  <c r="Z48" i="107" s="1"/>
  <c r="AA51" i="107"/>
  <c r="AB51" i="107"/>
  <c r="AC51" i="107"/>
  <c r="AC48" i="107" s="1"/>
  <c r="AD51" i="107"/>
  <c r="AE51" i="107"/>
  <c r="AF51" i="107"/>
  <c r="AF66" i="107"/>
  <c r="C54" i="107"/>
  <c r="C53" i="107"/>
  <c r="F51" i="107"/>
  <c r="E51" i="107"/>
  <c r="D51" i="107"/>
  <c r="C51" i="107"/>
  <c r="F50" i="107"/>
  <c r="E50" i="107"/>
  <c r="D50" i="107"/>
  <c r="C50" i="107"/>
  <c r="Y48" i="107"/>
  <c r="Q48" i="107"/>
  <c r="I48" i="107"/>
  <c r="F49" i="107"/>
  <c r="F48" i="107" s="1"/>
  <c r="E49" i="107"/>
  <c r="E48" i="107" s="1"/>
  <c r="D49" i="107"/>
  <c r="C49" i="107"/>
  <c r="AA48" i="107"/>
  <c r="W48" i="107"/>
  <c r="O48" i="107"/>
  <c r="D48" i="107"/>
  <c r="C48" i="107"/>
  <c r="AG46" i="107"/>
  <c r="C30" i="107"/>
  <c r="AF28" i="107"/>
  <c r="AE28" i="107"/>
  <c r="AD28" i="107"/>
  <c r="AC28" i="107"/>
  <c r="AB28" i="107"/>
  <c r="AA28" i="107"/>
  <c r="Z28" i="107"/>
  <c r="Y28" i="107"/>
  <c r="X28" i="107"/>
  <c r="W28" i="107"/>
  <c r="V28" i="107"/>
  <c r="U28" i="107"/>
  <c r="T28" i="107"/>
  <c r="S28" i="107"/>
  <c r="R28" i="107"/>
  <c r="Q28" i="107"/>
  <c r="P28" i="107"/>
  <c r="O28" i="107"/>
  <c r="N28" i="107"/>
  <c r="M28" i="107"/>
  <c r="L28" i="107"/>
  <c r="K28" i="107"/>
  <c r="J28" i="107"/>
  <c r="I28" i="107"/>
  <c r="H28" i="107"/>
  <c r="G28" i="107"/>
  <c r="F28" i="107"/>
  <c r="E28" i="107"/>
  <c r="D28" i="107"/>
  <c r="AF25" i="107"/>
  <c r="AE25" i="107"/>
  <c r="AE21" i="107" s="1"/>
  <c r="AD25" i="107"/>
  <c r="AD21" i="107" s="1"/>
  <c r="AC25" i="107"/>
  <c r="AB25" i="107"/>
  <c r="AA25" i="107"/>
  <c r="Z25" i="107"/>
  <c r="Y25" i="107"/>
  <c r="X25" i="107"/>
  <c r="W25" i="107"/>
  <c r="V25" i="107"/>
  <c r="U25" i="107"/>
  <c r="T25" i="107"/>
  <c r="S25" i="107"/>
  <c r="S21" i="107" s="1"/>
  <c r="R25" i="107"/>
  <c r="R21" i="107" s="1"/>
  <c r="Q25" i="107"/>
  <c r="P25" i="107"/>
  <c r="O25" i="107"/>
  <c r="N25" i="107"/>
  <c r="M25" i="107"/>
  <c r="L25" i="107"/>
  <c r="K25" i="107"/>
  <c r="J25" i="107"/>
  <c r="I25" i="107"/>
  <c r="H25" i="107"/>
  <c r="G25" i="107"/>
  <c r="G21" i="107" s="1"/>
  <c r="F25" i="107"/>
  <c r="F21" i="107" s="1"/>
  <c r="E25" i="107"/>
  <c r="D25" i="107"/>
  <c r="C25" i="107"/>
  <c r="AF24" i="107"/>
  <c r="AE24" i="107"/>
  <c r="AD24" i="107"/>
  <c r="AC24" i="107"/>
  <c r="AB24" i="107"/>
  <c r="AA24" i="107"/>
  <c r="Z24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K24" i="107"/>
  <c r="J24" i="107"/>
  <c r="I24" i="107"/>
  <c r="H24" i="107"/>
  <c r="G24" i="107"/>
  <c r="F24" i="107"/>
  <c r="E24" i="107"/>
  <c r="D24" i="107"/>
  <c r="C24" i="107"/>
  <c r="AF23" i="107"/>
  <c r="AF21" i="107" s="1"/>
  <c r="AE23" i="107"/>
  <c r="AD23" i="107"/>
  <c r="AC23" i="107"/>
  <c r="AB23" i="107"/>
  <c r="AA23" i="107"/>
  <c r="Z23" i="107"/>
  <c r="Z21" i="107" s="1"/>
  <c r="Y23" i="107"/>
  <c r="X23" i="107"/>
  <c r="W23" i="107"/>
  <c r="V23" i="107"/>
  <c r="U23" i="107"/>
  <c r="T23" i="107"/>
  <c r="T21" i="107" s="1"/>
  <c r="S23" i="107"/>
  <c r="R23" i="107"/>
  <c r="Q23" i="107"/>
  <c r="P23" i="107"/>
  <c r="O23" i="107"/>
  <c r="N23" i="107"/>
  <c r="N21" i="107" s="1"/>
  <c r="M23" i="107"/>
  <c r="L23" i="107"/>
  <c r="K23" i="107"/>
  <c r="J23" i="107"/>
  <c r="I23" i="107"/>
  <c r="H23" i="107"/>
  <c r="G23" i="107"/>
  <c r="F23" i="107"/>
  <c r="E23" i="107"/>
  <c r="D23" i="107"/>
  <c r="C23" i="107"/>
  <c r="AF22" i="107"/>
  <c r="AE22" i="107"/>
  <c r="AD22" i="107"/>
  <c r="AC22" i="107"/>
  <c r="AB22" i="107"/>
  <c r="AB21" i="107" s="1"/>
  <c r="AA22" i="107"/>
  <c r="AA21" i="107" s="1"/>
  <c r="Z22" i="107"/>
  <c r="Y22" i="107"/>
  <c r="Y21" i="107" s="1"/>
  <c r="X22" i="107"/>
  <c r="W22" i="107"/>
  <c r="V22" i="107"/>
  <c r="U22" i="107"/>
  <c r="U21" i="107" s="1"/>
  <c r="T22" i="107"/>
  <c r="S22" i="107"/>
  <c r="R22" i="107"/>
  <c r="Q22" i="107"/>
  <c r="P22" i="107"/>
  <c r="P21" i="107" s="1"/>
  <c r="O22" i="107"/>
  <c r="O21" i="107" s="1"/>
  <c r="N22" i="107"/>
  <c r="M22" i="107"/>
  <c r="M21" i="107" s="1"/>
  <c r="L22" i="107"/>
  <c r="K22" i="107"/>
  <c r="J22" i="107"/>
  <c r="I22" i="107"/>
  <c r="I21" i="107" s="1"/>
  <c r="H22" i="107"/>
  <c r="G22" i="107"/>
  <c r="F22" i="107"/>
  <c r="E22" i="107"/>
  <c r="D22" i="107"/>
  <c r="D21" i="107" s="1"/>
  <c r="C22" i="107"/>
  <c r="AC21" i="107"/>
  <c r="X21" i="107"/>
  <c r="W21" i="107"/>
  <c r="V21" i="107"/>
  <c r="Q21" i="107"/>
  <c r="L21" i="107"/>
  <c r="K21" i="107"/>
  <c r="J21" i="107"/>
  <c r="E21" i="107"/>
  <c r="AF20" i="107"/>
  <c r="AE20" i="107"/>
  <c r="AD20" i="107"/>
  <c r="AC20" i="107"/>
  <c r="AC18" i="107" s="1"/>
  <c r="AB20" i="107"/>
  <c r="AA20" i="107"/>
  <c r="Z20" i="107"/>
  <c r="Y20" i="107"/>
  <c r="X20" i="107"/>
  <c r="W20" i="107"/>
  <c r="W18" i="107" s="1"/>
  <c r="V20" i="107"/>
  <c r="U20" i="107"/>
  <c r="T20" i="107"/>
  <c r="S20" i="107"/>
  <c r="R20" i="107"/>
  <c r="Q20" i="107"/>
  <c r="Q18" i="107" s="1"/>
  <c r="P20" i="107"/>
  <c r="O20" i="107"/>
  <c r="N20" i="107"/>
  <c r="M20" i="107"/>
  <c r="L20" i="107"/>
  <c r="K20" i="107"/>
  <c r="K18" i="107" s="1"/>
  <c r="J20" i="107"/>
  <c r="I20" i="107"/>
  <c r="H20" i="107"/>
  <c r="G20" i="107"/>
  <c r="F20" i="107"/>
  <c r="E20" i="107"/>
  <c r="E18" i="107" s="1"/>
  <c r="D20" i="107"/>
  <c r="C20" i="107"/>
  <c r="AF19" i="107"/>
  <c r="AE19" i="107"/>
  <c r="AD19" i="107"/>
  <c r="AD18" i="107" s="1"/>
  <c r="AC19" i="107"/>
  <c r="AB19" i="107"/>
  <c r="AA19" i="107"/>
  <c r="Z19" i="107"/>
  <c r="Y19" i="107"/>
  <c r="Y18" i="107" s="1"/>
  <c r="X19" i="107"/>
  <c r="X18" i="107" s="1"/>
  <c r="W19" i="107"/>
  <c r="V19" i="107"/>
  <c r="V18" i="107" s="1"/>
  <c r="U19" i="107"/>
  <c r="T19" i="107"/>
  <c r="S19" i="107"/>
  <c r="R19" i="107"/>
  <c r="R18" i="107" s="1"/>
  <c r="Q19" i="107"/>
  <c r="P19" i="107"/>
  <c r="O19" i="107"/>
  <c r="N19" i="107"/>
  <c r="M19" i="107"/>
  <c r="M18" i="107" s="1"/>
  <c r="L19" i="107"/>
  <c r="L18" i="107" s="1"/>
  <c r="K19" i="107"/>
  <c r="J19" i="107"/>
  <c r="J18" i="107" s="1"/>
  <c r="I19" i="107"/>
  <c r="I18" i="107" s="1"/>
  <c r="H19" i="107"/>
  <c r="G19" i="107"/>
  <c r="F19" i="107"/>
  <c r="F18" i="107" s="1"/>
  <c r="E19" i="107"/>
  <c r="D19" i="107"/>
  <c r="C19" i="107"/>
  <c r="AF18" i="107"/>
  <c r="AE18" i="107"/>
  <c r="AB18" i="107"/>
  <c r="AA18" i="107"/>
  <c r="Z18" i="107"/>
  <c r="U18" i="107"/>
  <c r="T18" i="107"/>
  <c r="S18" i="107"/>
  <c r="P18" i="107"/>
  <c r="O18" i="107"/>
  <c r="N18" i="107"/>
  <c r="H18" i="107"/>
  <c r="G18" i="107"/>
  <c r="D18" i="107"/>
  <c r="C18" i="107"/>
  <c r="AF16" i="107"/>
  <c r="AE16" i="107"/>
  <c r="AD16" i="107"/>
  <c r="AC16" i="107"/>
  <c r="AB16" i="107"/>
  <c r="AA16" i="107"/>
  <c r="Z16" i="107"/>
  <c r="Y16" i="107"/>
  <c r="X16" i="107"/>
  <c r="W16" i="107"/>
  <c r="V16" i="107"/>
  <c r="U16" i="107"/>
  <c r="T16" i="107"/>
  <c r="S16" i="107"/>
  <c r="R16" i="107"/>
  <c r="Q16" i="107"/>
  <c r="P16" i="107"/>
  <c r="O16" i="107"/>
  <c r="N16" i="107"/>
  <c r="M16" i="107"/>
  <c r="L16" i="107"/>
  <c r="K16" i="107"/>
  <c r="J16" i="107"/>
  <c r="I16" i="107"/>
  <c r="AG16" i="107" s="1"/>
  <c r="H16" i="107"/>
  <c r="G16" i="107"/>
  <c r="F13" i="107"/>
  <c r="E13" i="107"/>
  <c r="D13" i="107"/>
  <c r="C13" i="107"/>
  <c r="AF12" i="107"/>
  <c r="AE12" i="107"/>
  <c r="AD12" i="107"/>
  <c r="AC12" i="107"/>
  <c r="AB12" i="107"/>
  <c r="AA12" i="107"/>
  <c r="Z12" i="107"/>
  <c r="Y12" i="107"/>
  <c r="X12" i="107"/>
  <c r="W12" i="107"/>
  <c r="V12" i="107"/>
  <c r="U12" i="107"/>
  <c r="T12" i="107"/>
  <c r="S12" i="107"/>
  <c r="R12" i="107"/>
  <c r="Q12" i="107"/>
  <c r="P12" i="107"/>
  <c r="O12" i="107"/>
  <c r="N12" i="107"/>
  <c r="M12" i="107"/>
  <c r="L12" i="107"/>
  <c r="K12" i="107"/>
  <c r="AG12" i="107"/>
  <c r="AF11" i="107"/>
  <c r="AF9" i="107" s="1"/>
  <c r="AE11" i="107"/>
  <c r="AD11" i="107"/>
  <c r="AC11" i="107"/>
  <c r="AB11" i="107"/>
  <c r="AA11" i="107"/>
  <c r="Z11" i="107"/>
  <c r="Z9" i="107" s="1"/>
  <c r="Y11" i="107"/>
  <c r="X11" i="107"/>
  <c r="W11" i="107"/>
  <c r="V11" i="107"/>
  <c r="U11" i="107"/>
  <c r="T11" i="107"/>
  <c r="T9" i="107" s="1"/>
  <c r="S11" i="107"/>
  <c r="R11" i="107"/>
  <c r="Q11" i="107"/>
  <c r="P11" i="107"/>
  <c r="O11" i="107"/>
  <c r="N11" i="107"/>
  <c r="N9" i="107" s="1"/>
  <c r="M11" i="107"/>
  <c r="L11" i="107"/>
  <c r="K11" i="107"/>
  <c r="AF10" i="107"/>
  <c r="AE10" i="107"/>
  <c r="AD10" i="107"/>
  <c r="AC10" i="107"/>
  <c r="AB10" i="107"/>
  <c r="AB9" i="107" s="1"/>
  <c r="AA10" i="107"/>
  <c r="AA9" i="107" s="1"/>
  <c r="Z10" i="107"/>
  <c r="Y10" i="107"/>
  <c r="Y9" i="107" s="1"/>
  <c r="X10" i="107"/>
  <c r="X9" i="107" s="1"/>
  <c r="X15" i="107" s="1"/>
  <c r="W10" i="107"/>
  <c r="V10" i="107"/>
  <c r="U10" i="107"/>
  <c r="U9" i="107" s="1"/>
  <c r="T10" i="107"/>
  <c r="S10" i="107"/>
  <c r="R10" i="107"/>
  <c r="Q10" i="107"/>
  <c r="P10" i="107"/>
  <c r="P9" i="107" s="1"/>
  <c r="O10" i="107"/>
  <c r="O9" i="107" s="1"/>
  <c r="N10" i="107"/>
  <c r="M10" i="107"/>
  <c r="M9" i="107" s="1"/>
  <c r="L10" i="107"/>
  <c r="L9" i="107" s="1"/>
  <c r="L15" i="107" s="1"/>
  <c r="K10" i="107"/>
  <c r="D9" i="107"/>
  <c r="D17" i="107" s="1"/>
  <c r="D26" i="107" s="1"/>
  <c r="AE9" i="107"/>
  <c r="AE15" i="107" s="1"/>
  <c r="AD9" i="107"/>
  <c r="AD15" i="107" s="1"/>
  <c r="AC9" i="107"/>
  <c r="AC15" i="107" s="1"/>
  <c r="W9" i="107"/>
  <c r="W15" i="107" s="1"/>
  <c r="V9" i="107"/>
  <c r="S9" i="107"/>
  <c r="S15" i="107" s="1"/>
  <c r="R9" i="107"/>
  <c r="R15" i="107" s="1"/>
  <c r="Q9" i="107"/>
  <c r="Q15" i="107" s="1"/>
  <c r="K9" i="107"/>
  <c r="K15" i="107" s="1"/>
  <c r="F9" i="107"/>
  <c r="F17" i="107" s="1"/>
  <c r="E9" i="107"/>
  <c r="E17" i="107" s="1"/>
  <c r="AN43" i="86"/>
  <c r="AP43" i="86" s="1"/>
  <c r="AQ43" i="86" s="1"/>
  <c r="AE43" i="86"/>
  <c r="E50" i="86" s="1"/>
  <c r="E14" i="109" s="1"/>
  <c r="E49" i="86"/>
  <c r="D49" i="86"/>
  <c r="C49" i="86"/>
  <c r="B49" i="86"/>
  <c r="AN31" i="86"/>
  <c r="AP31" i="86" s="1"/>
  <c r="AQ31" i="86" s="1"/>
  <c r="AN7" i="86"/>
  <c r="AP7" i="86" s="1"/>
  <c r="AQ7" i="86" s="1"/>
  <c r="AN19" i="86"/>
  <c r="AP19" i="86" s="1"/>
  <c r="AQ19" i="86" s="1"/>
  <c r="H13" i="85"/>
  <c r="AF66" i="106"/>
  <c r="C54" i="106"/>
  <c r="C53" i="106"/>
  <c r="AF51" i="106"/>
  <c r="AE51" i="106"/>
  <c r="AD51" i="106"/>
  <c r="AC51" i="106"/>
  <c r="AB51" i="106"/>
  <c r="AA51" i="106"/>
  <c r="Z51" i="106"/>
  <c r="Y51" i="106"/>
  <c r="X51" i="106"/>
  <c r="W51" i="106"/>
  <c r="V51" i="106"/>
  <c r="V48" i="106" s="1"/>
  <c r="U51" i="106"/>
  <c r="T51" i="106"/>
  <c r="S51" i="106"/>
  <c r="R51" i="106"/>
  <c r="Q51" i="106"/>
  <c r="P51" i="106"/>
  <c r="O51" i="106"/>
  <c r="N51" i="106"/>
  <c r="M51" i="106"/>
  <c r="L51" i="106"/>
  <c r="K51" i="106"/>
  <c r="F51" i="106"/>
  <c r="E51" i="106"/>
  <c r="D51" i="106"/>
  <c r="C51" i="106"/>
  <c r="AF50" i="106"/>
  <c r="AE50" i="106"/>
  <c r="AD50" i="106"/>
  <c r="AC50" i="106"/>
  <c r="AB50" i="106"/>
  <c r="AA50" i="106"/>
  <c r="Z50" i="106"/>
  <c r="Y50" i="106"/>
  <c r="X50" i="106"/>
  <c r="W50" i="106"/>
  <c r="W48" i="106" s="1"/>
  <c r="V50" i="106"/>
  <c r="U50" i="106"/>
  <c r="T50" i="106"/>
  <c r="S50" i="106"/>
  <c r="R50" i="106"/>
  <c r="Q50" i="106"/>
  <c r="P50" i="106"/>
  <c r="O50" i="106"/>
  <c r="N50" i="106"/>
  <c r="M50" i="106"/>
  <c r="L50" i="106"/>
  <c r="K50" i="106"/>
  <c r="K48" i="106" s="1"/>
  <c r="F50" i="106"/>
  <c r="E50" i="106"/>
  <c r="D50" i="106"/>
  <c r="C50" i="106"/>
  <c r="AF49" i="106"/>
  <c r="AF48" i="106" s="1"/>
  <c r="AE49" i="106"/>
  <c r="AE48" i="106" s="1"/>
  <c r="AD49" i="106"/>
  <c r="AD48" i="106" s="1"/>
  <c r="AC49" i="106"/>
  <c r="AC48" i="106" s="1"/>
  <c r="AB49" i="106"/>
  <c r="AB48" i="106" s="1"/>
  <c r="AA49" i="106"/>
  <c r="Z49" i="106"/>
  <c r="Y49" i="106"/>
  <c r="Y48" i="106" s="1"/>
  <c r="X49" i="106"/>
  <c r="X48" i="106" s="1"/>
  <c r="W49" i="106"/>
  <c r="V49" i="106"/>
  <c r="U49" i="106"/>
  <c r="T49" i="106"/>
  <c r="T48" i="106" s="1"/>
  <c r="S49" i="106"/>
  <c r="S48" i="106" s="1"/>
  <c r="R49" i="106"/>
  <c r="R48" i="106" s="1"/>
  <c r="Q49" i="106"/>
  <c r="Q48" i="106" s="1"/>
  <c r="P49" i="106"/>
  <c r="P48" i="106" s="1"/>
  <c r="O49" i="106"/>
  <c r="N49" i="106"/>
  <c r="M49" i="106"/>
  <c r="M48" i="106" s="1"/>
  <c r="L49" i="106"/>
  <c r="L48" i="106" s="1"/>
  <c r="K49" i="106"/>
  <c r="F49" i="106"/>
  <c r="F48" i="106" s="1"/>
  <c r="E49" i="106"/>
  <c r="E48" i="106" s="1"/>
  <c r="D49" i="106"/>
  <c r="D48" i="106" s="1"/>
  <c r="C49" i="106"/>
  <c r="AA48" i="106"/>
  <c r="Z48" i="106"/>
  <c r="U48" i="106"/>
  <c r="O48" i="106"/>
  <c r="N48" i="106"/>
  <c r="C48" i="106"/>
  <c r="AG46" i="106"/>
  <c r="C30" i="106"/>
  <c r="AF25" i="106"/>
  <c r="AE25" i="106"/>
  <c r="AD25" i="106"/>
  <c r="AC25" i="106"/>
  <c r="AB25" i="106"/>
  <c r="AA25" i="106"/>
  <c r="Z25" i="106"/>
  <c r="Y25" i="106"/>
  <c r="X25" i="106"/>
  <c r="W25" i="106"/>
  <c r="V25" i="106"/>
  <c r="U25" i="106"/>
  <c r="T25" i="106"/>
  <c r="S25" i="106"/>
  <c r="R25" i="106"/>
  <c r="Q25" i="106"/>
  <c r="P25" i="106"/>
  <c r="O25" i="106"/>
  <c r="N25" i="106"/>
  <c r="M25" i="106"/>
  <c r="L25" i="106"/>
  <c r="K25" i="106"/>
  <c r="J25" i="106"/>
  <c r="I25" i="106"/>
  <c r="H25" i="106"/>
  <c r="G25" i="106"/>
  <c r="F25" i="106"/>
  <c r="E25" i="106"/>
  <c r="D25" i="106"/>
  <c r="C25" i="106"/>
  <c r="AG25" i="106" s="1"/>
  <c r="AF24" i="106"/>
  <c r="AE24" i="106"/>
  <c r="AD24" i="106"/>
  <c r="AC24" i="106"/>
  <c r="AB24" i="106"/>
  <c r="AA24" i="106"/>
  <c r="Z24" i="106"/>
  <c r="Y24" i="106"/>
  <c r="X24" i="106"/>
  <c r="W24" i="106"/>
  <c r="V24" i="106"/>
  <c r="U24" i="106"/>
  <c r="T24" i="106"/>
  <c r="S24" i="106"/>
  <c r="R24" i="106"/>
  <c r="Q24" i="106"/>
  <c r="P24" i="106"/>
  <c r="O24" i="106"/>
  <c r="N24" i="106"/>
  <c r="M24" i="106"/>
  <c r="L24" i="106"/>
  <c r="K24" i="106"/>
  <c r="J24" i="106"/>
  <c r="I24" i="106"/>
  <c r="H24" i="106"/>
  <c r="G24" i="106"/>
  <c r="F24" i="106"/>
  <c r="E24" i="106"/>
  <c r="D24" i="106"/>
  <c r="C24" i="106"/>
  <c r="AF23" i="106"/>
  <c r="AE23" i="106"/>
  <c r="AE21" i="106" s="1"/>
  <c r="AD23" i="106"/>
  <c r="AC23" i="106"/>
  <c r="AB23" i="106"/>
  <c r="AA23" i="106"/>
  <c r="Z23" i="106"/>
  <c r="Y23" i="106"/>
  <c r="X23" i="106"/>
  <c r="W23" i="106"/>
  <c r="V23" i="106"/>
  <c r="U23" i="106"/>
  <c r="T23" i="106"/>
  <c r="S23" i="106"/>
  <c r="S21" i="106" s="1"/>
  <c r="R23" i="106"/>
  <c r="Q23" i="106"/>
  <c r="P23" i="106"/>
  <c r="O23" i="106"/>
  <c r="N23" i="106"/>
  <c r="M23" i="106"/>
  <c r="L23" i="106"/>
  <c r="K23" i="106"/>
  <c r="J23" i="106"/>
  <c r="I23" i="106"/>
  <c r="H23" i="106"/>
  <c r="AG23" i="106" s="1"/>
  <c r="G23" i="106"/>
  <c r="G21" i="106" s="1"/>
  <c r="F23" i="106"/>
  <c r="E23" i="106"/>
  <c r="D23" i="106"/>
  <c r="C23" i="106"/>
  <c r="AF22" i="106"/>
  <c r="AF21" i="106" s="1"/>
  <c r="AE22" i="106"/>
  <c r="AD22" i="106"/>
  <c r="AC22" i="106"/>
  <c r="AB22" i="106"/>
  <c r="AB21" i="106" s="1"/>
  <c r="AA22" i="106"/>
  <c r="AA21" i="106" s="1"/>
  <c r="Z22" i="106"/>
  <c r="Z21" i="106" s="1"/>
  <c r="Y22" i="106"/>
  <c r="Y21" i="106" s="1"/>
  <c r="X22" i="106"/>
  <c r="X21" i="106" s="1"/>
  <c r="W22" i="106"/>
  <c r="V22" i="106"/>
  <c r="U22" i="106"/>
  <c r="U21" i="106" s="1"/>
  <c r="T22" i="106"/>
  <c r="T21" i="106" s="1"/>
  <c r="S22" i="106"/>
  <c r="R22" i="106"/>
  <c r="Q22" i="106"/>
  <c r="P22" i="106"/>
  <c r="P21" i="106" s="1"/>
  <c r="O22" i="106"/>
  <c r="O21" i="106" s="1"/>
  <c r="N22" i="106"/>
  <c r="N21" i="106" s="1"/>
  <c r="M22" i="106"/>
  <c r="M21" i="106" s="1"/>
  <c r="L22" i="106"/>
  <c r="L21" i="106" s="1"/>
  <c r="K22" i="106"/>
  <c r="J22" i="106"/>
  <c r="I22" i="106"/>
  <c r="I21" i="106" s="1"/>
  <c r="H22" i="106"/>
  <c r="H21" i="106" s="1"/>
  <c r="G22" i="106"/>
  <c r="F22" i="106"/>
  <c r="E22" i="106"/>
  <c r="D22" i="106"/>
  <c r="D21" i="106" s="1"/>
  <c r="C22" i="106"/>
  <c r="AC21" i="106"/>
  <c r="W21" i="106"/>
  <c r="V21" i="106"/>
  <c r="Q21" i="106"/>
  <c r="K21" i="106"/>
  <c r="J21" i="106"/>
  <c r="E21" i="106"/>
  <c r="AF20" i="106"/>
  <c r="AE20" i="106"/>
  <c r="AD20" i="106"/>
  <c r="AC20" i="106"/>
  <c r="AB20" i="106"/>
  <c r="AB18" i="106" s="1"/>
  <c r="AA20" i="106"/>
  <c r="Z20" i="106"/>
  <c r="Y20" i="106"/>
  <c r="X20" i="106"/>
  <c r="W20" i="106"/>
  <c r="V20" i="106"/>
  <c r="V18" i="106" s="1"/>
  <c r="U20" i="106"/>
  <c r="T20" i="106"/>
  <c r="S20" i="106"/>
  <c r="R20" i="106"/>
  <c r="Q20" i="106"/>
  <c r="P20" i="106"/>
  <c r="P18" i="106" s="1"/>
  <c r="O20" i="106"/>
  <c r="N20" i="106"/>
  <c r="M20" i="106"/>
  <c r="L20" i="106"/>
  <c r="K20" i="106"/>
  <c r="J20" i="106"/>
  <c r="J18" i="106" s="1"/>
  <c r="I20" i="106"/>
  <c r="H20" i="106"/>
  <c r="G20" i="106"/>
  <c r="F20" i="106"/>
  <c r="E20" i="106"/>
  <c r="D20" i="106"/>
  <c r="D18" i="106" s="1"/>
  <c r="C20" i="106"/>
  <c r="AG20" i="106" s="1"/>
  <c r="AF19" i="106"/>
  <c r="AE19" i="106"/>
  <c r="AD19" i="106"/>
  <c r="AD18" i="106" s="1"/>
  <c r="AC19" i="106"/>
  <c r="AB19" i="106"/>
  <c r="AA19" i="106"/>
  <c r="Z19" i="106"/>
  <c r="Y19" i="106"/>
  <c r="Y18" i="106" s="1"/>
  <c r="X19" i="106"/>
  <c r="X18" i="106" s="1"/>
  <c r="W19" i="106"/>
  <c r="W18" i="106" s="1"/>
  <c r="V19" i="106"/>
  <c r="U19" i="106"/>
  <c r="U18" i="106" s="1"/>
  <c r="T19" i="106"/>
  <c r="S19" i="106"/>
  <c r="R19" i="106"/>
  <c r="R18" i="106" s="1"/>
  <c r="Q19" i="106"/>
  <c r="P19" i="106"/>
  <c r="O19" i="106"/>
  <c r="N19" i="106"/>
  <c r="M19" i="106"/>
  <c r="M18" i="106" s="1"/>
  <c r="L19" i="106"/>
  <c r="L18" i="106" s="1"/>
  <c r="K19" i="106"/>
  <c r="K18" i="106" s="1"/>
  <c r="J19" i="106"/>
  <c r="I19" i="106"/>
  <c r="I18" i="106" s="1"/>
  <c r="H19" i="106"/>
  <c r="G19" i="106"/>
  <c r="F19" i="106"/>
  <c r="F18" i="106" s="1"/>
  <c r="E19" i="106"/>
  <c r="D19" i="106"/>
  <c r="C19" i="106"/>
  <c r="AG19" i="106" s="1"/>
  <c r="AF18" i="106"/>
  <c r="AE18" i="106"/>
  <c r="AA18" i="106"/>
  <c r="Z18" i="106"/>
  <c r="T18" i="106"/>
  <c r="S18" i="106"/>
  <c r="O18" i="106"/>
  <c r="N18" i="106"/>
  <c r="H18" i="106"/>
  <c r="G18" i="106"/>
  <c r="C18" i="106"/>
  <c r="AF16" i="106"/>
  <c r="AE16" i="106"/>
  <c r="AD16" i="106"/>
  <c r="AC16" i="106"/>
  <c r="AB16" i="106"/>
  <c r="AA16" i="106"/>
  <c r="Z16" i="106"/>
  <c r="Y16" i="106"/>
  <c r="X16" i="106"/>
  <c r="W16" i="106"/>
  <c r="V16" i="106"/>
  <c r="U16" i="106"/>
  <c r="T16" i="106"/>
  <c r="S16" i="106"/>
  <c r="R16" i="106"/>
  <c r="Q16" i="106"/>
  <c r="P16" i="106"/>
  <c r="O16" i="106"/>
  <c r="N16" i="106"/>
  <c r="M16" i="106"/>
  <c r="L16" i="106"/>
  <c r="K16" i="106"/>
  <c r="J16" i="106"/>
  <c r="I16" i="106"/>
  <c r="AG16" i="106" s="1"/>
  <c r="H16" i="106"/>
  <c r="G16" i="106"/>
  <c r="F13" i="106"/>
  <c r="E13" i="106"/>
  <c r="D13" i="106"/>
  <c r="C13" i="106"/>
  <c r="AF12" i="106"/>
  <c r="AE12" i="106"/>
  <c r="AD12" i="106"/>
  <c r="AC12" i="106"/>
  <c r="AB12" i="106"/>
  <c r="AA12" i="106"/>
  <c r="Z12" i="106"/>
  <c r="Y12" i="106"/>
  <c r="X12" i="106"/>
  <c r="W12" i="106"/>
  <c r="V12" i="106"/>
  <c r="U12" i="106"/>
  <c r="T12" i="106"/>
  <c r="S12" i="106"/>
  <c r="R12" i="106"/>
  <c r="Q12" i="106"/>
  <c r="P12" i="106"/>
  <c r="O12" i="106"/>
  <c r="N12" i="106"/>
  <c r="M12" i="106"/>
  <c r="L12" i="106"/>
  <c r="K12" i="106"/>
  <c r="J12" i="106"/>
  <c r="I12" i="106"/>
  <c r="H12" i="106"/>
  <c r="G12" i="106"/>
  <c r="F12" i="106"/>
  <c r="F9" i="106" s="1"/>
  <c r="E12" i="106"/>
  <c r="D12" i="106"/>
  <c r="C12" i="106"/>
  <c r="AF11" i="106"/>
  <c r="AE11" i="106"/>
  <c r="AD11" i="106"/>
  <c r="AC11" i="106"/>
  <c r="AB11" i="106"/>
  <c r="AA11" i="106"/>
  <c r="Z11" i="106"/>
  <c r="Y11" i="106"/>
  <c r="X11" i="106"/>
  <c r="W11" i="106"/>
  <c r="V11" i="106"/>
  <c r="U11" i="106"/>
  <c r="T11" i="106"/>
  <c r="S11" i="106"/>
  <c r="R11" i="106"/>
  <c r="Q11" i="106"/>
  <c r="P11" i="106"/>
  <c r="O11" i="106"/>
  <c r="N11" i="106"/>
  <c r="M11" i="106"/>
  <c r="L11" i="106"/>
  <c r="K11" i="106"/>
  <c r="J11" i="106"/>
  <c r="I11" i="106"/>
  <c r="H11" i="106"/>
  <c r="G11" i="106"/>
  <c r="G9" i="106" s="1"/>
  <c r="F11" i="106"/>
  <c r="E11" i="106"/>
  <c r="D11" i="106"/>
  <c r="C11" i="106"/>
  <c r="AF10" i="106"/>
  <c r="AE10" i="106"/>
  <c r="AD10" i="106"/>
  <c r="AC10" i="106"/>
  <c r="AB10" i="106"/>
  <c r="AA10" i="106"/>
  <c r="Z10" i="106"/>
  <c r="Y10" i="106"/>
  <c r="X10" i="106"/>
  <c r="W10" i="106"/>
  <c r="V10" i="106"/>
  <c r="U10" i="106"/>
  <c r="T10" i="106"/>
  <c r="S10" i="106"/>
  <c r="R10" i="106"/>
  <c r="Q10" i="106"/>
  <c r="P10" i="106"/>
  <c r="O10" i="106"/>
  <c r="N10" i="106"/>
  <c r="M10" i="106"/>
  <c r="L10" i="106"/>
  <c r="K10" i="106"/>
  <c r="J10" i="106"/>
  <c r="I10" i="106"/>
  <c r="I9" i="106" s="1"/>
  <c r="H10" i="106"/>
  <c r="H9" i="106" s="1"/>
  <c r="G10" i="106"/>
  <c r="F10" i="106"/>
  <c r="E10" i="106"/>
  <c r="D10" i="106"/>
  <c r="D9" i="106" s="1"/>
  <c r="D17" i="106" s="1"/>
  <c r="D26" i="106" s="1"/>
  <c r="C10" i="106"/>
  <c r="J9" i="106"/>
  <c r="E9" i="106"/>
  <c r="E17" i="106" s="1"/>
  <c r="G98" i="79"/>
  <c r="G97" i="79"/>
  <c r="G96" i="79"/>
  <c r="G95" i="79"/>
  <c r="G94" i="79"/>
  <c r="G93" i="79"/>
  <c r="G92" i="79"/>
  <c r="G91" i="79"/>
  <c r="G89" i="79"/>
  <c r="G86" i="79"/>
  <c r="G82" i="79"/>
  <c r="G79" i="79"/>
  <c r="G78" i="79"/>
  <c r="G77" i="79"/>
  <c r="G72" i="79"/>
  <c r="G71" i="79"/>
  <c r="G69" i="79"/>
  <c r="G68" i="79"/>
  <c r="G67" i="79"/>
  <c r="G65" i="79"/>
  <c r="G64" i="79"/>
  <c r="G63" i="79"/>
  <c r="G61" i="79"/>
  <c r="G60" i="79"/>
  <c r="G57" i="79"/>
  <c r="G54" i="79"/>
  <c r="G50" i="79"/>
  <c r="G49" i="79"/>
  <c r="G48" i="79"/>
  <c r="G46" i="79"/>
  <c r="G45" i="79"/>
  <c r="G27" i="79"/>
  <c r="G28" i="79"/>
  <c r="G29" i="79"/>
  <c r="G30" i="79"/>
  <c r="G31" i="79"/>
  <c r="G32" i="79"/>
  <c r="G33" i="79"/>
  <c r="G34" i="79"/>
  <c r="G35" i="79"/>
  <c r="G36" i="79"/>
  <c r="G37" i="79"/>
  <c r="G26" i="79"/>
  <c r="G15" i="79"/>
  <c r="G16" i="79"/>
  <c r="G17" i="79"/>
  <c r="G18" i="79"/>
  <c r="G19" i="79"/>
  <c r="G20" i="79"/>
  <c r="G21" i="79"/>
  <c r="G22" i="79"/>
  <c r="G23" i="79"/>
  <c r="G24" i="79"/>
  <c r="G14" i="79"/>
  <c r="G10" i="79"/>
  <c r="G9" i="79"/>
  <c r="G7" i="79"/>
  <c r="G6" i="79"/>
  <c r="F51" i="105"/>
  <c r="F50" i="105"/>
  <c r="F49" i="105"/>
  <c r="D49" i="105"/>
  <c r="E49" i="105"/>
  <c r="K49" i="105"/>
  <c r="L49" i="105"/>
  <c r="M49" i="105"/>
  <c r="N49" i="105"/>
  <c r="O49" i="105"/>
  <c r="P49" i="105"/>
  <c r="Q49" i="105"/>
  <c r="R49" i="105"/>
  <c r="S49" i="105"/>
  <c r="T49" i="105"/>
  <c r="U49" i="105"/>
  <c r="V49" i="105"/>
  <c r="W49" i="105"/>
  <c r="X49" i="105"/>
  <c r="Y49" i="105"/>
  <c r="Z49" i="105"/>
  <c r="AA49" i="105"/>
  <c r="AB49" i="105"/>
  <c r="AC49" i="105"/>
  <c r="AD49" i="105"/>
  <c r="AE49" i="105"/>
  <c r="AF49" i="105"/>
  <c r="D50" i="105"/>
  <c r="E50" i="105"/>
  <c r="K50" i="105"/>
  <c r="L50" i="105"/>
  <c r="M50" i="105"/>
  <c r="N50" i="105"/>
  <c r="O50" i="105"/>
  <c r="P50" i="105"/>
  <c r="Q50" i="105"/>
  <c r="R50" i="105"/>
  <c r="S50" i="105"/>
  <c r="T50" i="105"/>
  <c r="U50" i="105"/>
  <c r="V50" i="105"/>
  <c r="W50" i="105"/>
  <c r="X50" i="105"/>
  <c r="Y50" i="105"/>
  <c r="Z50" i="105"/>
  <c r="AA50" i="105"/>
  <c r="AB50" i="105"/>
  <c r="AC50" i="105"/>
  <c r="AD50" i="105"/>
  <c r="AE50" i="105"/>
  <c r="AF50" i="105"/>
  <c r="D51" i="105"/>
  <c r="E51" i="105"/>
  <c r="K51" i="105"/>
  <c r="L51" i="105"/>
  <c r="M51" i="105"/>
  <c r="N51" i="105"/>
  <c r="O51" i="105"/>
  <c r="P51" i="105"/>
  <c r="Q51" i="105"/>
  <c r="R51" i="105"/>
  <c r="S51" i="105"/>
  <c r="T51" i="105"/>
  <c r="U51" i="105"/>
  <c r="V51" i="105"/>
  <c r="W51" i="105"/>
  <c r="X51" i="105"/>
  <c r="Y51" i="105"/>
  <c r="Z51" i="105"/>
  <c r="AA51" i="105"/>
  <c r="AB51" i="105"/>
  <c r="AC51" i="105"/>
  <c r="AD51" i="105"/>
  <c r="AE51" i="105"/>
  <c r="AF51" i="105"/>
  <c r="C50" i="105"/>
  <c r="C51" i="105"/>
  <c r="C49" i="105"/>
  <c r="H23" i="105"/>
  <c r="I23" i="105"/>
  <c r="J23" i="105"/>
  <c r="J21" i="105" s="1"/>
  <c r="K23" i="105"/>
  <c r="K21" i="105" s="1"/>
  <c r="L23" i="105"/>
  <c r="M23" i="105"/>
  <c r="N23" i="105"/>
  <c r="O23" i="105"/>
  <c r="P23" i="105"/>
  <c r="Q23" i="105"/>
  <c r="R23" i="105"/>
  <c r="S23" i="105"/>
  <c r="T23" i="105"/>
  <c r="U23" i="105"/>
  <c r="V23" i="105"/>
  <c r="V21" i="105" s="1"/>
  <c r="W23" i="105"/>
  <c r="X23" i="105"/>
  <c r="Y23" i="105"/>
  <c r="Z23" i="105"/>
  <c r="AA23" i="105"/>
  <c r="AB23" i="105"/>
  <c r="AC23" i="105"/>
  <c r="AD23" i="105"/>
  <c r="AE23" i="105"/>
  <c r="AF23" i="105"/>
  <c r="G23" i="105"/>
  <c r="AF66" i="105"/>
  <c r="C54" i="105"/>
  <c r="C53" i="105"/>
  <c r="AG46" i="105"/>
  <c r="C30" i="105"/>
  <c r="AF25" i="105"/>
  <c r="AE25" i="105"/>
  <c r="AD25" i="105"/>
  <c r="AC25" i="105"/>
  <c r="AB25" i="105"/>
  <c r="AA25" i="105"/>
  <c r="Z25" i="105"/>
  <c r="Y25" i="105"/>
  <c r="X25" i="105"/>
  <c r="X21" i="105" s="1"/>
  <c r="W25" i="105"/>
  <c r="V25" i="105"/>
  <c r="U25" i="105"/>
  <c r="T25" i="105"/>
  <c r="S25" i="105"/>
  <c r="R25" i="105"/>
  <c r="Q25" i="105"/>
  <c r="P25" i="105"/>
  <c r="O25" i="105"/>
  <c r="N25" i="105"/>
  <c r="M25" i="105"/>
  <c r="L25" i="105"/>
  <c r="L21" i="105" s="1"/>
  <c r="K25" i="105"/>
  <c r="J25" i="105"/>
  <c r="I25" i="105"/>
  <c r="H25" i="105"/>
  <c r="G25" i="105"/>
  <c r="F25" i="105"/>
  <c r="E25" i="105"/>
  <c r="D25" i="105"/>
  <c r="C25" i="105"/>
  <c r="AF24" i="105"/>
  <c r="AE24" i="105"/>
  <c r="AD24" i="105"/>
  <c r="AC24" i="105"/>
  <c r="AB24" i="105"/>
  <c r="AA24" i="105"/>
  <c r="Z24" i="105"/>
  <c r="Y24" i="105"/>
  <c r="X24" i="105"/>
  <c r="W24" i="105"/>
  <c r="V24" i="105"/>
  <c r="U24" i="105"/>
  <c r="T24" i="105"/>
  <c r="S24" i="105"/>
  <c r="R24" i="105"/>
  <c r="Q24" i="105"/>
  <c r="P24" i="105"/>
  <c r="O24" i="105"/>
  <c r="N24" i="105"/>
  <c r="M24" i="105"/>
  <c r="L24" i="105"/>
  <c r="K24" i="105"/>
  <c r="J24" i="105"/>
  <c r="I24" i="105"/>
  <c r="H24" i="105"/>
  <c r="G24" i="105"/>
  <c r="F24" i="105"/>
  <c r="E24" i="105"/>
  <c r="D24" i="105"/>
  <c r="C24" i="105"/>
  <c r="W21" i="105"/>
  <c r="F23" i="105"/>
  <c r="E23" i="105"/>
  <c r="D23" i="105"/>
  <c r="C23" i="105"/>
  <c r="AF22" i="105"/>
  <c r="AE22" i="105"/>
  <c r="AD22" i="105"/>
  <c r="AD21" i="105" s="1"/>
  <c r="AC22" i="105"/>
  <c r="AB22" i="105"/>
  <c r="AA22" i="105"/>
  <c r="AA21" i="105" s="1"/>
  <c r="Z22" i="105"/>
  <c r="Z21" i="105" s="1"/>
  <c r="Y22" i="105"/>
  <c r="X22" i="105"/>
  <c r="W22" i="105"/>
  <c r="V22" i="105"/>
  <c r="U22" i="105"/>
  <c r="T22" i="105"/>
  <c r="S22" i="105"/>
  <c r="R22" i="105"/>
  <c r="R21" i="105" s="1"/>
  <c r="Q22" i="105"/>
  <c r="P22" i="105"/>
  <c r="O22" i="105"/>
  <c r="O21" i="105" s="1"/>
  <c r="N22" i="105"/>
  <c r="M22" i="105"/>
  <c r="M21" i="105" s="1"/>
  <c r="L22" i="105"/>
  <c r="K22" i="105"/>
  <c r="J22" i="105"/>
  <c r="I22" i="105"/>
  <c r="H22" i="105"/>
  <c r="G22" i="105"/>
  <c r="F22" i="105"/>
  <c r="F21" i="105" s="1"/>
  <c r="E22" i="105"/>
  <c r="D22" i="105"/>
  <c r="D21" i="105" s="1"/>
  <c r="C22" i="105"/>
  <c r="C21" i="105" s="1"/>
  <c r="AB21" i="105"/>
  <c r="P21" i="105"/>
  <c r="AF20" i="105"/>
  <c r="AE20" i="105"/>
  <c r="AD20" i="105"/>
  <c r="AC20" i="105"/>
  <c r="AB20" i="105"/>
  <c r="AA20" i="105"/>
  <c r="Z20" i="105"/>
  <c r="Y20" i="105"/>
  <c r="Y18" i="105" s="1"/>
  <c r="X20" i="105"/>
  <c r="W20" i="105"/>
  <c r="V20" i="105"/>
  <c r="U20" i="105"/>
  <c r="T20" i="105"/>
  <c r="S20" i="105"/>
  <c r="R20" i="105"/>
  <c r="Q20" i="105"/>
  <c r="P20" i="105"/>
  <c r="O20" i="105"/>
  <c r="N20" i="105"/>
  <c r="M20" i="105"/>
  <c r="L20" i="105"/>
  <c r="K20" i="105"/>
  <c r="J20" i="105"/>
  <c r="I20" i="105"/>
  <c r="H20" i="105"/>
  <c r="G20" i="105"/>
  <c r="F20" i="105"/>
  <c r="E20" i="105"/>
  <c r="D20" i="105"/>
  <c r="C20" i="105"/>
  <c r="AF19" i="105"/>
  <c r="AE19" i="105"/>
  <c r="AE18" i="105" s="1"/>
  <c r="AD19" i="105"/>
  <c r="AD18" i="105" s="1"/>
  <c r="AC19" i="105"/>
  <c r="AB19" i="105"/>
  <c r="AA19" i="105"/>
  <c r="AA18" i="105" s="1"/>
  <c r="Z19" i="105"/>
  <c r="Y19" i="105"/>
  <c r="X19" i="105"/>
  <c r="W19" i="105"/>
  <c r="V19" i="105"/>
  <c r="V18" i="105" s="1"/>
  <c r="U19" i="105"/>
  <c r="T19" i="105"/>
  <c r="S19" i="105"/>
  <c r="R19" i="105"/>
  <c r="R18" i="105" s="1"/>
  <c r="Q19" i="105"/>
  <c r="P19" i="105"/>
  <c r="O19" i="105"/>
  <c r="O18" i="105" s="1"/>
  <c r="N19" i="105"/>
  <c r="M19" i="105"/>
  <c r="M18" i="105" s="1"/>
  <c r="L19" i="105"/>
  <c r="K19" i="105"/>
  <c r="J19" i="105"/>
  <c r="J18" i="105" s="1"/>
  <c r="I19" i="105"/>
  <c r="H19" i="105"/>
  <c r="G19" i="105"/>
  <c r="F19" i="105"/>
  <c r="F18" i="105" s="1"/>
  <c r="E19" i="105"/>
  <c r="D19" i="105"/>
  <c r="C19" i="105"/>
  <c r="U18" i="105"/>
  <c r="S18" i="105"/>
  <c r="I18" i="105"/>
  <c r="G18" i="105"/>
  <c r="AF16" i="105"/>
  <c r="AE16" i="105"/>
  <c r="AD16" i="105"/>
  <c r="AC16" i="105"/>
  <c r="AB16" i="105"/>
  <c r="AA16" i="105"/>
  <c r="Z16" i="105"/>
  <c r="Y16" i="105"/>
  <c r="X16" i="105"/>
  <c r="W16" i="105"/>
  <c r="V16" i="105"/>
  <c r="U16" i="105"/>
  <c r="T16" i="105"/>
  <c r="S16" i="105"/>
  <c r="R16" i="105"/>
  <c r="Q16" i="105"/>
  <c r="P16" i="105"/>
  <c r="O16" i="105"/>
  <c r="N16" i="105"/>
  <c r="M16" i="105"/>
  <c r="L16" i="105"/>
  <c r="K16" i="105"/>
  <c r="J16" i="105"/>
  <c r="I16" i="105"/>
  <c r="H16" i="105"/>
  <c r="G16" i="105"/>
  <c r="F13" i="105"/>
  <c r="E13" i="105"/>
  <c r="D13" i="105"/>
  <c r="C13" i="105"/>
  <c r="AF12" i="105"/>
  <c r="AE12" i="105"/>
  <c r="AD12" i="105"/>
  <c r="AC12" i="105"/>
  <c r="AB12" i="105"/>
  <c r="AA12" i="105"/>
  <c r="Z12" i="105"/>
  <c r="Y12" i="105"/>
  <c r="X12" i="105"/>
  <c r="W12" i="105"/>
  <c r="V12" i="105"/>
  <c r="U12" i="105"/>
  <c r="T12" i="105"/>
  <c r="S12" i="105"/>
  <c r="R12" i="105"/>
  <c r="Q12" i="105"/>
  <c r="P12" i="105"/>
  <c r="O12" i="105"/>
  <c r="N12" i="105"/>
  <c r="M12" i="105"/>
  <c r="L12" i="105"/>
  <c r="K12" i="105"/>
  <c r="J12" i="105"/>
  <c r="I12" i="105"/>
  <c r="H12" i="105"/>
  <c r="G12" i="105"/>
  <c r="F12" i="105"/>
  <c r="E12" i="105"/>
  <c r="D12" i="105"/>
  <c r="C12" i="105"/>
  <c r="AF11" i="105"/>
  <c r="AE11" i="105"/>
  <c r="AD11" i="105"/>
  <c r="AC11" i="105"/>
  <c r="AB11" i="105"/>
  <c r="AA11" i="105"/>
  <c r="Z11" i="105"/>
  <c r="Z9" i="105" s="1"/>
  <c r="Y11" i="105"/>
  <c r="Y9" i="105" s="1"/>
  <c r="Y15" i="105" s="1"/>
  <c r="X11" i="105"/>
  <c r="X9" i="105" s="1"/>
  <c r="W11" i="105"/>
  <c r="V11" i="105"/>
  <c r="U11" i="105"/>
  <c r="T11" i="105"/>
  <c r="S11" i="105"/>
  <c r="R11" i="105"/>
  <c r="Q11" i="105"/>
  <c r="P11" i="105"/>
  <c r="P9" i="105" s="1"/>
  <c r="O11" i="105"/>
  <c r="N11" i="105"/>
  <c r="N9" i="105" s="1"/>
  <c r="M11" i="105"/>
  <c r="L11" i="105"/>
  <c r="L9" i="105" s="1"/>
  <c r="K11" i="105"/>
  <c r="J11" i="105"/>
  <c r="I11" i="105"/>
  <c r="H11" i="105"/>
  <c r="G11" i="105"/>
  <c r="F11" i="105"/>
  <c r="E11" i="105"/>
  <c r="D11" i="105"/>
  <c r="C11" i="105"/>
  <c r="AF10" i="105"/>
  <c r="AF9" i="105" s="1"/>
  <c r="AE10" i="105"/>
  <c r="AD10" i="105"/>
  <c r="AD9" i="105" s="1"/>
  <c r="AD15" i="105" s="1"/>
  <c r="AC10" i="105"/>
  <c r="AB10" i="105"/>
  <c r="AB9" i="105" s="1"/>
  <c r="AA10" i="105"/>
  <c r="AA9" i="105" s="1"/>
  <c r="Z10" i="105"/>
  <c r="Y10" i="105"/>
  <c r="X10" i="105"/>
  <c r="W10" i="105"/>
  <c r="V10" i="105"/>
  <c r="V9" i="105" s="1"/>
  <c r="V15" i="105" s="1"/>
  <c r="U10" i="105"/>
  <c r="T10" i="105"/>
  <c r="T9" i="105" s="1"/>
  <c r="S10" i="105"/>
  <c r="R10" i="105"/>
  <c r="R9" i="105" s="1"/>
  <c r="R15" i="105" s="1"/>
  <c r="Q10" i="105"/>
  <c r="P10" i="105"/>
  <c r="O10" i="105"/>
  <c r="O9" i="105" s="1"/>
  <c r="N10" i="105"/>
  <c r="M10" i="105"/>
  <c r="L10" i="105"/>
  <c r="K10" i="105"/>
  <c r="J10" i="105"/>
  <c r="J9" i="105" s="1"/>
  <c r="J15" i="105" s="1"/>
  <c r="I10" i="105"/>
  <c r="I9" i="105" s="1"/>
  <c r="I14" i="105" s="1"/>
  <c r="H10" i="105"/>
  <c r="H9" i="105" s="1"/>
  <c r="G10" i="105"/>
  <c r="F10" i="105"/>
  <c r="F9" i="105" s="1"/>
  <c r="F17" i="105" s="1"/>
  <c r="E10" i="105"/>
  <c r="D10" i="105"/>
  <c r="D9" i="105" s="1"/>
  <c r="D17" i="105" s="1"/>
  <c r="C10" i="105"/>
  <c r="C9" i="105" s="1"/>
  <c r="M9" i="105"/>
  <c r="M15" i="105" s="1"/>
  <c r="M108" i="87"/>
  <c r="M122" i="87" s="1"/>
  <c r="L97" i="87"/>
  <c r="L108" i="87" s="1"/>
  <c r="L122" i="87" s="1"/>
  <c r="K97" i="87"/>
  <c r="K108" i="87" s="1"/>
  <c r="K122" i="87" s="1"/>
  <c r="J97" i="87"/>
  <c r="J108" i="87" s="1"/>
  <c r="J122" i="87" s="1"/>
  <c r="I97" i="87"/>
  <c r="I108" i="87" s="1"/>
  <c r="I122" i="87" s="1"/>
  <c r="J96" i="87"/>
  <c r="J107" i="87" s="1"/>
  <c r="J121" i="87" s="1"/>
  <c r="I96" i="87"/>
  <c r="I107" i="87" s="1"/>
  <c r="I121" i="87" s="1"/>
  <c r="H11" i="85"/>
  <c r="AF67" i="104"/>
  <c r="C55" i="104"/>
  <c r="C54" i="104"/>
  <c r="AF52" i="104"/>
  <c r="AE52" i="104"/>
  <c r="AD52" i="104"/>
  <c r="AC52" i="104"/>
  <c r="X52" i="104"/>
  <c r="W52" i="104"/>
  <c r="V52" i="104"/>
  <c r="U52" i="104"/>
  <c r="T52" i="104"/>
  <c r="S52" i="104"/>
  <c r="R52" i="104"/>
  <c r="Q52" i="104"/>
  <c r="L52" i="104"/>
  <c r="K52" i="104"/>
  <c r="J52" i="104"/>
  <c r="I52" i="104"/>
  <c r="H52" i="104"/>
  <c r="G52" i="104"/>
  <c r="F52" i="104"/>
  <c r="E52" i="104"/>
  <c r="C52" i="104" a="1"/>
  <c r="AB52" i="104" s="1"/>
  <c r="Z51" i="104"/>
  <c r="C51" i="104" a="1"/>
  <c r="AF50" i="104"/>
  <c r="AE50" i="104"/>
  <c r="AD50" i="104"/>
  <c r="AC50" i="104"/>
  <c r="AB50" i="104"/>
  <c r="AA50" i="104"/>
  <c r="Z50" i="104"/>
  <c r="Y50" i="104"/>
  <c r="X50" i="104"/>
  <c r="W50" i="104"/>
  <c r="V50" i="104"/>
  <c r="U50" i="104"/>
  <c r="T50" i="104"/>
  <c r="S50" i="104"/>
  <c r="R50" i="104"/>
  <c r="Q50" i="104"/>
  <c r="P50" i="104"/>
  <c r="O50" i="104"/>
  <c r="N50" i="104"/>
  <c r="M50" i="104"/>
  <c r="L50" i="104"/>
  <c r="K50" i="104"/>
  <c r="J50" i="104"/>
  <c r="I50" i="104"/>
  <c r="G50" i="104"/>
  <c r="X49" i="104"/>
  <c r="C49" i="104" a="1"/>
  <c r="AG46" i="104"/>
  <c r="C30" i="104"/>
  <c r="AF25" i="104"/>
  <c r="AE25" i="104"/>
  <c r="AD25" i="104"/>
  <c r="AC25" i="104"/>
  <c r="AB25" i="104"/>
  <c r="AA25" i="104"/>
  <c r="Z25" i="104"/>
  <c r="Y25" i="104"/>
  <c r="X25" i="104"/>
  <c r="W25" i="104"/>
  <c r="V25" i="104"/>
  <c r="U25" i="104"/>
  <c r="T25" i="104"/>
  <c r="S25" i="104"/>
  <c r="R25" i="104"/>
  <c r="Q25" i="104"/>
  <c r="P25" i="104"/>
  <c r="O25" i="104"/>
  <c r="N25" i="104"/>
  <c r="M25" i="104"/>
  <c r="L25" i="104"/>
  <c r="K25" i="104"/>
  <c r="J25" i="104"/>
  <c r="I25" i="104"/>
  <c r="H25" i="104"/>
  <c r="G25" i="104"/>
  <c r="F25" i="104"/>
  <c r="E25" i="104"/>
  <c r="D25" i="104"/>
  <c r="C25" i="104"/>
  <c r="AF24" i="104"/>
  <c r="AE24" i="104"/>
  <c r="AD24" i="104"/>
  <c r="AC24" i="104"/>
  <c r="AB24" i="104"/>
  <c r="AA24" i="104"/>
  <c r="Z24" i="104"/>
  <c r="Y24" i="104"/>
  <c r="X24" i="104"/>
  <c r="W24" i="104"/>
  <c r="V24" i="104"/>
  <c r="U24" i="104"/>
  <c r="T24" i="104"/>
  <c r="S24" i="104"/>
  <c r="R24" i="104"/>
  <c r="Q24" i="104"/>
  <c r="P24" i="104"/>
  <c r="O24" i="104"/>
  <c r="N24" i="104"/>
  <c r="M24" i="104"/>
  <c r="L24" i="104"/>
  <c r="K24" i="104"/>
  <c r="J24" i="104"/>
  <c r="I24" i="104"/>
  <c r="H24" i="104"/>
  <c r="G24" i="104"/>
  <c r="F24" i="104"/>
  <c r="E24" i="104"/>
  <c r="D24" i="104"/>
  <c r="C24" i="104"/>
  <c r="G23" i="104"/>
  <c r="G21" i="104" s="1"/>
  <c r="F23" i="104"/>
  <c r="E23" i="104"/>
  <c r="D23" i="104"/>
  <c r="C23" i="104"/>
  <c r="AF22" i="104"/>
  <c r="AE22" i="104"/>
  <c r="AD22" i="104"/>
  <c r="AC22" i="104"/>
  <c r="AB22" i="104"/>
  <c r="AA22" i="104"/>
  <c r="Z22" i="104"/>
  <c r="Y22" i="104"/>
  <c r="X22" i="104"/>
  <c r="W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F21" i="104"/>
  <c r="E21" i="104"/>
  <c r="D21" i="104"/>
  <c r="AF20" i="104"/>
  <c r="AE20" i="104"/>
  <c r="AD20" i="104"/>
  <c r="AC20" i="104"/>
  <c r="AC18" i="104" s="1"/>
  <c r="AB20" i="104"/>
  <c r="AA20" i="104"/>
  <c r="Z20" i="104"/>
  <c r="Y20" i="104"/>
  <c r="X20" i="104"/>
  <c r="W20" i="104"/>
  <c r="V20" i="104"/>
  <c r="U20" i="104"/>
  <c r="T20" i="104"/>
  <c r="S20" i="104"/>
  <c r="R20" i="104"/>
  <c r="Q20" i="104"/>
  <c r="P20" i="104"/>
  <c r="O20" i="104"/>
  <c r="N20" i="104"/>
  <c r="M20" i="104"/>
  <c r="L20" i="104"/>
  <c r="K20" i="104"/>
  <c r="J20" i="104"/>
  <c r="I20" i="104"/>
  <c r="H20" i="104"/>
  <c r="G20" i="104"/>
  <c r="F20" i="104"/>
  <c r="E20" i="104"/>
  <c r="E18" i="104" s="1"/>
  <c r="D20" i="104"/>
  <c r="C20" i="104"/>
  <c r="AF19" i="104"/>
  <c r="AE19" i="104"/>
  <c r="AD19" i="104"/>
  <c r="AD18" i="104" s="1"/>
  <c r="AC19" i="104"/>
  <c r="AB19" i="104"/>
  <c r="AA19" i="104"/>
  <c r="Z19" i="104"/>
  <c r="Y19" i="104"/>
  <c r="Y18" i="104" s="1"/>
  <c r="X19" i="104"/>
  <c r="X18" i="104" s="1"/>
  <c r="W19" i="104"/>
  <c r="V19" i="104"/>
  <c r="V18" i="104" s="1"/>
  <c r="U19" i="104"/>
  <c r="U18" i="104" s="1"/>
  <c r="T19" i="104"/>
  <c r="S19" i="104"/>
  <c r="R19" i="104"/>
  <c r="Q19" i="104"/>
  <c r="P19" i="104"/>
  <c r="O19" i="104"/>
  <c r="N19" i="104"/>
  <c r="M19" i="104"/>
  <c r="M18" i="104" s="1"/>
  <c r="L19" i="104"/>
  <c r="L18" i="104" s="1"/>
  <c r="K19" i="104"/>
  <c r="J19" i="104"/>
  <c r="J18" i="104" s="1"/>
  <c r="I19" i="104"/>
  <c r="I18" i="104" s="1"/>
  <c r="H19" i="104"/>
  <c r="H18" i="104" s="1"/>
  <c r="G19" i="104"/>
  <c r="G18" i="104" s="1"/>
  <c r="F19" i="104"/>
  <c r="E19" i="104"/>
  <c r="D19" i="104"/>
  <c r="C19" i="104"/>
  <c r="AF18" i="104"/>
  <c r="AE18" i="104"/>
  <c r="AB18" i="104"/>
  <c r="AA18" i="104"/>
  <c r="Z18" i="104"/>
  <c r="T18" i="104"/>
  <c r="S18" i="104"/>
  <c r="R18" i="104"/>
  <c r="Q18" i="104"/>
  <c r="P18" i="104"/>
  <c r="O18" i="104"/>
  <c r="N18" i="104"/>
  <c r="D18" i="104"/>
  <c r="C18" i="104"/>
  <c r="AF16" i="104"/>
  <c r="AE16" i="104"/>
  <c r="AD16" i="104"/>
  <c r="AC16" i="104"/>
  <c r="AB16" i="104"/>
  <c r="AA16" i="104"/>
  <c r="Z16" i="104"/>
  <c r="Y16" i="104"/>
  <c r="X16" i="104"/>
  <c r="W16" i="104"/>
  <c r="V16" i="104"/>
  <c r="U16" i="104"/>
  <c r="T16" i="104"/>
  <c r="S16" i="104"/>
  <c r="R16" i="104"/>
  <c r="Q16" i="104"/>
  <c r="P16" i="104"/>
  <c r="O16" i="104"/>
  <c r="N16" i="104"/>
  <c r="M16" i="104"/>
  <c r="L16" i="104"/>
  <c r="K16" i="104"/>
  <c r="J16" i="104"/>
  <c r="I16" i="104"/>
  <c r="H16" i="104"/>
  <c r="G16" i="104"/>
  <c r="H15" i="104"/>
  <c r="F13" i="104"/>
  <c r="E13" i="104"/>
  <c r="D13" i="104"/>
  <c r="C13" i="104"/>
  <c r="AF12" i="104"/>
  <c r="AE12" i="104"/>
  <c r="AD12" i="104"/>
  <c r="AC12" i="104"/>
  <c r="AB12" i="104"/>
  <c r="AA12" i="104"/>
  <c r="Z12" i="104"/>
  <c r="Y12" i="104"/>
  <c r="X12" i="104"/>
  <c r="W12" i="104"/>
  <c r="V12" i="104"/>
  <c r="U12" i="104"/>
  <c r="T12" i="104"/>
  <c r="S12" i="104"/>
  <c r="R12" i="104"/>
  <c r="Q12" i="104"/>
  <c r="P12" i="104"/>
  <c r="O12" i="104"/>
  <c r="N12" i="104"/>
  <c r="M12" i="104"/>
  <c r="L12" i="104"/>
  <c r="K12" i="104"/>
  <c r="J12" i="104"/>
  <c r="I12" i="104"/>
  <c r="H12" i="104"/>
  <c r="G12" i="104"/>
  <c r="F12" i="104"/>
  <c r="E12" i="104"/>
  <c r="D12" i="104"/>
  <c r="C12" i="104"/>
  <c r="AF11" i="104"/>
  <c r="AE11" i="104"/>
  <c r="AD11" i="104"/>
  <c r="AC11" i="104"/>
  <c r="AB11" i="104"/>
  <c r="AA11" i="104"/>
  <c r="Z11" i="104"/>
  <c r="Y11" i="104"/>
  <c r="X11" i="104"/>
  <c r="W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H9" i="104" s="1"/>
  <c r="G11" i="104"/>
  <c r="F11" i="104"/>
  <c r="E11" i="104"/>
  <c r="D11" i="104"/>
  <c r="C11" i="104"/>
  <c r="AF10" i="104"/>
  <c r="AE10" i="104"/>
  <c r="AD10" i="104"/>
  <c r="AC10" i="104"/>
  <c r="AB10" i="104"/>
  <c r="AA10" i="104"/>
  <c r="Z10" i="104"/>
  <c r="Y10" i="104"/>
  <c r="X10" i="104"/>
  <c r="W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J9" i="104" s="1"/>
  <c r="J14" i="104" s="1"/>
  <c r="I10" i="104"/>
  <c r="I9" i="104" s="1"/>
  <c r="I14" i="104" s="1"/>
  <c r="H10" i="104"/>
  <c r="G10" i="104"/>
  <c r="F10" i="104"/>
  <c r="E10" i="104"/>
  <c r="D10" i="104"/>
  <c r="D9" i="104" s="1"/>
  <c r="D17" i="104" s="1"/>
  <c r="C10" i="104"/>
  <c r="G9" i="104"/>
  <c r="F9" i="104"/>
  <c r="E9" i="104"/>
  <c r="J50" i="103"/>
  <c r="K50" i="103"/>
  <c r="L50" i="103"/>
  <c r="M50" i="103"/>
  <c r="N50" i="103"/>
  <c r="O50" i="103"/>
  <c r="P50" i="103"/>
  <c r="Q50" i="103"/>
  <c r="R50" i="103"/>
  <c r="S50" i="103"/>
  <c r="T50" i="103"/>
  <c r="U50" i="103"/>
  <c r="V50" i="103"/>
  <c r="W50" i="103"/>
  <c r="X50" i="103"/>
  <c r="Y50" i="103"/>
  <c r="Z50" i="103"/>
  <c r="AA50" i="103"/>
  <c r="AB50" i="103"/>
  <c r="AC50" i="103"/>
  <c r="AD50" i="103"/>
  <c r="AE50" i="103"/>
  <c r="AF50" i="103"/>
  <c r="I50" i="103"/>
  <c r="G50" i="103"/>
  <c r="G23" i="103"/>
  <c r="L22" i="103"/>
  <c r="M22" i="103"/>
  <c r="N22" i="103"/>
  <c r="O22" i="103"/>
  <c r="P22" i="103"/>
  <c r="Q22" i="103"/>
  <c r="R22" i="103"/>
  <c r="S22" i="103"/>
  <c r="T22" i="103"/>
  <c r="U22" i="103"/>
  <c r="V22" i="103"/>
  <c r="W22" i="103"/>
  <c r="X22" i="103"/>
  <c r="Y22" i="103"/>
  <c r="Z22" i="103"/>
  <c r="AA22" i="103"/>
  <c r="AB22" i="103"/>
  <c r="AC22" i="103"/>
  <c r="AD22" i="103"/>
  <c r="AE22" i="103"/>
  <c r="AF22" i="103"/>
  <c r="L24" i="103"/>
  <c r="M24" i="103"/>
  <c r="N24" i="103"/>
  <c r="O24" i="103"/>
  <c r="P24" i="103"/>
  <c r="Q24" i="103"/>
  <c r="R24" i="103"/>
  <c r="S24" i="103"/>
  <c r="T24" i="103"/>
  <c r="U24" i="103"/>
  <c r="V24" i="103"/>
  <c r="W24" i="103"/>
  <c r="X24" i="103"/>
  <c r="Y24" i="103"/>
  <c r="Z24" i="103"/>
  <c r="AA24" i="103"/>
  <c r="AB24" i="103"/>
  <c r="AC24" i="103"/>
  <c r="AD24" i="103"/>
  <c r="AE24" i="103"/>
  <c r="AF24" i="103"/>
  <c r="L25" i="103"/>
  <c r="M25" i="103"/>
  <c r="N25" i="103"/>
  <c r="O25" i="103"/>
  <c r="P25" i="103"/>
  <c r="Q25" i="103"/>
  <c r="R25" i="103"/>
  <c r="S25" i="103"/>
  <c r="T25" i="103"/>
  <c r="U25" i="103"/>
  <c r="V25" i="103"/>
  <c r="W25" i="103"/>
  <c r="X25" i="103"/>
  <c r="Y25" i="103"/>
  <c r="Z25" i="103"/>
  <c r="AA25" i="103"/>
  <c r="AB25" i="103"/>
  <c r="AC25" i="103"/>
  <c r="AD25" i="103"/>
  <c r="AE25" i="103"/>
  <c r="AF25" i="103"/>
  <c r="K24" i="103"/>
  <c r="K25" i="103"/>
  <c r="K22" i="103"/>
  <c r="L19" i="103"/>
  <c r="M19" i="103"/>
  <c r="M18" i="103" s="1"/>
  <c r="N19" i="103"/>
  <c r="O19" i="103"/>
  <c r="P19" i="103"/>
  <c r="Q19" i="103"/>
  <c r="Q18" i="103" s="1"/>
  <c r="R19" i="103"/>
  <c r="R18" i="103" s="1"/>
  <c r="S19" i="103"/>
  <c r="T19" i="103"/>
  <c r="T18" i="103" s="1"/>
  <c r="U19" i="103"/>
  <c r="U18" i="103" s="1"/>
  <c r="V19" i="103"/>
  <c r="V18" i="103" s="1"/>
  <c r="W19" i="103"/>
  <c r="W18" i="103" s="1"/>
  <c r="X19" i="103"/>
  <c r="Y19" i="103"/>
  <c r="Z19" i="103"/>
  <c r="AA19" i="103"/>
  <c r="AB19" i="103"/>
  <c r="AC19" i="103"/>
  <c r="AC18" i="103" s="1"/>
  <c r="AD19" i="103"/>
  <c r="AD18" i="103" s="1"/>
  <c r="AE19" i="103"/>
  <c r="AE18" i="103" s="1"/>
  <c r="AF19" i="103"/>
  <c r="L20" i="103"/>
  <c r="M20" i="103"/>
  <c r="N20" i="103"/>
  <c r="N18" i="103" s="1"/>
  <c r="O20" i="103"/>
  <c r="O18" i="103" s="1"/>
  <c r="P20" i="103"/>
  <c r="Q20" i="103"/>
  <c r="R20" i="103"/>
  <c r="S20" i="103"/>
  <c r="T20" i="103"/>
  <c r="U20" i="103"/>
  <c r="V20" i="103"/>
  <c r="W20" i="103"/>
  <c r="X20" i="103"/>
  <c r="Y20" i="103"/>
  <c r="Z20" i="103"/>
  <c r="Z18" i="103" s="1"/>
  <c r="AA20" i="103"/>
  <c r="AB20" i="103"/>
  <c r="AB18" i="103" s="1"/>
  <c r="AC20" i="103"/>
  <c r="AD20" i="103"/>
  <c r="AE20" i="103"/>
  <c r="AF20" i="103"/>
  <c r="K20" i="103"/>
  <c r="K19" i="103"/>
  <c r="K18" i="103" s="1"/>
  <c r="R9" i="103"/>
  <c r="AD9" i="103"/>
  <c r="L10" i="103"/>
  <c r="M10" i="103"/>
  <c r="M9" i="103" s="1"/>
  <c r="M14" i="103" s="1"/>
  <c r="N10" i="103"/>
  <c r="O10" i="103"/>
  <c r="P10" i="103"/>
  <c r="Q10" i="103"/>
  <c r="R10" i="103"/>
  <c r="S10" i="103"/>
  <c r="S9" i="103" s="1"/>
  <c r="T10" i="103"/>
  <c r="T9" i="103" s="1"/>
  <c r="U10" i="103"/>
  <c r="U9" i="103" s="1"/>
  <c r="V10" i="103"/>
  <c r="V9" i="103" s="1"/>
  <c r="V15" i="103" s="1"/>
  <c r="W10" i="103"/>
  <c r="W9" i="103" s="1"/>
  <c r="W15" i="103" s="1"/>
  <c r="X10" i="103"/>
  <c r="Y10" i="103"/>
  <c r="Y9" i="103" s="1"/>
  <c r="Z10" i="103"/>
  <c r="AA10" i="103"/>
  <c r="AB10" i="103"/>
  <c r="AC10" i="103"/>
  <c r="AD10" i="103"/>
  <c r="AE10" i="103"/>
  <c r="AE9" i="103" s="1"/>
  <c r="AF10" i="103"/>
  <c r="AF9" i="103" s="1"/>
  <c r="L11" i="103"/>
  <c r="M11" i="103"/>
  <c r="N11" i="103"/>
  <c r="O11" i="103"/>
  <c r="P11" i="103"/>
  <c r="P9" i="103" s="1"/>
  <c r="Q11" i="103"/>
  <c r="R11" i="103"/>
  <c r="S11" i="103"/>
  <c r="T11" i="103"/>
  <c r="U11" i="103"/>
  <c r="V11" i="103"/>
  <c r="W11" i="103"/>
  <c r="X11" i="103"/>
  <c r="Y11" i="103"/>
  <c r="Z11" i="103"/>
  <c r="AA11" i="103"/>
  <c r="AB11" i="103"/>
  <c r="AB9" i="103" s="1"/>
  <c r="AB14" i="103" s="1"/>
  <c r="AC11" i="103"/>
  <c r="AD11" i="103"/>
  <c r="AE11" i="103"/>
  <c r="AF11" i="103"/>
  <c r="K11" i="103"/>
  <c r="K10" i="103"/>
  <c r="AF67" i="103"/>
  <c r="C55" i="103"/>
  <c r="C54" i="103"/>
  <c r="C53" i="103"/>
  <c r="AF52" i="103"/>
  <c r="AE52" i="103"/>
  <c r="R52" i="103"/>
  <c r="Q52" i="103"/>
  <c r="M52" i="103"/>
  <c r="C52" i="103" a="1"/>
  <c r="AB52" i="103" s="1"/>
  <c r="AD51" i="103"/>
  <c r="AC51" i="103"/>
  <c r="AB51" i="103"/>
  <c r="T51" i="103"/>
  <c r="S51" i="103"/>
  <c r="O51" i="103"/>
  <c r="N51" i="103"/>
  <c r="K51" i="103"/>
  <c r="J51" i="103"/>
  <c r="I51" i="103"/>
  <c r="H51" i="103"/>
  <c r="C51" i="103" a="1"/>
  <c r="AA51" i="103" s="1"/>
  <c r="C49" i="103" a="1"/>
  <c r="Q49" i="103" s="1"/>
  <c r="AG46" i="103"/>
  <c r="C30" i="103"/>
  <c r="J25" i="103"/>
  <c r="I25" i="103"/>
  <c r="H25" i="103"/>
  <c r="G25" i="103"/>
  <c r="F25" i="103"/>
  <c r="E25" i="103"/>
  <c r="D25" i="103"/>
  <c r="C25" i="103"/>
  <c r="J24" i="103"/>
  <c r="I24" i="103"/>
  <c r="H24" i="103"/>
  <c r="G24" i="103"/>
  <c r="F24" i="103"/>
  <c r="E24" i="103"/>
  <c r="D24" i="103"/>
  <c r="C24" i="103"/>
  <c r="F23" i="103"/>
  <c r="E23" i="103"/>
  <c r="D23" i="103"/>
  <c r="C23" i="103"/>
  <c r="J22" i="103"/>
  <c r="I22" i="103"/>
  <c r="H22" i="103"/>
  <c r="G22" i="103"/>
  <c r="F22" i="103"/>
  <c r="E22" i="103"/>
  <c r="D22" i="103"/>
  <c r="C22" i="103"/>
  <c r="S18" i="103"/>
  <c r="J20" i="103"/>
  <c r="I20" i="103"/>
  <c r="H20" i="103"/>
  <c r="G20" i="103"/>
  <c r="F20" i="103"/>
  <c r="F18" i="103" s="1"/>
  <c r="E20" i="103"/>
  <c r="E18" i="103" s="1"/>
  <c r="D20" i="103"/>
  <c r="C20" i="103"/>
  <c r="J19" i="103"/>
  <c r="I19" i="103"/>
  <c r="H19" i="103"/>
  <c r="H18" i="103" s="1"/>
  <c r="G19" i="103"/>
  <c r="G18" i="103" s="1"/>
  <c r="F19" i="103"/>
  <c r="E19" i="103"/>
  <c r="D19" i="103"/>
  <c r="C19" i="103"/>
  <c r="AF16" i="103"/>
  <c r="AE16" i="103"/>
  <c r="AD16" i="103"/>
  <c r="AC16" i="103"/>
  <c r="AB16" i="103"/>
  <c r="AA16" i="103"/>
  <c r="Z16" i="103"/>
  <c r="Y16" i="103"/>
  <c r="X16" i="103"/>
  <c r="W16" i="103"/>
  <c r="V16" i="103"/>
  <c r="U16" i="103"/>
  <c r="T16" i="103"/>
  <c r="S16" i="103"/>
  <c r="R16" i="103"/>
  <c r="Q16" i="103"/>
  <c r="P16" i="103"/>
  <c r="O16" i="103"/>
  <c r="N16" i="103"/>
  <c r="M16" i="103"/>
  <c r="L16" i="103"/>
  <c r="K16" i="103"/>
  <c r="J16" i="103"/>
  <c r="I16" i="103"/>
  <c r="H16" i="103"/>
  <c r="G16" i="103"/>
  <c r="F13" i="103"/>
  <c r="E13" i="103"/>
  <c r="D13" i="103"/>
  <c r="C13" i="103"/>
  <c r="AF12" i="103"/>
  <c r="AE12" i="103"/>
  <c r="AD12" i="103"/>
  <c r="AC12" i="103"/>
  <c r="AB12" i="103"/>
  <c r="AA12" i="103"/>
  <c r="Z12" i="103"/>
  <c r="Y12" i="103"/>
  <c r="X12" i="103"/>
  <c r="W12" i="103"/>
  <c r="V12" i="103"/>
  <c r="U12" i="103"/>
  <c r="T12" i="103"/>
  <c r="S12" i="103"/>
  <c r="R12" i="103"/>
  <c r="Q12" i="103"/>
  <c r="P12" i="103"/>
  <c r="O12" i="103"/>
  <c r="N12" i="103"/>
  <c r="M12" i="103"/>
  <c r="L12" i="103"/>
  <c r="K12" i="103"/>
  <c r="K9" i="103" s="1"/>
  <c r="K14" i="103" s="1"/>
  <c r="J12" i="103"/>
  <c r="I12" i="103"/>
  <c r="H12" i="103"/>
  <c r="G12" i="103"/>
  <c r="F12" i="103"/>
  <c r="E12" i="103"/>
  <c r="D12" i="103"/>
  <c r="C12" i="103"/>
  <c r="J11" i="103"/>
  <c r="I11" i="103"/>
  <c r="H11" i="103"/>
  <c r="G11" i="103"/>
  <c r="F11" i="103"/>
  <c r="E11" i="103"/>
  <c r="D11" i="103"/>
  <c r="C11" i="103"/>
  <c r="J10" i="103"/>
  <c r="I10" i="103"/>
  <c r="I9" i="103" s="1"/>
  <c r="H10" i="103"/>
  <c r="H9" i="103" s="1"/>
  <c r="H14" i="103" s="1"/>
  <c r="G10" i="103"/>
  <c r="G9" i="103" s="1"/>
  <c r="F10" i="103"/>
  <c r="F9" i="103" s="1"/>
  <c r="F17" i="103" s="1"/>
  <c r="F26" i="103" s="1"/>
  <c r="E10" i="103"/>
  <c r="E9" i="103" s="1"/>
  <c r="E17" i="103" s="1"/>
  <c r="D10" i="103"/>
  <c r="D9" i="103" s="1"/>
  <c r="D17" i="103" s="1"/>
  <c r="C10" i="103"/>
  <c r="B36" i="88" a="1"/>
  <c r="K36" i="88" s="1"/>
  <c r="F10" i="88"/>
  <c r="F15" i="88" s="1"/>
  <c r="E10" i="88"/>
  <c r="E15" i="88" s="1"/>
  <c r="F10" i="90"/>
  <c r="E10" i="90"/>
  <c r="F11" i="89"/>
  <c r="F10" i="89"/>
  <c r="E11" i="89"/>
  <c r="B38" i="89" s="1"/>
  <c r="E10" i="89"/>
  <c r="B37" i="89" s="1"/>
  <c r="F30" i="88"/>
  <c r="G30" i="88" s="1"/>
  <c r="K30" i="88" s="1"/>
  <c r="F29" i="88"/>
  <c r="G29" i="88" s="1"/>
  <c r="K29" i="88" s="1"/>
  <c r="F28" i="88"/>
  <c r="G28" i="88" s="1"/>
  <c r="K28" i="88" s="1"/>
  <c r="F27" i="88"/>
  <c r="G27" i="88" s="1"/>
  <c r="K27" i="88" s="1"/>
  <c r="D38" i="88" s="1"/>
  <c r="F26" i="88"/>
  <c r="G26" i="88" s="1"/>
  <c r="K26" i="88" s="1"/>
  <c r="F25" i="88"/>
  <c r="G25" i="88" s="1"/>
  <c r="D24" i="88"/>
  <c r="C24" i="88"/>
  <c r="H8" i="85"/>
  <c r="AF68" i="102"/>
  <c r="C56" i="102"/>
  <c r="C55" i="102"/>
  <c r="C54" i="102" s="1"/>
  <c r="AF53" i="102"/>
  <c r="AE53" i="102"/>
  <c r="AD53" i="102"/>
  <c r="AC53" i="102"/>
  <c r="AA53" i="102"/>
  <c r="X53" i="102"/>
  <c r="W53" i="102"/>
  <c r="V53" i="102"/>
  <c r="U53" i="102"/>
  <c r="T53" i="102"/>
  <c r="S53" i="102"/>
  <c r="R53" i="102"/>
  <c r="Q53" i="102"/>
  <c r="O53" i="102"/>
  <c r="L53" i="102"/>
  <c r="K53" i="102"/>
  <c r="J53" i="102"/>
  <c r="I53" i="102"/>
  <c r="H53" i="102"/>
  <c r="G53" i="102"/>
  <c r="F53" i="102"/>
  <c r="E53" i="102"/>
  <c r="C53" i="102"/>
  <c r="C53" i="102" a="1"/>
  <c r="AB53" i="102" s="1"/>
  <c r="AE51" i="102"/>
  <c r="AD51" i="102"/>
  <c r="AC51" i="102"/>
  <c r="AB51" i="102"/>
  <c r="AA51" i="102"/>
  <c r="Z51" i="102"/>
  <c r="X51" i="102"/>
  <c r="T51" i="102"/>
  <c r="O51" i="102"/>
  <c r="N51" i="102"/>
  <c r="L51" i="102"/>
  <c r="H51" i="102"/>
  <c r="G51" i="102"/>
  <c r="F51" i="102"/>
  <c r="E51" i="102"/>
  <c r="D51" i="102"/>
  <c r="C51" i="102" a="1"/>
  <c r="Q51" i="102" s="1"/>
  <c r="C49" i="102" a="1"/>
  <c r="AA49" i="102" s="1"/>
  <c r="AA48" i="102" s="1"/>
  <c r="AG46" i="102"/>
  <c r="C30" i="102"/>
  <c r="C26" i="102"/>
  <c r="J25" i="102"/>
  <c r="I25" i="102"/>
  <c r="H25" i="102"/>
  <c r="G25" i="102"/>
  <c r="F25" i="102"/>
  <c r="E25" i="102"/>
  <c r="D25" i="102"/>
  <c r="C25" i="102"/>
  <c r="J24" i="102"/>
  <c r="I24" i="102"/>
  <c r="H24" i="102"/>
  <c r="H21" i="102" s="1"/>
  <c r="G24" i="102"/>
  <c r="F24" i="102"/>
  <c r="E24" i="102"/>
  <c r="D24" i="102"/>
  <c r="C24" i="102"/>
  <c r="J23" i="102"/>
  <c r="I23" i="102"/>
  <c r="H23" i="102"/>
  <c r="G23" i="102"/>
  <c r="F23" i="102"/>
  <c r="E23" i="102"/>
  <c r="D23" i="102"/>
  <c r="C23" i="102"/>
  <c r="J22" i="102"/>
  <c r="J21" i="102" s="1"/>
  <c r="I22" i="102"/>
  <c r="I21" i="102" s="1"/>
  <c r="H22" i="102"/>
  <c r="G22" i="102"/>
  <c r="G21" i="102" s="1"/>
  <c r="F22" i="102"/>
  <c r="E22" i="102"/>
  <c r="D22" i="102"/>
  <c r="C22" i="102"/>
  <c r="F21" i="102"/>
  <c r="J20" i="102"/>
  <c r="I20" i="102"/>
  <c r="H20" i="102"/>
  <c r="G20" i="102"/>
  <c r="F20" i="102"/>
  <c r="E20" i="102"/>
  <c r="E18" i="102" s="1"/>
  <c r="D20" i="102"/>
  <c r="C20" i="102"/>
  <c r="C18" i="102" s="1"/>
  <c r="J19" i="102"/>
  <c r="J18" i="102" s="1"/>
  <c r="I19" i="102"/>
  <c r="H19" i="102"/>
  <c r="H18" i="102" s="1"/>
  <c r="G19" i="102"/>
  <c r="G18" i="102" s="1"/>
  <c r="F19" i="102"/>
  <c r="E19" i="102"/>
  <c r="D19" i="102"/>
  <c r="C19" i="102"/>
  <c r="AF16" i="102"/>
  <c r="AE16" i="102"/>
  <c r="AD16" i="102"/>
  <c r="AC16" i="102"/>
  <c r="AB16" i="102"/>
  <c r="AA16" i="102"/>
  <c r="Z16" i="102"/>
  <c r="Y16" i="102"/>
  <c r="X16" i="102"/>
  <c r="W16" i="102"/>
  <c r="V16" i="102"/>
  <c r="U16" i="102"/>
  <c r="T16" i="102"/>
  <c r="S16" i="102"/>
  <c r="R16" i="102"/>
  <c r="Q16" i="102"/>
  <c r="P16" i="102"/>
  <c r="O16" i="102"/>
  <c r="N16" i="102"/>
  <c r="M16" i="102"/>
  <c r="L16" i="102"/>
  <c r="K16" i="102"/>
  <c r="J16" i="102"/>
  <c r="I16" i="102"/>
  <c r="AG16" i="102" s="1"/>
  <c r="H16" i="102"/>
  <c r="G16" i="102"/>
  <c r="F13" i="102"/>
  <c r="E13" i="102"/>
  <c r="D13" i="102"/>
  <c r="C13" i="102"/>
  <c r="AF12" i="102"/>
  <c r="AE12" i="102"/>
  <c r="AD12" i="102"/>
  <c r="AC12" i="102"/>
  <c r="AB12" i="102"/>
  <c r="AA12" i="102"/>
  <c r="Z12" i="102"/>
  <c r="Y12" i="102"/>
  <c r="X12" i="102"/>
  <c r="W12" i="102"/>
  <c r="V12" i="102"/>
  <c r="U12" i="102"/>
  <c r="T12" i="102"/>
  <c r="S12" i="102"/>
  <c r="R12" i="102"/>
  <c r="Q12" i="102"/>
  <c r="P12" i="102"/>
  <c r="O12" i="102"/>
  <c r="N12" i="102"/>
  <c r="M12" i="102"/>
  <c r="L12" i="102"/>
  <c r="K12" i="102"/>
  <c r="J12" i="102"/>
  <c r="I12" i="102"/>
  <c r="I9" i="102" s="1"/>
  <c r="H12" i="102"/>
  <c r="G12" i="102"/>
  <c r="F12" i="102"/>
  <c r="E12" i="102"/>
  <c r="D12" i="102"/>
  <c r="C12" i="102"/>
  <c r="J11" i="102"/>
  <c r="I11" i="102"/>
  <c r="H11" i="102"/>
  <c r="H9" i="102" s="1"/>
  <c r="H14" i="102" s="1"/>
  <c r="G11" i="102"/>
  <c r="G9" i="102" s="1"/>
  <c r="F11" i="102"/>
  <c r="F9" i="102" s="1"/>
  <c r="F17" i="102" s="1"/>
  <c r="E11" i="102"/>
  <c r="E9" i="102" s="1"/>
  <c r="E17" i="102" s="1"/>
  <c r="D11" i="102"/>
  <c r="D9" i="102" s="1"/>
  <c r="D17" i="102" s="1"/>
  <c r="C11" i="102"/>
  <c r="J10" i="102"/>
  <c r="I10" i="102"/>
  <c r="H10" i="102"/>
  <c r="G10" i="102"/>
  <c r="F10" i="102"/>
  <c r="E10" i="102"/>
  <c r="D10" i="102"/>
  <c r="C10" i="102"/>
  <c r="C9" i="102" s="1"/>
  <c r="C17" i="102" s="1"/>
  <c r="J9" i="102"/>
  <c r="AF68" i="101"/>
  <c r="C56" i="101"/>
  <c r="C55" i="101"/>
  <c r="C53" i="101" a="1"/>
  <c r="G53" i="101" s="1"/>
  <c r="AD51" i="101"/>
  <c r="Z51" i="101"/>
  <c r="Y51" i="101"/>
  <c r="C51" i="101" a="1"/>
  <c r="R51" i="101" s="1"/>
  <c r="AF49" i="101"/>
  <c r="AE49" i="101"/>
  <c r="AC49" i="101"/>
  <c r="AB49" i="101"/>
  <c r="Y49" i="101"/>
  <c r="X49" i="101"/>
  <c r="U49" i="101"/>
  <c r="Q49" i="101"/>
  <c r="P49" i="101"/>
  <c r="M49" i="101"/>
  <c r="L49" i="101"/>
  <c r="K49" i="101"/>
  <c r="J49" i="101"/>
  <c r="I49" i="101"/>
  <c r="E49" i="101"/>
  <c r="C49" i="101" a="1"/>
  <c r="AD49" i="101" s="1"/>
  <c r="AG46" i="101"/>
  <c r="C30" i="101"/>
  <c r="J25" i="101"/>
  <c r="I25" i="101"/>
  <c r="H25" i="101"/>
  <c r="G25" i="101"/>
  <c r="F25" i="101"/>
  <c r="E25" i="101"/>
  <c r="D25" i="101"/>
  <c r="C25" i="101"/>
  <c r="J24" i="101"/>
  <c r="I24" i="101"/>
  <c r="H24" i="101"/>
  <c r="G24" i="101"/>
  <c r="F24" i="101"/>
  <c r="E24" i="101"/>
  <c r="D24" i="101"/>
  <c r="C24" i="101"/>
  <c r="J23" i="101"/>
  <c r="I23" i="101"/>
  <c r="H23" i="101"/>
  <c r="G23" i="101"/>
  <c r="F23" i="101"/>
  <c r="E23" i="101"/>
  <c r="D23" i="101"/>
  <c r="C23" i="101"/>
  <c r="J22" i="101"/>
  <c r="I22" i="101"/>
  <c r="H22" i="101"/>
  <c r="G22" i="101"/>
  <c r="F22" i="101"/>
  <c r="E22" i="101"/>
  <c r="D22" i="101"/>
  <c r="C22" i="101"/>
  <c r="C21" i="101"/>
  <c r="J20" i="101"/>
  <c r="I20" i="101"/>
  <c r="H20" i="101"/>
  <c r="G20" i="101"/>
  <c r="F20" i="101"/>
  <c r="F18" i="101" s="1"/>
  <c r="E20" i="101"/>
  <c r="D20" i="101"/>
  <c r="C20" i="101"/>
  <c r="J19" i="101"/>
  <c r="J18" i="101" s="1"/>
  <c r="I19" i="101"/>
  <c r="I18" i="101" s="1"/>
  <c r="H19" i="101"/>
  <c r="G19" i="101"/>
  <c r="F19" i="101"/>
  <c r="E19" i="101"/>
  <c r="D19" i="101"/>
  <c r="C19" i="101"/>
  <c r="AF16" i="101"/>
  <c r="AE16" i="101"/>
  <c r="AD16" i="101"/>
  <c r="AC16" i="101"/>
  <c r="AB16" i="101"/>
  <c r="AA16" i="101"/>
  <c r="Z16" i="101"/>
  <c r="Y16" i="101"/>
  <c r="X16" i="101"/>
  <c r="W16" i="101"/>
  <c r="V16" i="101"/>
  <c r="U16" i="101"/>
  <c r="T16" i="101"/>
  <c r="S16" i="101"/>
  <c r="R16" i="101"/>
  <c r="Q16" i="101"/>
  <c r="P16" i="101"/>
  <c r="O16" i="101"/>
  <c r="N16" i="101"/>
  <c r="M16" i="101"/>
  <c r="L16" i="101"/>
  <c r="K16" i="101"/>
  <c r="J16" i="101"/>
  <c r="I16" i="101"/>
  <c r="H16" i="101"/>
  <c r="G16" i="101"/>
  <c r="F13" i="101"/>
  <c r="E13" i="101"/>
  <c r="D13" i="101"/>
  <c r="C13" i="101"/>
  <c r="AF12" i="101"/>
  <c r="AE12" i="101"/>
  <c r="AD12" i="101"/>
  <c r="AC12" i="101"/>
  <c r="AB12" i="101"/>
  <c r="AA12" i="101"/>
  <c r="Z12" i="101"/>
  <c r="Y12" i="101"/>
  <c r="X12" i="101"/>
  <c r="W12" i="101"/>
  <c r="V12" i="101"/>
  <c r="U12" i="101"/>
  <c r="T12" i="101"/>
  <c r="S12" i="101"/>
  <c r="R12" i="101"/>
  <c r="Q12" i="101"/>
  <c r="P12" i="101"/>
  <c r="O12" i="101"/>
  <c r="N12" i="101"/>
  <c r="M12" i="101"/>
  <c r="L12" i="101"/>
  <c r="K12" i="101"/>
  <c r="J12" i="101"/>
  <c r="I12" i="101"/>
  <c r="H12" i="101"/>
  <c r="G12" i="101"/>
  <c r="F12" i="101"/>
  <c r="E12" i="101"/>
  <c r="D12" i="101"/>
  <c r="C12" i="101"/>
  <c r="J11" i="101"/>
  <c r="I11" i="101"/>
  <c r="I9" i="101" s="1"/>
  <c r="I15" i="101" s="1"/>
  <c r="H11" i="101"/>
  <c r="G11" i="101"/>
  <c r="F11" i="101"/>
  <c r="E11" i="101"/>
  <c r="D11" i="101"/>
  <c r="C11" i="101"/>
  <c r="J10" i="101"/>
  <c r="I10" i="101"/>
  <c r="H10" i="101"/>
  <c r="G10" i="101"/>
  <c r="F10" i="101"/>
  <c r="E10" i="101"/>
  <c r="D10" i="101"/>
  <c r="C10" i="101"/>
  <c r="E9" i="101"/>
  <c r="D9" i="101"/>
  <c r="C9" i="101"/>
  <c r="C26" i="89"/>
  <c r="C27" i="89"/>
  <c r="C21" i="89"/>
  <c r="C23" i="89" s="1"/>
  <c r="D17" i="89"/>
  <c r="E17" i="89" s="1"/>
  <c r="H16" i="89"/>
  <c r="G16" i="89"/>
  <c r="F16" i="89"/>
  <c r="E16" i="89"/>
  <c r="D16" i="89"/>
  <c r="H5" i="85"/>
  <c r="AF67" i="100"/>
  <c r="C55" i="100"/>
  <c r="C54" i="100"/>
  <c r="AF52" i="100"/>
  <c r="AE52" i="100"/>
  <c r="AD52" i="100"/>
  <c r="AC52" i="100"/>
  <c r="AB52" i="100"/>
  <c r="X52" i="100"/>
  <c r="W52" i="100"/>
  <c r="V52" i="100"/>
  <c r="U52" i="100"/>
  <c r="T52" i="100"/>
  <c r="S52" i="100"/>
  <c r="R52" i="100"/>
  <c r="Q52" i="100"/>
  <c r="P52" i="100"/>
  <c r="L52" i="100"/>
  <c r="K52" i="100"/>
  <c r="J52" i="100"/>
  <c r="I52" i="100"/>
  <c r="H52" i="100"/>
  <c r="G52" i="100"/>
  <c r="F52" i="100"/>
  <c r="E52" i="100"/>
  <c r="D52" i="100"/>
  <c r="C52" i="100" a="1"/>
  <c r="AA52" i="100" s="1"/>
  <c r="AA51" i="100"/>
  <c r="Z51" i="100"/>
  <c r="Y51" i="100"/>
  <c r="S51" i="100"/>
  <c r="N51" i="100"/>
  <c r="M51" i="100"/>
  <c r="C51" i="100" a="1"/>
  <c r="F51" i="100" s="1"/>
  <c r="AF50" i="100"/>
  <c r="AE50" i="100"/>
  <c r="AD50" i="100"/>
  <c r="AC50" i="100"/>
  <c r="AB50" i="100"/>
  <c r="AA50" i="100"/>
  <c r="Z50" i="100"/>
  <c r="Y50" i="100"/>
  <c r="X50" i="100"/>
  <c r="W50" i="100"/>
  <c r="V50" i="100"/>
  <c r="U50" i="100"/>
  <c r="T50" i="100"/>
  <c r="S50" i="100"/>
  <c r="R50" i="100"/>
  <c r="Q50" i="100"/>
  <c r="P50" i="100"/>
  <c r="O50" i="100"/>
  <c r="N50" i="100"/>
  <c r="M50" i="100"/>
  <c r="AF49" i="100"/>
  <c r="AE49" i="100"/>
  <c r="Y49" i="100"/>
  <c r="X49" i="100"/>
  <c r="W49" i="100"/>
  <c r="V49" i="100"/>
  <c r="U49" i="100"/>
  <c r="T49" i="100"/>
  <c r="S49" i="100"/>
  <c r="M49" i="100"/>
  <c r="L49" i="100"/>
  <c r="K49" i="100"/>
  <c r="J49" i="100"/>
  <c r="I49" i="100"/>
  <c r="H49" i="100"/>
  <c r="G49" i="100"/>
  <c r="C49" i="100" a="1"/>
  <c r="AD49" i="100" s="1"/>
  <c r="AG46" i="100"/>
  <c r="C30" i="100"/>
  <c r="K25" i="100"/>
  <c r="J25" i="100"/>
  <c r="I25" i="100"/>
  <c r="H25" i="100"/>
  <c r="G25" i="100"/>
  <c r="F25" i="100"/>
  <c r="E25" i="100"/>
  <c r="D25" i="100"/>
  <c r="C25" i="100"/>
  <c r="K24" i="100"/>
  <c r="J24" i="100"/>
  <c r="I24" i="100"/>
  <c r="H24" i="100"/>
  <c r="G24" i="100"/>
  <c r="F24" i="100"/>
  <c r="E24" i="100"/>
  <c r="D24" i="100"/>
  <c r="C24" i="100"/>
  <c r="K23" i="100"/>
  <c r="K21" i="100" s="1"/>
  <c r="J23" i="100"/>
  <c r="I23" i="100"/>
  <c r="H23" i="100"/>
  <c r="G23" i="100"/>
  <c r="F23" i="100"/>
  <c r="E23" i="100"/>
  <c r="D23" i="100"/>
  <c r="C23" i="100"/>
  <c r="K22" i="100"/>
  <c r="J22" i="100"/>
  <c r="I22" i="100"/>
  <c r="H22" i="100"/>
  <c r="G22" i="100"/>
  <c r="F22" i="100"/>
  <c r="F21" i="100" s="1"/>
  <c r="E22" i="100"/>
  <c r="E21" i="100" s="1"/>
  <c r="D22" i="100"/>
  <c r="D21" i="100" s="1"/>
  <c r="C22" i="100"/>
  <c r="K20" i="100"/>
  <c r="K18" i="100" s="1"/>
  <c r="J20" i="100"/>
  <c r="I20" i="100"/>
  <c r="H20" i="100"/>
  <c r="G20" i="100"/>
  <c r="F20" i="100"/>
  <c r="E20" i="100"/>
  <c r="D20" i="100"/>
  <c r="C20" i="100"/>
  <c r="K19" i="100"/>
  <c r="J19" i="100"/>
  <c r="I19" i="100"/>
  <c r="H19" i="100"/>
  <c r="H18" i="100" s="1"/>
  <c r="G19" i="100"/>
  <c r="F19" i="100"/>
  <c r="F18" i="100" s="1"/>
  <c r="E19" i="100"/>
  <c r="E18" i="100" s="1"/>
  <c r="D19" i="100"/>
  <c r="D18" i="100" s="1"/>
  <c r="C19" i="100"/>
  <c r="J18" i="100"/>
  <c r="I18" i="100"/>
  <c r="AF16" i="100"/>
  <c r="AE16" i="100"/>
  <c r="AD16" i="100"/>
  <c r="AC16" i="100"/>
  <c r="AB16" i="100"/>
  <c r="AA16" i="100"/>
  <c r="Z16" i="100"/>
  <c r="Y16" i="100"/>
  <c r="X16" i="100"/>
  <c r="W16" i="100"/>
  <c r="V16" i="100"/>
  <c r="U16" i="100"/>
  <c r="T16" i="100"/>
  <c r="S16" i="100"/>
  <c r="R16" i="100"/>
  <c r="Q16" i="100"/>
  <c r="P16" i="100"/>
  <c r="O16" i="100"/>
  <c r="N16" i="100"/>
  <c r="M16" i="100"/>
  <c r="L16" i="100"/>
  <c r="K16" i="100"/>
  <c r="J16" i="100"/>
  <c r="I16" i="100"/>
  <c r="H16" i="100"/>
  <c r="G16" i="100"/>
  <c r="F13" i="100"/>
  <c r="E13" i="100"/>
  <c r="D13" i="100"/>
  <c r="C13" i="100"/>
  <c r="AF12" i="100"/>
  <c r="AE12" i="100"/>
  <c r="AD12" i="100"/>
  <c r="AC12" i="100"/>
  <c r="AB12" i="100"/>
  <c r="AA12" i="100"/>
  <c r="Z12" i="100"/>
  <c r="Y12" i="100"/>
  <c r="X12" i="100"/>
  <c r="W12" i="100"/>
  <c r="V12" i="100"/>
  <c r="U12" i="100"/>
  <c r="T12" i="100"/>
  <c r="S12" i="100"/>
  <c r="R12" i="100"/>
  <c r="Q12" i="100"/>
  <c r="P12" i="100"/>
  <c r="O12" i="100"/>
  <c r="N12" i="100"/>
  <c r="M12" i="100"/>
  <c r="L12" i="100"/>
  <c r="K12" i="100"/>
  <c r="J12" i="100"/>
  <c r="I12" i="100"/>
  <c r="H12" i="100"/>
  <c r="G12" i="100"/>
  <c r="F12" i="100"/>
  <c r="E12" i="100"/>
  <c r="D12" i="100"/>
  <c r="C12" i="100"/>
  <c r="K11" i="100"/>
  <c r="J11" i="100"/>
  <c r="I11" i="100"/>
  <c r="H11" i="100"/>
  <c r="G11" i="100"/>
  <c r="F11" i="100"/>
  <c r="E11" i="100"/>
  <c r="D11" i="100"/>
  <c r="C11" i="100"/>
  <c r="K10" i="100"/>
  <c r="J10" i="100"/>
  <c r="I10" i="100"/>
  <c r="H10" i="100"/>
  <c r="H9" i="100" s="1"/>
  <c r="H14" i="100" s="1"/>
  <c r="G10" i="100"/>
  <c r="G9" i="100" s="1"/>
  <c r="G15" i="100" s="1"/>
  <c r="F10" i="100"/>
  <c r="E10" i="100"/>
  <c r="D10" i="100"/>
  <c r="C10" i="100"/>
  <c r="F9" i="100"/>
  <c r="F17" i="100" s="1"/>
  <c r="E9" i="100"/>
  <c r="E17" i="100" s="1"/>
  <c r="C9" i="100"/>
  <c r="D22" i="98"/>
  <c r="E22" i="98"/>
  <c r="F22" i="98"/>
  <c r="G22" i="98"/>
  <c r="H22" i="98"/>
  <c r="I22" i="98"/>
  <c r="J22" i="98"/>
  <c r="K22" i="98"/>
  <c r="C22" i="98"/>
  <c r="C21" i="98" s="1"/>
  <c r="D15" i="90"/>
  <c r="E15" i="90" s="1"/>
  <c r="F15" i="90" s="1"/>
  <c r="H14" i="90"/>
  <c r="G14" i="90"/>
  <c r="E14" i="90"/>
  <c r="F14" i="90"/>
  <c r="D14" i="90"/>
  <c r="C14" i="90"/>
  <c r="C16" i="90" s="1"/>
  <c r="D48" i="98"/>
  <c r="E48" i="98"/>
  <c r="F48" i="98"/>
  <c r="G48" i="98"/>
  <c r="H48" i="98"/>
  <c r="I48" i="98"/>
  <c r="J48" i="98"/>
  <c r="K48" i="98"/>
  <c r="C48" i="98"/>
  <c r="M48" i="98"/>
  <c r="N48" i="98"/>
  <c r="O48" i="98"/>
  <c r="P48" i="98"/>
  <c r="Q48" i="98"/>
  <c r="R48" i="98"/>
  <c r="S48" i="98"/>
  <c r="T48" i="98"/>
  <c r="U48" i="98"/>
  <c r="V48" i="98"/>
  <c r="W48" i="98"/>
  <c r="X48" i="98"/>
  <c r="Y48" i="98"/>
  <c r="Z48" i="98"/>
  <c r="AA48" i="98"/>
  <c r="AB48" i="98"/>
  <c r="AC48" i="98"/>
  <c r="AD48" i="98"/>
  <c r="AE48" i="98"/>
  <c r="AF48" i="98"/>
  <c r="I80" i="90"/>
  <c r="C19" i="90"/>
  <c r="C24" i="90"/>
  <c r="AF67" i="98"/>
  <c r="C55" i="98"/>
  <c r="C54" i="98"/>
  <c r="C53" i="98"/>
  <c r="AF52" i="98"/>
  <c r="AE52" i="98"/>
  <c r="AD52" i="98"/>
  <c r="AC52" i="98"/>
  <c r="S52" i="98"/>
  <c r="R52" i="98"/>
  <c r="Q52" i="98"/>
  <c r="K52" i="98"/>
  <c r="J52" i="98"/>
  <c r="I52" i="98"/>
  <c r="H52" i="98"/>
  <c r="G52" i="98"/>
  <c r="C52" i="98" a="1"/>
  <c r="AB52" i="98" s="1"/>
  <c r="C51" i="98" a="1"/>
  <c r="C49" i="98" a="1"/>
  <c r="K49" i="98" s="1"/>
  <c r="AG46" i="98"/>
  <c r="C30" i="98"/>
  <c r="K25" i="98"/>
  <c r="J25" i="98"/>
  <c r="I25" i="98"/>
  <c r="H25" i="98"/>
  <c r="G25" i="98"/>
  <c r="F25" i="98"/>
  <c r="E25" i="98"/>
  <c r="D25" i="98"/>
  <c r="C25" i="98"/>
  <c r="K24" i="98"/>
  <c r="J24" i="98"/>
  <c r="I24" i="98"/>
  <c r="H24" i="98"/>
  <c r="G24" i="98"/>
  <c r="F24" i="98"/>
  <c r="E24" i="98"/>
  <c r="D24" i="98"/>
  <c r="C24" i="98"/>
  <c r="K23" i="98"/>
  <c r="J23" i="98"/>
  <c r="I23" i="98"/>
  <c r="H23" i="98"/>
  <c r="G23" i="98"/>
  <c r="F23" i="98"/>
  <c r="E23" i="98"/>
  <c r="D23" i="98"/>
  <c r="C23" i="98"/>
  <c r="K20" i="98"/>
  <c r="K18" i="98" s="1"/>
  <c r="J20" i="98"/>
  <c r="I20" i="98"/>
  <c r="H20" i="98"/>
  <c r="H18" i="98" s="1"/>
  <c r="G20" i="98"/>
  <c r="G18" i="98" s="1"/>
  <c r="F20" i="98"/>
  <c r="E20" i="98"/>
  <c r="D20" i="98"/>
  <c r="C20" i="98"/>
  <c r="K19" i="98"/>
  <c r="J19" i="98"/>
  <c r="I19" i="98"/>
  <c r="H19" i="98"/>
  <c r="G19" i="98"/>
  <c r="F19" i="98"/>
  <c r="E19" i="98"/>
  <c r="E18" i="98" s="1"/>
  <c r="D19" i="98"/>
  <c r="D18" i="98" s="1"/>
  <c r="C19" i="98"/>
  <c r="C18" i="98" s="1"/>
  <c r="AF16" i="98"/>
  <c r="AE16" i="98"/>
  <c r="AD16" i="98"/>
  <c r="AC16" i="98"/>
  <c r="AB16" i="98"/>
  <c r="AA16" i="98"/>
  <c r="Z16" i="98"/>
  <c r="Y16" i="98"/>
  <c r="X16" i="98"/>
  <c r="W16" i="98"/>
  <c r="V16" i="98"/>
  <c r="U16" i="98"/>
  <c r="T16" i="98"/>
  <c r="S16" i="98"/>
  <c r="R16" i="98"/>
  <c r="Q16" i="98"/>
  <c r="P16" i="98"/>
  <c r="O16" i="98"/>
  <c r="N16" i="98"/>
  <c r="M16" i="98"/>
  <c r="L16" i="98"/>
  <c r="K16" i="98"/>
  <c r="J16" i="98"/>
  <c r="I16" i="98"/>
  <c r="H16" i="98"/>
  <c r="G16" i="98"/>
  <c r="F13" i="98"/>
  <c r="E13" i="98"/>
  <c r="D13" i="98"/>
  <c r="C13" i="98"/>
  <c r="AF12" i="98"/>
  <c r="AE12" i="98"/>
  <c r="AD12" i="98"/>
  <c r="AC12" i="98"/>
  <c r="AB12" i="98"/>
  <c r="AA12" i="98"/>
  <c r="Z12" i="98"/>
  <c r="Y12" i="98"/>
  <c r="X12" i="98"/>
  <c r="W12" i="98"/>
  <c r="V12" i="98"/>
  <c r="U12" i="98"/>
  <c r="T12" i="98"/>
  <c r="S12" i="98"/>
  <c r="R12" i="98"/>
  <c r="Q12" i="98"/>
  <c r="P12" i="98"/>
  <c r="O12" i="98"/>
  <c r="N12" i="98"/>
  <c r="M12" i="98"/>
  <c r="L12" i="98"/>
  <c r="K12" i="98"/>
  <c r="J12" i="98"/>
  <c r="I12" i="98"/>
  <c r="H12" i="98"/>
  <c r="G12" i="98"/>
  <c r="F12" i="98"/>
  <c r="E12" i="98"/>
  <c r="D12" i="98"/>
  <c r="C12" i="98"/>
  <c r="K11" i="98"/>
  <c r="J11" i="98"/>
  <c r="I11" i="98"/>
  <c r="H11" i="98"/>
  <c r="G11" i="98"/>
  <c r="F11" i="98"/>
  <c r="E11" i="98"/>
  <c r="D11" i="98"/>
  <c r="C11" i="98"/>
  <c r="K10" i="98"/>
  <c r="K9" i="98" s="1"/>
  <c r="J10" i="98"/>
  <c r="J9" i="98" s="1"/>
  <c r="J14" i="98" s="1"/>
  <c r="I10" i="98"/>
  <c r="H10" i="98"/>
  <c r="G10" i="98"/>
  <c r="F10" i="98"/>
  <c r="E10" i="98"/>
  <c r="D10" i="98"/>
  <c r="C10" i="98"/>
  <c r="E9" i="98"/>
  <c r="E17" i="98" s="1"/>
  <c r="D9" i="98"/>
  <c r="D17" i="98" s="1"/>
  <c r="C9" i="98"/>
  <c r="B38" i="90"/>
  <c r="C25" i="90"/>
  <c r="B35" i="90"/>
  <c r="C35" i="90" s="1"/>
  <c r="B34" i="90"/>
  <c r="C34" i="90" s="1"/>
  <c r="D34" i="90" s="1"/>
  <c r="E34" i="90" s="1"/>
  <c r="F34" i="90" s="1"/>
  <c r="G34" i="90" s="1"/>
  <c r="H34" i="90" s="1"/>
  <c r="B51" i="90" s="1"/>
  <c r="C51" i="90" s="1"/>
  <c r="D51" i="90" s="1"/>
  <c r="E51" i="90" s="1"/>
  <c r="F51" i="90" s="1"/>
  <c r="G51" i="90" s="1"/>
  <c r="H51" i="90" s="1"/>
  <c r="B68" i="90" s="1"/>
  <c r="C68" i="90" s="1"/>
  <c r="D68" i="90" s="1"/>
  <c r="E68" i="90" s="1"/>
  <c r="F68" i="90" s="1"/>
  <c r="G68" i="90" s="1"/>
  <c r="H68" i="90" s="1"/>
  <c r="H4" i="85"/>
  <c r="AF66" i="97"/>
  <c r="C54" i="97"/>
  <c r="C53" i="97"/>
  <c r="AF51" i="97"/>
  <c r="AE51" i="97"/>
  <c r="AD51" i="97"/>
  <c r="AC51" i="97"/>
  <c r="Y51" i="97"/>
  <c r="X51" i="97"/>
  <c r="W51" i="97"/>
  <c r="V51" i="97"/>
  <c r="U51" i="97"/>
  <c r="T51" i="97"/>
  <c r="S51" i="97"/>
  <c r="R51" i="97"/>
  <c r="Q51" i="97"/>
  <c r="M51" i="97"/>
  <c r="L51" i="97"/>
  <c r="K51" i="97"/>
  <c r="J51" i="97"/>
  <c r="I51" i="97"/>
  <c r="H51" i="97"/>
  <c r="G51" i="97"/>
  <c r="F51" i="97"/>
  <c r="E51" i="97"/>
  <c r="C51" i="97" a="1"/>
  <c r="AB51" i="97" s="1"/>
  <c r="AA50" i="97"/>
  <c r="Z50" i="97"/>
  <c r="P50" i="97"/>
  <c r="O50" i="97"/>
  <c r="F50" i="97"/>
  <c r="C50" i="97" a="1"/>
  <c r="AB49" i="97"/>
  <c r="AA49" i="97"/>
  <c r="Z49" i="97"/>
  <c r="P49" i="97"/>
  <c r="O49" i="97"/>
  <c r="N49" i="97"/>
  <c r="L49" i="97"/>
  <c r="K49" i="97"/>
  <c r="J49" i="97"/>
  <c r="I49" i="97"/>
  <c r="D49" i="97"/>
  <c r="C49" i="97" a="1"/>
  <c r="V49" i="97" s="1"/>
  <c r="AG46" i="97"/>
  <c r="C30" i="97"/>
  <c r="AF28" i="97"/>
  <c r="AE28" i="97"/>
  <c r="AD28" i="97"/>
  <c r="AC28" i="97"/>
  <c r="AB28" i="97"/>
  <c r="AA28" i="97"/>
  <c r="Z28" i="97"/>
  <c r="Y28" i="97"/>
  <c r="X28" i="97"/>
  <c r="W28" i="97"/>
  <c r="V28" i="97"/>
  <c r="U28" i="97"/>
  <c r="T28" i="97"/>
  <c r="S28" i="97"/>
  <c r="R28" i="97"/>
  <c r="Q28" i="97"/>
  <c r="P28" i="97"/>
  <c r="O28" i="97"/>
  <c r="N28" i="97"/>
  <c r="M28" i="97"/>
  <c r="L28" i="97"/>
  <c r="K28" i="97"/>
  <c r="J28" i="97"/>
  <c r="I28" i="97"/>
  <c r="H28" i="97"/>
  <c r="G28" i="97"/>
  <c r="F28" i="97"/>
  <c r="AG28" i="97" s="1"/>
  <c r="E28" i="97"/>
  <c r="D28" i="97"/>
  <c r="AF25" i="97"/>
  <c r="AE25" i="97"/>
  <c r="AD25" i="97"/>
  <c r="AC25" i="97"/>
  <c r="AB25" i="97"/>
  <c r="AA25" i="97"/>
  <c r="Z25" i="97"/>
  <c r="Y25" i="97"/>
  <c r="X25" i="97"/>
  <c r="W25" i="97"/>
  <c r="V25" i="97"/>
  <c r="U25" i="97"/>
  <c r="T25" i="97"/>
  <c r="S25" i="97"/>
  <c r="R25" i="97"/>
  <c r="Q25" i="97"/>
  <c r="P25" i="97"/>
  <c r="O25" i="97"/>
  <c r="N25" i="97"/>
  <c r="M25" i="97"/>
  <c r="L25" i="97"/>
  <c r="K25" i="97"/>
  <c r="J25" i="97"/>
  <c r="I25" i="97"/>
  <c r="H25" i="97"/>
  <c r="G25" i="97"/>
  <c r="F25" i="97"/>
  <c r="E25" i="97"/>
  <c r="D25" i="97"/>
  <c r="C25" i="97"/>
  <c r="AF24" i="97"/>
  <c r="AE24" i="97"/>
  <c r="AD24" i="97"/>
  <c r="AC24" i="97"/>
  <c r="AB24" i="97"/>
  <c r="AA24" i="97"/>
  <c r="Z24" i="97"/>
  <c r="Y24" i="97"/>
  <c r="X24" i="97"/>
  <c r="W24" i="97"/>
  <c r="V24" i="97"/>
  <c r="U24" i="97"/>
  <c r="T24" i="97"/>
  <c r="S24" i="97"/>
  <c r="R24" i="97"/>
  <c r="Q24" i="97"/>
  <c r="P24" i="97"/>
  <c r="O24" i="97"/>
  <c r="N24" i="97"/>
  <c r="M24" i="97"/>
  <c r="L24" i="97"/>
  <c r="K24" i="97"/>
  <c r="J24" i="97"/>
  <c r="I24" i="97"/>
  <c r="H24" i="97"/>
  <c r="G24" i="97"/>
  <c r="F24" i="97"/>
  <c r="E24" i="97"/>
  <c r="D24" i="97"/>
  <c r="C24" i="97"/>
  <c r="AF23" i="97"/>
  <c r="AE23" i="97"/>
  <c r="AD23" i="97"/>
  <c r="AC23" i="97"/>
  <c r="AB23" i="97"/>
  <c r="AA23" i="97"/>
  <c r="Z23" i="97"/>
  <c r="Y23" i="97"/>
  <c r="X23" i="97"/>
  <c r="W23" i="97"/>
  <c r="V23" i="97"/>
  <c r="U23" i="97"/>
  <c r="T23" i="97"/>
  <c r="S23" i="97"/>
  <c r="R23" i="97"/>
  <c r="Q23" i="97"/>
  <c r="P23" i="97"/>
  <c r="O23" i="97"/>
  <c r="N23" i="97"/>
  <c r="M23" i="97"/>
  <c r="L23" i="97"/>
  <c r="K23" i="97"/>
  <c r="J23" i="97"/>
  <c r="I23" i="97"/>
  <c r="H23" i="97"/>
  <c r="G23" i="97"/>
  <c r="F23" i="97"/>
  <c r="E23" i="97"/>
  <c r="D23" i="97"/>
  <c r="C23" i="97"/>
  <c r="AG23" i="97" s="1"/>
  <c r="AF20" i="97"/>
  <c r="AE20" i="97"/>
  <c r="AD20" i="97"/>
  <c r="AC20" i="97"/>
  <c r="AB20" i="97"/>
  <c r="AA20" i="97"/>
  <c r="AA18" i="97" s="1"/>
  <c r="Z20" i="97"/>
  <c r="Z18" i="97" s="1"/>
  <c r="Y20" i="97"/>
  <c r="Y18" i="97" s="1"/>
  <c r="X20" i="97"/>
  <c r="W20" i="97"/>
  <c r="V20" i="97"/>
  <c r="U20" i="97"/>
  <c r="T20" i="97"/>
  <c r="S20" i="97"/>
  <c r="R20" i="97"/>
  <c r="Q20" i="97"/>
  <c r="P20" i="97"/>
  <c r="O20" i="97"/>
  <c r="O18" i="97" s="1"/>
  <c r="N20" i="97"/>
  <c r="M20" i="97"/>
  <c r="M18" i="97" s="1"/>
  <c r="L20" i="97"/>
  <c r="K20" i="97"/>
  <c r="J20" i="97"/>
  <c r="I20" i="97"/>
  <c r="H20" i="97"/>
  <c r="G20" i="97"/>
  <c r="F20" i="97"/>
  <c r="E20" i="97"/>
  <c r="D20" i="97"/>
  <c r="C20" i="97"/>
  <c r="C18" i="97" s="1"/>
  <c r="AF19" i="97"/>
  <c r="AF18" i="97" s="1"/>
  <c r="AE19" i="97"/>
  <c r="AE18" i="97" s="1"/>
  <c r="AD19" i="97"/>
  <c r="AD18" i="97" s="1"/>
  <c r="AC19" i="97"/>
  <c r="AC18" i="97" s="1"/>
  <c r="AB19" i="97"/>
  <c r="AB18" i="97" s="1"/>
  <c r="AA19" i="97"/>
  <c r="Z19" i="97"/>
  <c r="Y19" i="97"/>
  <c r="X19" i="97"/>
  <c r="W19" i="97"/>
  <c r="W18" i="97" s="1"/>
  <c r="V19" i="97"/>
  <c r="U19" i="97"/>
  <c r="U18" i="97" s="1"/>
  <c r="T19" i="97"/>
  <c r="T18" i="97" s="1"/>
  <c r="S19" i="97"/>
  <c r="R19" i="97"/>
  <c r="Q19" i="97"/>
  <c r="Q18" i="97" s="1"/>
  <c r="P19" i="97"/>
  <c r="O19" i="97"/>
  <c r="N19" i="97"/>
  <c r="M19" i="97"/>
  <c r="L19" i="97"/>
  <c r="L18" i="97" s="1"/>
  <c r="K19" i="97"/>
  <c r="K18" i="97" s="1"/>
  <c r="J19" i="97"/>
  <c r="I19" i="97"/>
  <c r="I18" i="97" s="1"/>
  <c r="H19" i="97"/>
  <c r="H18" i="97" s="1"/>
  <c r="G19" i="97"/>
  <c r="F19" i="97"/>
  <c r="E19" i="97"/>
  <c r="AG19" i="97" s="1"/>
  <c r="D19" i="97"/>
  <c r="C19" i="97"/>
  <c r="X18" i="97"/>
  <c r="S18" i="97"/>
  <c r="R18" i="97"/>
  <c r="P18" i="97"/>
  <c r="N18" i="97"/>
  <c r="G18" i="97"/>
  <c r="F18" i="97"/>
  <c r="E18" i="97"/>
  <c r="D18" i="97"/>
  <c r="AF16" i="97"/>
  <c r="AE16" i="97"/>
  <c r="AD16" i="97"/>
  <c r="AC16" i="97"/>
  <c r="AB16" i="97"/>
  <c r="AA16" i="97"/>
  <c r="Z16" i="97"/>
  <c r="Y16" i="97"/>
  <c r="X16" i="97"/>
  <c r="W16" i="97"/>
  <c r="V16" i="97"/>
  <c r="U16" i="97"/>
  <c r="T16" i="97"/>
  <c r="S16" i="97"/>
  <c r="R16" i="97"/>
  <c r="Q16" i="97"/>
  <c r="P16" i="97"/>
  <c r="O16" i="97"/>
  <c r="N16" i="97"/>
  <c r="M16" i="97"/>
  <c r="L16" i="97"/>
  <c r="K16" i="97"/>
  <c r="J16" i="97"/>
  <c r="I16" i="97"/>
  <c r="H16" i="97"/>
  <c r="AG16" i="97" s="1"/>
  <c r="G16" i="97"/>
  <c r="H15" i="97"/>
  <c r="F13" i="97"/>
  <c r="E13" i="97"/>
  <c r="D13" i="97"/>
  <c r="C13" i="97"/>
  <c r="AF12" i="97"/>
  <c r="AE12" i="97"/>
  <c r="AD12" i="97"/>
  <c r="AC12" i="97"/>
  <c r="AB12" i="97"/>
  <c r="AA12" i="97"/>
  <c r="Z12" i="97"/>
  <c r="Y12" i="97"/>
  <c r="X12" i="97"/>
  <c r="W12" i="97"/>
  <c r="V12" i="97"/>
  <c r="U12" i="97"/>
  <c r="T12" i="97"/>
  <c r="S12" i="97"/>
  <c r="R12" i="97"/>
  <c r="Q12" i="97"/>
  <c r="P12" i="97"/>
  <c r="O12" i="97"/>
  <c r="N12" i="97"/>
  <c r="M12" i="97"/>
  <c r="L12" i="97"/>
  <c r="K12" i="97"/>
  <c r="J12" i="97"/>
  <c r="I12" i="97"/>
  <c r="H12" i="97"/>
  <c r="G12" i="97"/>
  <c r="F12" i="97"/>
  <c r="F9" i="97" s="1"/>
  <c r="F17" i="97" s="1"/>
  <c r="E12" i="97"/>
  <c r="D12" i="97"/>
  <c r="C12" i="97"/>
  <c r="AF11" i="97"/>
  <c r="AE11" i="97"/>
  <c r="AD11" i="97"/>
  <c r="AC11" i="97"/>
  <c r="AB11" i="97"/>
  <c r="AA11" i="97"/>
  <c r="Z11" i="97"/>
  <c r="Y11" i="97"/>
  <c r="X11" i="97"/>
  <c r="W11" i="97"/>
  <c r="V11" i="97"/>
  <c r="U11" i="97"/>
  <c r="T11" i="97"/>
  <c r="S11" i="97"/>
  <c r="R11" i="97"/>
  <c r="Q11" i="97"/>
  <c r="P11" i="97"/>
  <c r="O11" i="97"/>
  <c r="N11" i="97"/>
  <c r="M11" i="97"/>
  <c r="L11" i="97"/>
  <c r="K11" i="97"/>
  <c r="J11" i="97"/>
  <c r="I11" i="97"/>
  <c r="H11" i="97"/>
  <c r="G11" i="97"/>
  <c r="F11" i="97"/>
  <c r="E11" i="97"/>
  <c r="E9" i="97" s="1"/>
  <c r="E17" i="97" s="1"/>
  <c r="D11" i="97"/>
  <c r="D9" i="97" s="1"/>
  <c r="D17" i="97" s="1"/>
  <c r="C11" i="97"/>
  <c r="AF10" i="97"/>
  <c r="AE10" i="97"/>
  <c r="AD10" i="97"/>
  <c r="AC10" i="97"/>
  <c r="AB10" i="97"/>
  <c r="AA10" i="97"/>
  <c r="Z10" i="97"/>
  <c r="Y10" i="97"/>
  <c r="X10" i="97"/>
  <c r="W10" i="97"/>
  <c r="V10" i="97"/>
  <c r="U10" i="97"/>
  <c r="T10" i="97"/>
  <c r="S10" i="97"/>
  <c r="R10" i="97"/>
  <c r="Q10" i="97"/>
  <c r="P10" i="97"/>
  <c r="O10" i="97"/>
  <c r="N10" i="97"/>
  <c r="M10" i="97"/>
  <c r="L10" i="97"/>
  <c r="K10" i="97"/>
  <c r="J10" i="97"/>
  <c r="J9" i="97" s="1"/>
  <c r="I10" i="97"/>
  <c r="H10" i="97"/>
  <c r="G10" i="97"/>
  <c r="F10" i="97"/>
  <c r="E10" i="97"/>
  <c r="D10" i="97"/>
  <c r="C10" i="97"/>
  <c r="H9" i="97"/>
  <c r="H14" i="97" s="1"/>
  <c r="C54" i="94"/>
  <c r="C53" i="94"/>
  <c r="C52" i="94" s="1"/>
  <c r="C51" i="94" a="1"/>
  <c r="C51" i="94" s="1"/>
  <c r="C50" i="94" a="1"/>
  <c r="D50" i="94" s="1"/>
  <c r="G50" i="94"/>
  <c r="H50" i="94"/>
  <c r="C49" i="94" a="1"/>
  <c r="E49" i="94" s="1"/>
  <c r="C49" i="94"/>
  <c r="AG46" i="94"/>
  <c r="AF66" i="94"/>
  <c r="C30" i="94"/>
  <c r="AF28" i="94"/>
  <c r="AE28" i="94"/>
  <c r="AD28" i="94"/>
  <c r="AC28" i="94"/>
  <c r="AB28" i="94"/>
  <c r="AA28" i="94"/>
  <c r="Z28" i="94"/>
  <c r="Y28" i="94"/>
  <c r="X28" i="94"/>
  <c r="W28" i="94"/>
  <c r="V28" i="94"/>
  <c r="U28" i="94"/>
  <c r="T28" i="94"/>
  <c r="S28" i="94"/>
  <c r="R28" i="94"/>
  <c r="Q28" i="94"/>
  <c r="P28" i="94"/>
  <c r="O28" i="94"/>
  <c r="N28" i="94"/>
  <c r="M28" i="94"/>
  <c r="L28" i="94"/>
  <c r="K28" i="94"/>
  <c r="J28" i="94"/>
  <c r="I28" i="94"/>
  <c r="H28" i="94"/>
  <c r="G28" i="94"/>
  <c r="F28" i="94"/>
  <c r="E28" i="94"/>
  <c r="D28" i="94"/>
  <c r="AF25" i="94"/>
  <c r="AE25" i="94"/>
  <c r="AD25" i="94"/>
  <c r="AC25" i="94"/>
  <c r="AB25" i="94"/>
  <c r="AA25" i="94"/>
  <c r="Z25" i="94"/>
  <c r="Y25" i="94"/>
  <c r="X25" i="94"/>
  <c r="W25" i="94"/>
  <c r="V25" i="94"/>
  <c r="U25" i="94"/>
  <c r="T25" i="94"/>
  <c r="S25" i="94"/>
  <c r="R25" i="94"/>
  <c r="Q25" i="94"/>
  <c r="P25" i="94"/>
  <c r="O25" i="94"/>
  <c r="N25" i="94"/>
  <c r="M25" i="94"/>
  <c r="L25" i="94"/>
  <c r="K25" i="94"/>
  <c r="J25" i="94"/>
  <c r="I25" i="94"/>
  <c r="H25" i="94"/>
  <c r="G25" i="94"/>
  <c r="F25" i="94"/>
  <c r="E25" i="94"/>
  <c r="D25" i="94"/>
  <c r="C25" i="94"/>
  <c r="AF24" i="94"/>
  <c r="AE24" i="94"/>
  <c r="AD24" i="94"/>
  <c r="AC24" i="94"/>
  <c r="AB24" i="94"/>
  <c r="AA24" i="94"/>
  <c r="Z24" i="94"/>
  <c r="Y24" i="94"/>
  <c r="X24" i="94"/>
  <c r="W24" i="94"/>
  <c r="V24" i="94"/>
  <c r="U24" i="94"/>
  <c r="T24" i="94"/>
  <c r="S24" i="94"/>
  <c r="R24" i="94"/>
  <c r="Q24" i="94"/>
  <c r="P24" i="94"/>
  <c r="O24" i="94"/>
  <c r="N24" i="94"/>
  <c r="M24" i="94"/>
  <c r="L24" i="94"/>
  <c r="K24" i="94"/>
  <c r="J24" i="94"/>
  <c r="I24" i="94"/>
  <c r="H24" i="94"/>
  <c r="G24" i="94"/>
  <c r="F24" i="94"/>
  <c r="E24" i="94"/>
  <c r="D24" i="94"/>
  <c r="C24" i="94"/>
  <c r="AF23" i="94"/>
  <c r="AE23" i="94"/>
  <c r="AD23" i="94"/>
  <c r="AC23" i="94"/>
  <c r="AB23" i="94"/>
  <c r="AA23" i="94"/>
  <c r="Z23" i="94"/>
  <c r="Y23" i="94"/>
  <c r="X23" i="94"/>
  <c r="W23" i="94"/>
  <c r="V23" i="94"/>
  <c r="U23" i="94"/>
  <c r="T23" i="94"/>
  <c r="S23" i="94"/>
  <c r="R23" i="94"/>
  <c r="Q23" i="94"/>
  <c r="P23" i="94"/>
  <c r="O23" i="94"/>
  <c r="N23" i="94"/>
  <c r="M23" i="94"/>
  <c r="L23" i="94"/>
  <c r="K23" i="94"/>
  <c r="J23" i="94"/>
  <c r="I23" i="94"/>
  <c r="H23" i="94"/>
  <c r="G23" i="94"/>
  <c r="F23" i="94"/>
  <c r="E23" i="94"/>
  <c r="D23" i="94"/>
  <c r="C23" i="94"/>
  <c r="AF20" i="94"/>
  <c r="AE20" i="94"/>
  <c r="AD20" i="94"/>
  <c r="AD18" i="94" s="1"/>
  <c r="AC20" i="94"/>
  <c r="AB20" i="94"/>
  <c r="AA20" i="94"/>
  <c r="Z20" i="94"/>
  <c r="Y20" i="94"/>
  <c r="X20" i="94"/>
  <c r="W20" i="94"/>
  <c r="V20" i="94"/>
  <c r="U20" i="94"/>
  <c r="T20" i="94"/>
  <c r="S20" i="94"/>
  <c r="R20" i="94"/>
  <c r="Q20" i="94"/>
  <c r="P20" i="94"/>
  <c r="O20" i="94"/>
  <c r="N20" i="94"/>
  <c r="M20" i="94"/>
  <c r="L20" i="94"/>
  <c r="K20" i="94"/>
  <c r="J20" i="94"/>
  <c r="I20" i="94"/>
  <c r="H20" i="94"/>
  <c r="G20" i="94"/>
  <c r="F20" i="94"/>
  <c r="E20" i="94"/>
  <c r="D20" i="94"/>
  <c r="C20" i="94"/>
  <c r="AF19" i="94"/>
  <c r="AE19" i="94"/>
  <c r="AD19" i="94"/>
  <c r="AC19" i="94"/>
  <c r="AB19" i="94"/>
  <c r="AA19" i="94"/>
  <c r="Z19" i="94"/>
  <c r="Y19" i="94"/>
  <c r="Y18" i="94" s="1"/>
  <c r="X19" i="94"/>
  <c r="W19" i="94"/>
  <c r="V19" i="94"/>
  <c r="V18" i="94" s="1"/>
  <c r="U19" i="94"/>
  <c r="U18" i="94" s="1"/>
  <c r="T19" i="94"/>
  <c r="T18" i="94" s="1"/>
  <c r="S19" i="94"/>
  <c r="R19" i="94"/>
  <c r="Q19" i="94"/>
  <c r="P19" i="94"/>
  <c r="O19" i="94"/>
  <c r="N19" i="94"/>
  <c r="N18" i="94" s="1"/>
  <c r="M19" i="94"/>
  <c r="M18" i="94" s="1"/>
  <c r="L19" i="94"/>
  <c r="K19" i="94"/>
  <c r="J19" i="94"/>
  <c r="J18" i="94" s="1"/>
  <c r="I19" i="94"/>
  <c r="I18" i="94" s="1"/>
  <c r="H19" i="94"/>
  <c r="G19" i="94"/>
  <c r="F19" i="94"/>
  <c r="E19" i="94"/>
  <c r="D19" i="94"/>
  <c r="D18" i="94" s="1"/>
  <c r="C19" i="94"/>
  <c r="AA18" i="94"/>
  <c r="Z18" i="94"/>
  <c r="R18" i="94"/>
  <c r="Q18" i="94"/>
  <c r="O18" i="94"/>
  <c r="H18" i="94"/>
  <c r="C18" i="94"/>
  <c r="AF16" i="94"/>
  <c r="AE16" i="94"/>
  <c r="AD16" i="94"/>
  <c r="AC16" i="94"/>
  <c r="AB16" i="94"/>
  <c r="AA16" i="94"/>
  <c r="Z16" i="94"/>
  <c r="Y16" i="94"/>
  <c r="X16" i="94"/>
  <c r="W16" i="94"/>
  <c r="V16" i="94"/>
  <c r="U16" i="94"/>
  <c r="T16" i="94"/>
  <c r="S16" i="94"/>
  <c r="R16" i="94"/>
  <c r="Q16" i="94"/>
  <c r="P16" i="94"/>
  <c r="O16" i="94"/>
  <c r="N16" i="94"/>
  <c r="M16" i="94"/>
  <c r="L16" i="94"/>
  <c r="K16" i="94"/>
  <c r="J16" i="94"/>
  <c r="I16" i="94"/>
  <c r="H16" i="94"/>
  <c r="G16" i="94"/>
  <c r="F13" i="94"/>
  <c r="E13" i="94"/>
  <c r="D13" i="94"/>
  <c r="C13" i="94"/>
  <c r="J12" i="94"/>
  <c r="I12" i="94"/>
  <c r="H12" i="94"/>
  <c r="G12" i="94"/>
  <c r="F12" i="94"/>
  <c r="E12" i="94"/>
  <c r="D12" i="94"/>
  <c r="C12" i="94"/>
  <c r="J11" i="94"/>
  <c r="I11" i="94"/>
  <c r="H11" i="94"/>
  <c r="G11" i="94"/>
  <c r="F11" i="94"/>
  <c r="F9" i="94" s="1"/>
  <c r="F17" i="94" s="1"/>
  <c r="E11" i="94"/>
  <c r="E9" i="94" s="1"/>
  <c r="E17" i="94" s="1"/>
  <c r="D11" i="94"/>
  <c r="C11" i="94"/>
  <c r="C9" i="94" s="1"/>
  <c r="J10" i="94"/>
  <c r="I10" i="94"/>
  <c r="I9" i="94" s="1"/>
  <c r="H10" i="94"/>
  <c r="G10" i="94"/>
  <c r="G9" i="94" s="1"/>
  <c r="G15" i="94" s="1"/>
  <c r="F10" i="94"/>
  <c r="E10" i="94"/>
  <c r="D10" i="94"/>
  <c r="C10" i="94"/>
  <c r="S3" i="93"/>
  <c r="AJ2" i="47"/>
  <c r="L33" i="93"/>
  <c r="L32" i="93"/>
  <c r="L31" i="93"/>
  <c r="L30" i="93"/>
  <c r="L29" i="93"/>
  <c r="L28" i="93"/>
  <c r="L27" i="93"/>
  <c r="L26" i="93"/>
  <c r="L25" i="93"/>
  <c r="L24" i="93"/>
  <c r="L23" i="93"/>
  <c r="L22" i="93"/>
  <c r="L21" i="93"/>
  <c r="L20" i="93"/>
  <c r="L19" i="93"/>
  <c r="L18" i="93"/>
  <c r="L17" i="93"/>
  <c r="L16" i="93"/>
  <c r="L15" i="93"/>
  <c r="L14" i="93"/>
  <c r="L13" i="93"/>
  <c r="L12" i="93"/>
  <c r="L11" i="93"/>
  <c r="D11" i="93"/>
  <c r="C11" i="93"/>
  <c r="E11" i="93" s="1"/>
  <c r="F11" i="93" s="1"/>
  <c r="F14" i="93" s="1"/>
  <c r="B11" i="93"/>
  <c r="L10" i="93"/>
  <c r="E10" i="93"/>
  <c r="F10" i="93" s="1"/>
  <c r="L9" i="93"/>
  <c r="E9" i="93"/>
  <c r="F9" i="93" s="1"/>
  <c r="L8" i="93"/>
  <c r="E8" i="93"/>
  <c r="F8" i="93" s="1"/>
  <c r="L7" i="93"/>
  <c r="E7" i="93"/>
  <c r="F7" i="93" s="1"/>
  <c r="L6" i="93"/>
  <c r="E6" i="93"/>
  <c r="F6" i="93" s="1"/>
  <c r="L5" i="93"/>
  <c r="E5" i="93"/>
  <c r="F5" i="93" s="1"/>
  <c r="L4" i="93"/>
  <c r="E4" i="93"/>
  <c r="F4" i="93" s="1"/>
  <c r="C10" i="91"/>
  <c r="S41" i="91"/>
  <c r="D90" i="66"/>
  <c r="D89" i="66"/>
  <c r="D88" i="66"/>
  <c r="D87" i="66"/>
  <c r="D86" i="66"/>
  <c r="D84" i="66"/>
  <c r="D76" i="66"/>
  <c r="D73" i="66"/>
  <c r="D72" i="66"/>
  <c r="D71" i="66"/>
  <c r="D66" i="66"/>
  <c r="D65" i="66"/>
  <c r="D63" i="66"/>
  <c r="D62" i="66"/>
  <c r="D61" i="66"/>
  <c r="D58" i="66"/>
  <c r="D57" i="66"/>
  <c r="D56" i="66"/>
  <c r="D54" i="66"/>
  <c r="D51" i="66"/>
  <c r="D46" i="66"/>
  <c r="D47" i="66"/>
  <c r="D45" i="66"/>
  <c r="D43" i="66"/>
  <c r="D42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13" i="66"/>
  <c r="D14" i="66"/>
  <c r="D15" i="66"/>
  <c r="D16" i="66"/>
  <c r="D17" i="66"/>
  <c r="D18" i="66"/>
  <c r="D19" i="66"/>
  <c r="D20" i="66"/>
  <c r="D21" i="66"/>
  <c r="D22" i="66"/>
  <c r="D23" i="66"/>
  <c r="D12" i="66"/>
  <c r="D6" i="66"/>
  <c r="D7" i="66"/>
  <c r="D8" i="66"/>
  <c r="D9" i="66"/>
  <c r="D7" i="56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6" i="56"/>
  <c r="C13" i="83"/>
  <c r="C12" i="83"/>
  <c r="T3" i="57"/>
  <c r="U3" i="57"/>
  <c r="V3" i="57"/>
  <c r="S3" i="57"/>
  <c r="P3" i="57"/>
  <c r="Q3" i="57"/>
  <c r="R3" i="57"/>
  <c r="O3" i="57"/>
  <c r="M4" i="60"/>
  <c r="AH3" i="47"/>
  <c r="I51" i="105" l="1"/>
  <c r="D52" i="109"/>
  <c r="C52" i="109"/>
  <c r="H51" i="105"/>
  <c r="B49" i="109"/>
  <c r="B47" i="109" s="1"/>
  <c r="G50" i="105"/>
  <c r="G51" i="105"/>
  <c r="B52" i="109"/>
  <c r="B51" i="109" s="1"/>
  <c r="E52" i="109"/>
  <c r="J51" i="105"/>
  <c r="D27" i="108"/>
  <c r="D27" i="107"/>
  <c r="J15" i="135"/>
  <c r="J14" i="135"/>
  <c r="E51" i="86"/>
  <c r="E52" i="86" s="1"/>
  <c r="S9" i="104"/>
  <c r="G19" i="110"/>
  <c r="J25" i="110"/>
  <c r="I25" i="110"/>
  <c r="G20" i="110"/>
  <c r="H25" i="110"/>
  <c r="J20" i="110"/>
  <c r="J24" i="110"/>
  <c r="I20" i="110"/>
  <c r="I24" i="110"/>
  <c r="H20" i="110"/>
  <c r="H18" i="110" s="1"/>
  <c r="H24" i="110"/>
  <c r="J19" i="110"/>
  <c r="I19" i="110"/>
  <c r="H19" i="110"/>
  <c r="G24" i="110"/>
  <c r="G25" i="110"/>
  <c r="K116" i="87"/>
  <c r="N116" i="87" s="1"/>
  <c r="N97" i="87"/>
  <c r="N113" i="87"/>
  <c r="E17" i="110"/>
  <c r="E26" i="110" s="1"/>
  <c r="F9" i="110"/>
  <c r="F17" i="110" s="1"/>
  <c r="AG16" i="110"/>
  <c r="D21" i="110"/>
  <c r="D27" i="110" s="1"/>
  <c r="D45" i="110" s="1"/>
  <c r="E21" i="110"/>
  <c r="C48" i="110"/>
  <c r="U28" i="119"/>
  <c r="U29" i="119" s="1"/>
  <c r="U30" i="119" s="1"/>
  <c r="U31" i="119" s="1"/>
  <c r="U32" i="119" s="1"/>
  <c r="U33" i="119" s="1"/>
  <c r="U34" i="119" s="1"/>
  <c r="U35" i="119" s="1"/>
  <c r="U36" i="119" s="1"/>
  <c r="U37" i="119" s="1"/>
  <c r="U38" i="119" s="1"/>
  <c r="U39" i="119" s="1"/>
  <c r="V29" i="119"/>
  <c r="V30" i="119" s="1"/>
  <c r="V31" i="119" s="1"/>
  <c r="V32" i="119" s="1"/>
  <c r="V33" i="119" s="1"/>
  <c r="V34" i="119" s="1"/>
  <c r="V35" i="119" s="1"/>
  <c r="V36" i="119" s="1"/>
  <c r="V37" i="119" s="1"/>
  <c r="V38" i="119" s="1"/>
  <c r="V39" i="119" s="1"/>
  <c r="M4" i="119"/>
  <c r="P4" i="118"/>
  <c r="V4" i="118"/>
  <c r="AB4" i="118"/>
  <c r="J14" i="110"/>
  <c r="C37" i="88"/>
  <c r="I23" i="104"/>
  <c r="L36" i="88"/>
  <c r="B42" i="88" s="1"/>
  <c r="J36" i="88"/>
  <c r="E38" i="88"/>
  <c r="I36" i="88"/>
  <c r="L42" i="109"/>
  <c r="AB35" i="119"/>
  <c r="AB36" i="119" s="1"/>
  <c r="AB37" i="119" s="1"/>
  <c r="AB38" i="119" s="1"/>
  <c r="AB39" i="119" s="1"/>
  <c r="T4" i="119"/>
  <c r="S26" i="119"/>
  <c r="S27" i="119" s="1"/>
  <c r="S28" i="119" s="1"/>
  <c r="S29" i="119" s="1"/>
  <c r="S30" i="119" s="1"/>
  <c r="S31" i="119" s="1"/>
  <c r="S32" i="119" s="1"/>
  <c r="S33" i="119" s="1"/>
  <c r="S34" i="119" s="1"/>
  <c r="S35" i="119" s="1"/>
  <c r="S36" i="119" s="1"/>
  <c r="S37" i="119" s="1"/>
  <c r="S38" i="119" s="1"/>
  <c r="S39" i="119" s="1"/>
  <c r="AD4" i="119"/>
  <c r="R4" i="119"/>
  <c r="AG4" i="119"/>
  <c r="Y32" i="119"/>
  <c r="Y33" i="119" s="1"/>
  <c r="Y34" i="119" s="1"/>
  <c r="Y35" i="119" s="1"/>
  <c r="Y36" i="119" s="1"/>
  <c r="Y37" i="119" s="1"/>
  <c r="Y38" i="119" s="1"/>
  <c r="Y39" i="119" s="1"/>
  <c r="D33" i="129"/>
  <c r="AH70" i="129"/>
  <c r="D71" i="129"/>
  <c r="AA9" i="129"/>
  <c r="AA10" i="129"/>
  <c r="AB8" i="129"/>
  <c r="Z40" i="129"/>
  <c r="C364" i="129"/>
  <c r="C31" i="129"/>
  <c r="K50" i="102"/>
  <c r="AG50" i="102" s="1"/>
  <c r="L7" i="119"/>
  <c r="L19" i="119" s="1"/>
  <c r="L20" i="119" s="1"/>
  <c r="L21" i="119" s="1"/>
  <c r="L22" i="119" s="1"/>
  <c r="L23" i="119" s="1"/>
  <c r="L24" i="119" s="1"/>
  <c r="L25" i="119" s="1"/>
  <c r="L26" i="119" s="1"/>
  <c r="L27" i="119" s="1"/>
  <c r="L28" i="119" s="1"/>
  <c r="L29" i="119" s="1"/>
  <c r="L30" i="119" s="1"/>
  <c r="L31" i="119" s="1"/>
  <c r="L32" i="119" s="1"/>
  <c r="L33" i="119" s="1"/>
  <c r="L34" i="119" s="1"/>
  <c r="L35" i="119" s="1"/>
  <c r="L36" i="119" s="1"/>
  <c r="L37" i="119" s="1"/>
  <c r="L38" i="119" s="1"/>
  <c r="L39" i="119" s="1"/>
  <c r="K50" i="101"/>
  <c r="AG50" i="101" s="1"/>
  <c r="H67" i="89"/>
  <c r="F44" i="109"/>
  <c r="AB44" i="109" s="1"/>
  <c r="F48" i="109"/>
  <c r="M7" i="118"/>
  <c r="AH7" i="118" s="1"/>
  <c r="B7" i="118" s="1"/>
  <c r="G43" i="109"/>
  <c r="G42" i="109" s="1"/>
  <c r="N108" i="87"/>
  <c r="P9" i="104"/>
  <c r="P14" i="104" s="1"/>
  <c r="AB9" i="104"/>
  <c r="Q9" i="104"/>
  <c r="Q15" i="104" s="1"/>
  <c r="AC9" i="104"/>
  <c r="AC14" i="104" s="1"/>
  <c r="Y32" i="120"/>
  <c r="Y33" i="120" s="1"/>
  <c r="Y34" i="120" s="1"/>
  <c r="Y35" i="120" s="1"/>
  <c r="Y36" i="120" s="1"/>
  <c r="Y37" i="120" s="1"/>
  <c r="Y38" i="120" s="1"/>
  <c r="Y39" i="120" s="1"/>
  <c r="S26" i="120"/>
  <c r="S27" i="120" s="1"/>
  <c r="S28" i="120" s="1"/>
  <c r="S29" i="120" s="1"/>
  <c r="S30" i="120" s="1"/>
  <c r="S31" i="120" s="1"/>
  <c r="S32" i="120" s="1"/>
  <c r="S33" i="120" s="1"/>
  <c r="S34" i="120" s="1"/>
  <c r="S35" i="120" s="1"/>
  <c r="S36" i="120" s="1"/>
  <c r="S37" i="120" s="1"/>
  <c r="S38" i="120" s="1"/>
  <c r="S39" i="120" s="1"/>
  <c r="J23" i="104"/>
  <c r="J21" i="104" s="1"/>
  <c r="AA4" i="120"/>
  <c r="G23" i="110"/>
  <c r="I23" i="103"/>
  <c r="D32" i="109"/>
  <c r="X4" i="120"/>
  <c r="X31" i="120"/>
  <c r="X32" i="120" s="1"/>
  <c r="X33" i="120" s="1"/>
  <c r="X34" i="120" s="1"/>
  <c r="X35" i="120" s="1"/>
  <c r="X36" i="120" s="1"/>
  <c r="X37" i="120" s="1"/>
  <c r="X38" i="120" s="1"/>
  <c r="X39" i="120" s="1"/>
  <c r="B36" i="88"/>
  <c r="F36" i="88"/>
  <c r="V36" i="88"/>
  <c r="B48" i="88" s="1"/>
  <c r="G36" i="88"/>
  <c r="W36" i="88"/>
  <c r="C48" i="88" s="1"/>
  <c r="H36" i="88"/>
  <c r="X36" i="88"/>
  <c r="D48" i="88" s="1"/>
  <c r="S36" i="88"/>
  <c r="I42" i="88" s="1"/>
  <c r="U36" i="88"/>
  <c r="K42" i="88" s="1"/>
  <c r="T36" i="88"/>
  <c r="J42" i="88" s="1"/>
  <c r="W4" i="120"/>
  <c r="W30" i="120"/>
  <c r="W31" i="120" s="1"/>
  <c r="W32" i="120" s="1"/>
  <c r="W33" i="120" s="1"/>
  <c r="W34" i="120" s="1"/>
  <c r="W35" i="120" s="1"/>
  <c r="W36" i="120" s="1"/>
  <c r="W37" i="120" s="1"/>
  <c r="W38" i="120" s="1"/>
  <c r="W39" i="120" s="1"/>
  <c r="G31" i="88"/>
  <c r="L4" i="120"/>
  <c r="J23" i="103"/>
  <c r="J21" i="103" s="1"/>
  <c r="Y36" i="88"/>
  <c r="E48" i="88" s="1"/>
  <c r="R36" i="88"/>
  <c r="H42" i="88" s="1"/>
  <c r="M36" i="88"/>
  <c r="C42" i="88" s="1"/>
  <c r="O42" i="109"/>
  <c r="Z42" i="109"/>
  <c r="N42" i="109"/>
  <c r="E40" i="121"/>
  <c r="U188" i="121"/>
  <c r="U177" i="121"/>
  <c r="U178" i="121" s="1"/>
  <c r="U179" i="121" s="1"/>
  <c r="U180" i="121" s="1"/>
  <c r="U181" i="121" s="1"/>
  <c r="U182" i="121" s="1"/>
  <c r="U183" i="121" s="1"/>
  <c r="U184" i="121" s="1"/>
  <c r="U185" i="121" s="1"/>
  <c r="U186" i="121" s="1"/>
  <c r="U187" i="121" s="1"/>
  <c r="AH187" i="121" s="1"/>
  <c r="F9" i="121"/>
  <c r="F40" i="121" s="1"/>
  <c r="O77" i="121"/>
  <c r="O60" i="121"/>
  <c r="O61" i="121" s="1"/>
  <c r="O62" i="121" s="1"/>
  <c r="O63" i="121" s="1"/>
  <c r="O64" i="121" s="1"/>
  <c r="O65" i="121" s="1"/>
  <c r="O66" i="121" s="1"/>
  <c r="O67" i="121" s="1"/>
  <c r="O68" i="121" s="1"/>
  <c r="O69" i="121" s="1"/>
  <c r="O70" i="121" s="1"/>
  <c r="O71" i="121" s="1"/>
  <c r="O72" i="121" s="1"/>
  <c r="O73" i="121" s="1"/>
  <c r="O74" i="121" s="1"/>
  <c r="O75" i="121" s="1"/>
  <c r="O76" i="121" s="1"/>
  <c r="Z77" i="121"/>
  <c r="X253" i="121"/>
  <c r="X254" i="121" s="1"/>
  <c r="X255" i="121" s="1"/>
  <c r="X256" i="121" s="1"/>
  <c r="X257" i="121" s="1"/>
  <c r="X258" i="121" s="1"/>
  <c r="AH258" i="121" s="1"/>
  <c r="X261" i="121"/>
  <c r="R114" i="121"/>
  <c r="R100" i="121"/>
  <c r="R101" i="121" s="1"/>
  <c r="R102" i="121" s="1"/>
  <c r="R103" i="121" s="1"/>
  <c r="R104" i="121" s="1"/>
  <c r="R105" i="121" s="1"/>
  <c r="R106" i="121" s="1"/>
  <c r="R107" i="121" s="1"/>
  <c r="R108" i="121" s="1"/>
  <c r="R109" i="121" s="1"/>
  <c r="R110" i="121" s="1"/>
  <c r="R111" i="121" s="1"/>
  <c r="R112" i="121" s="1"/>
  <c r="R113" i="121" s="1"/>
  <c r="E46" i="121"/>
  <c r="AH46" i="121" s="1"/>
  <c r="AH77" i="121" s="1"/>
  <c r="F45" i="121"/>
  <c r="G45" i="121" s="1"/>
  <c r="H45" i="121" s="1"/>
  <c r="I45" i="121" s="1"/>
  <c r="J45" i="121" s="1"/>
  <c r="K45" i="121" s="1"/>
  <c r="L45" i="121" s="1"/>
  <c r="M45" i="121" s="1"/>
  <c r="N45" i="121" s="1"/>
  <c r="O45" i="121" s="1"/>
  <c r="P45" i="121" s="1"/>
  <c r="Q45" i="121" s="1"/>
  <c r="R45" i="121" s="1"/>
  <c r="S45" i="121" s="1"/>
  <c r="T45" i="121" s="1"/>
  <c r="U45" i="121" s="1"/>
  <c r="V45" i="121" s="1"/>
  <c r="W45" i="121" s="1"/>
  <c r="X45" i="121" s="1"/>
  <c r="Y45" i="121" s="1"/>
  <c r="Z45" i="121" s="1"/>
  <c r="AA45" i="121" s="1"/>
  <c r="AB45" i="121" s="1"/>
  <c r="AC45" i="121" s="1"/>
  <c r="AD45" i="121" s="1"/>
  <c r="AE45" i="121" s="1"/>
  <c r="AF45" i="121" s="1"/>
  <c r="AG45" i="121" s="1"/>
  <c r="R63" i="121"/>
  <c r="R64" i="121" s="1"/>
  <c r="R65" i="121" s="1"/>
  <c r="R66" i="121" s="1"/>
  <c r="R67" i="121" s="1"/>
  <c r="R68" i="121" s="1"/>
  <c r="R69" i="121" s="1"/>
  <c r="R70" i="121" s="1"/>
  <c r="R71" i="121" s="1"/>
  <c r="R72" i="121" s="1"/>
  <c r="R73" i="121" s="1"/>
  <c r="R74" i="121" s="1"/>
  <c r="R75" i="121" s="1"/>
  <c r="R76" i="121" s="1"/>
  <c r="R77" i="121"/>
  <c r="AB73" i="121"/>
  <c r="AB74" i="121" s="1"/>
  <c r="AB75" i="121" s="1"/>
  <c r="AB76" i="121" s="1"/>
  <c r="AB77" i="121"/>
  <c r="AH200" i="121"/>
  <c r="D201" i="121"/>
  <c r="D88" i="121"/>
  <c r="AH87" i="121"/>
  <c r="E50" i="121"/>
  <c r="E51" i="121" s="1"/>
  <c r="E52" i="121" s="1"/>
  <c r="E53" i="121" s="1"/>
  <c r="E54" i="121" s="1"/>
  <c r="E55" i="121" s="1"/>
  <c r="E56" i="121" s="1"/>
  <c r="E57" i="121" s="1"/>
  <c r="E58" i="121" s="1"/>
  <c r="E59" i="121" s="1"/>
  <c r="E60" i="121" s="1"/>
  <c r="E61" i="121" s="1"/>
  <c r="E62" i="121" s="1"/>
  <c r="E63" i="121" s="1"/>
  <c r="E64" i="121" s="1"/>
  <c r="E65" i="121" s="1"/>
  <c r="E66" i="121" s="1"/>
  <c r="E67" i="121" s="1"/>
  <c r="E68" i="121" s="1"/>
  <c r="E69" i="121" s="1"/>
  <c r="E70" i="121" s="1"/>
  <c r="E71" i="121" s="1"/>
  <c r="E72" i="121" s="1"/>
  <c r="E73" i="121" s="1"/>
  <c r="AH73" i="121" s="1"/>
  <c r="E77" i="121"/>
  <c r="W188" i="121"/>
  <c r="W179" i="121"/>
  <c r="W180" i="121" s="1"/>
  <c r="W181" i="121" s="1"/>
  <c r="W182" i="121" s="1"/>
  <c r="W183" i="121" s="1"/>
  <c r="W184" i="121" s="1"/>
  <c r="W185" i="121" s="1"/>
  <c r="W186" i="121" s="1"/>
  <c r="W187" i="121" s="1"/>
  <c r="G8" i="121"/>
  <c r="AH86" i="121"/>
  <c r="X69" i="121"/>
  <c r="X70" i="121" s="1"/>
  <c r="X71" i="121" s="1"/>
  <c r="X72" i="121" s="1"/>
  <c r="X73" i="121" s="1"/>
  <c r="X74" i="121" s="1"/>
  <c r="X75" i="121" s="1"/>
  <c r="X76" i="121" s="1"/>
  <c r="X77" i="121"/>
  <c r="E12" i="121"/>
  <c r="E13" i="121" s="1"/>
  <c r="E14" i="121" s="1"/>
  <c r="E15" i="121" s="1"/>
  <c r="E16" i="121" s="1"/>
  <c r="E17" i="121" s="1"/>
  <c r="E18" i="121" s="1"/>
  <c r="E19" i="121" s="1"/>
  <c r="E20" i="121" s="1"/>
  <c r="E21" i="121" s="1"/>
  <c r="E22" i="121" s="1"/>
  <c r="E23" i="121" s="1"/>
  <c r="E24" i="121" s="1"/>
  <c r="E25" i="121" s="1"/>
  <c r="E26" i="121" s="1"/>
  <c r="E27" i="121" s="1"/>
  <c r="E28" i="121" s="1"/>
  <c r="E29" i="121" s="1"/>
  <c r="E30" i="121" s="1"/>
  <c r="E31" i="121" s="1"/>
  <c r="E32" i="121" s="1"/>
  <c r="E33" i="121" s="1"/>
  <c r="E34" i="121" s="1"/>
  <c r="E35" i="121" s="1"/>
  <c r="E36" i="121" s="1"/>
  <c r="E37" i="121" s="1"/>
  <c r="E38" i="121" s="1"/>
  <c r="E39" i="121" s="1"/>
  <c r="W114" i="121"/>
  <c r="K151" i="121"/>
  <c r="K130" i="121"/>
  <c r="K131" i="121" s="1"/>
  <c r="K132" i="121" s="1"/>
  <c r="K133" i="121" s="1"/>
  <c r="K134" i="121" s="1"/>
  <c r="K135" i="121" s="1"/>
  <c r="K136" i="121" s="1"/>
  <c r="K137" i="121" s="1"/>
  <c r="K138" i="121" s="1"/>
  <c r="K139" i="121" s="1"/>
  <c r="K140" i="121" s="1"/>
  <c r="K141" i="121" s="1"/>
  <c r="K142" i="121" s="1"/>
  <c r="K143" i="121" s="1"/>
  <c r="AH143" i="121" s="1"/>
  <c r="AH11" i="121"/>
  <c r="D12" i="121"/>
  <c r="AE113" i="121"/>
  <c r="N77" i="121"/>
  <c r="N59" i="121"/>
  <c r="N60" i="121" s="1"/>
  <c r="N61" i="121" s="1"/>
  <c r="N62" i="121" s="1"/>
  <c r="N63" i="121" s="1"/>
  <c r="N64" i="121" s="1"/>
  <c r="N65" i="121" s="1"/>
  <c r="N66" i="121" s="1"/>
  <c r="N67" i="121" s="1"/>
  <c r="N68" i="121" s="1"/>
  <c r="N69" i="121" s="1"/>
  <c r="N70" i="121" s="1"/>
  <c r="N71" i="121" s="1"/>
  <c r="N72" i="121" s="1"/>
  <c r="N73" i="121" s="1"/>
  <c r="N74" i="121" s="1"/>
  <c r="N75" i="121" s="1"/>
  <c r="N76" i="121" s="1"/>
  <c r="Y114" i="121"/>
  <c r="C11" i="121"/>
  <c r="AH123" i="121"/>
  <c r="E188" i="121"/>
  <c r="E161" i="121"/>
  <c r="E162" i="121" s="1"/>
  <c r="E163" i="121" s="1"/>
  <c r="E164" i="121" s="1"/>
  <c r="E165" i="121" s="1"/>
  <c r="E166" i="121" s="1"/>
  <c r="E167" i="121" s="1"/>
  <c r="E168" i="121" s="1"/>
  <c r="E169" i="121" s="1"/>
  <c r="E170" i="121" s="1"/>
  <c r="E171" i="121" s="1"/>
  <c r="AH171" i="121" s="1"/>
  <c r="K56" i="121"/>
  <c r="K57" i="121" s="1"/>
  <c r="K58" i="121" s="1"/>
  <c r="K59" i="121" s="1"/>
  <c r="K60" i="121" s="1"/>
  <c r="K61" i="121" s="1"/>
  <c r="K62" i="121" s="1"/>
  <c r="K63" i="121" s="1"/>
  <c r="K64" i="121" s="1"/>
  <c r="K65" i="121" s="1"/>
  <c r="K66" i="121" s="1"/>
  <c r="K67" i="121" s="1"/>
  <c r="K68" i="121" s="1"/>
  <c r="K69" i="121" s="1"/>
  <c r="K70" i="121" s="1"/>
  <c r="K71" i="121" s="1"/>
  <c r="K72" i="121" s="1"/>
  <c r="K73" i="121" s="1"/>
  <c r="K74" i="121" s="1"/>
  <c r="K75" i="121" s="1"/>
  <c r="K76" i="121" s="1"/>
  <c r="AH114" i="121"/>
  <c r="D50" i="121"/>
  <c r="AH49" i="121"/>
  <c r="R188" i="121"/>
  <c r="D310" i="121"/>
  <c r="AH310" i="121" s="1"/>
  <c r="AH309" i="121"/>
  <c r="P261" i="121"/>
  <c r="P245" i="121"/>
  <c r="P246" i="121" s="1"/>
  <c r="P247" i="121" s="1"/>
  <c r="P248" i="121" s="1"/>
  <c r="P249" i="121" s="1"/>
  <c r="P250" i="121" s="1"/>
  <c r="AH250" i="121" s="1"/>
  <c r="K114" i="121"/>
  <c r="K93" i="121"/>
  <c r="K94" i="121" s="1"/>
  <c r="K95" i="121" s="1"/>
  <c r="K96" i="121" s="1"/>
  <c r="K97" i="121" s="1"/>
  <c r="K98" i="121" s="1"/>
  <c r="K99" i="121" s="1"/>
  <c r="K100" i="121" s="1"/>
  <c r="K101" i="121" s="1"/>
  <c r="K102" i="121" s="1"/>
  <c r="K103" i="121" s="1"/>
  <c r="K104" i="121" s="1"/>
  <c r="K105" i="121" s="1"/>
  <c r="K106" i="121" s="1"/>
  <c r="K107" i="121" s="1"/>
  <c r="K108" i="121" s="1"/>
  <c r="K109" i="121" s="1"/>
  <c r="K110" i="121" s="1"/>
  <c r="K111" i="121" s="1"/>
  <c r="AH111" i="121" s="1"/>
  <c r="H127" i="121"/>
  <c r="H128" i="121" s="1"/>
  <c r="H129" i="121" s="1"/>
  <c r="H130" i="121" s="1"/>
  <c r="H131" i="121" s="1"/>
  <c r="H132" i="121" s="1"/>
  <c r="H133" i="121" s="1"/>
  <c r="H134" i="121" s="1"/>
  <c r="H135" i="121" s="1"/>
  <c r="H136" i="121" s="1"/>
  <c r="H137" i="121" s="1"/>
  <c r="H138" i="121" s="1"/>
  <c r="H139" i="121" s="1"/>
  <c r="H140" i="121" s="1"/>
  <c r="AH140" i="121" s="1"/>
  <c r="H151" i="121"/>
  <c r="AB184" i="121"/>
  <c r="AB185" i="121" s="1"/>
  <c r="AB186" i="121" s="1"/>
  <c r="AB187" i="121" s="1"/>
  <c r="AB188" i="121"/>
  <c r="F261" i="121"/>
  <c r="F235" i="121"/>
  <c r="F236" i="121" s="1"/>
  <c r="F237" i="121" s="1"/>
  <c r="F238" i="121" s="1"/>
  <c r="F239" i="121" s="1"/>
  <c r="F240" i="121" s="1"/>
  <c r="AH240" i="121" s="1"/>
  <c r="Q246" i="121"/>
  <c r="Q247" i="121" s="1"/>
  <c r="Q248" i="121" s="1"/>
  <c r="Q249" i="121" s="1"/>
  <c r="Q250" i="121" s="1"/>
  <c r="Q251" i="121" s="1"/>
  <c r="AH251" i="121" s="1"/>
  <c r="Q261" i="121"/>
  <c r="I77" i="121"/>
  <c r="I54" i="121"/>
  <c r="I55" i="121" s="1"/>
  <c r="I56" i="121" s="1"/>
  <c r="I57" i="121" s="1"/>
  <c r="I58" i="121" s="1"/>
  <c r="I59" i="121" s="1"/>
  <c r="I60" i="121" s="1"/>
  <c r="I61" i="121" s="1"/>
  <c r="I62" i="121" s="1"/>
  <c r="I63" i="121" s="1"/>
  <c r="I64" i="121" s="1"/>
  <c r="I65" i="121" s="1"/>
  <c r="I66" i="121" s="1"/>
  <c r="I67" i="121" s="1"/>
  <c r="I68" i="121" s="1"/>
  <c r="I69" i="121" s="1"/>
  <c r="I70" i="121" s="1"/>
  <c r="I71" i="121" s="1"/>
  <c r="I72" i="121" s="1"/>
  <c r="I73" i="121" s="1"/>
  <c r="I74" i="121" s="1"/>
  <c r="I75" i="121" s="1"/>
  <c r="I76" i="121" s="1"/>
  <c r="T65" i="121"/>
  <c r="T66" i="121" s="1"/>
  <c r="T67" i="121" s="1"/>
  <c r="T68" i="121" s="1"/>
  <c r="T69" i="121" s="1"/>
  <c r="T70" i="121" s="1"/>
  <c r="T71" i="121" s="1"/>
  <c r="T72" i="121" s="1"/>
  <c r="T73" i="121" s="1"/>
  <c r="T74" i="121" s="1"/>
  <c r="T75" i="121" s="1"/>
  <c r="T76" i="121" s="1"/>
  <c r="D125" i="121"/>
  <c r="AH124" i="121"/>
  <c r="AB151" i="121"/>
  <c r="AB147" i="121"/>
  <c r="AB148" i="121" s="1"/>
  <c r="AB149" i="121" s="1"/>
  <c r="AB150" i="121" s="1"/>
  <c r="D160" i="121"/>
  <c r="D188" i="121"/>
  <c r="U77" i="121"/>
  <c r="U66" i="121"/>
  <c r="U67" i="121" s="1"/>
  <c r="U68" i="121" s="1"/>
  <c r="U69" i="121" s="1"/>
  <c r="U70" i="121" s="1"/>
  <c r="U71" i="121" s="1"/>
  <c r="U72" i="121" s="1"/>
  <c r="U73" i="121" s="1"/>
  <c r="U74" i="121" s="1"/>
  <c r="U75" i="121" s="1"/>
  <c r="U76" i="121" s="1"/>
  <c r="L151" i="121"/>
  <c r="L131" i="121"/>
  <c r="L132" i="121" s="1"/>
  <c r="L133" i="121" s="1"/>
  <c r="L134" i="121" s="1"/>
  <c r="L135" i="121" s="1"/>
  <c r="L136" i="121" s="1"/>
  <c r="L137" i="121" s="1"/>
  <c r="L138" i="121" s="1"/>
  <c r="L139" i="121" s="1"/>
  <c r="L140" i="121" s="1"/>
  <c r="L141" i="121" s="1"/>
  <c r="L142" i="121" s="1"/>
  <c r="L143" i="121" s="1"/>
  <c r="L144" i="121" s="1"/>
  <c r="AH144" i="121" s="1"/>
  <c r="O188" i="121"/>
  <c r="O171" i="121"/>
  <c r="O172" i="121" s="1"/>
  <c r="O173" i="121" s="1"/>
  <c r="O174" i="121" s="1"/>
  <c r="O175" i="121" s="1"/>
  <c r="O176" i="121" s="1"/>
  <c r="O177" i="121" s="1"/>
  <c r="O178" i="121" s="1"/>
  <c r="O179" i="121" s="1"/>
  <c r="O180" i="121" s="1"/>
  <c r="O181" i="121" s="1"/>
  <c r="AH181" i="121" s="1"/>
  <c r="J114" i="121"/>
  <c r="P135" i="121"/>
  <c r="P136" i="121" s="1"/>
  <c r="P137" i="121" s="1"/>
  <c r="P138" i="121" s="1"/>
  <c r="P139" i="121" s="1"/>
  <c r="P140" i="121" s="1"/>
  <c r="P141" i="121" s="1"/>
  <c r="P142" i="121" s="1"/>
  <c r="P143" i="121" s="1"/>
  <c r="P144" i="121" s="1"/>
  <c r="P145" i="121" s="1"/>
  <c r="P146" i="121" s="1"/>
  <c r="P147" i="121" s="1"/>
  <c r="P148" i="121" s="1"/>
  <c r="AH148" i="121" s="1"/>
  <c r="P151" i="121"/>
  <c r="M242" i="121"/>
  <c r="M243" i="121" s="1"/>
  <c r="M244" i="121" s="1"/>
  <c r="M245" i="121" s="1"/>
  <c r="M246" i="121" s="1"/>
  <c r="M247" i="121" s="1"/>
  <c r="AH247" i="121" s="1"/>
  <c r="M261" i="121"/>
  <c r="AA294" i="121"/>
  <c r="AA295" i="121" s="1"/>
  <c r="AA296" i="121" s="1"/>
  <c r="AA297" i="121" s="1"/>
  <c r="AH297" i="121" s="1"/>
  <c r="M188" i="121"/>
  <c r="M169" i="121"/>
  <c r="M170" i="121" s="1"/>
  <c r="M171" i="121" s="1"/>
  <c r="M172" i="121" s="1"/>
  <c r="M173" i="121" s="1"/>
  <c r="M174" i="121" s="1"/>
  <c r="M175" i="121" s="1"/>
  <c r="M176" i="121" s="1"/>
  <c r="M177" i="121" s="1"/>
  <c r="M178" i="121" s="1"/>
  <c r="M179" i="121" s="1"/>
  <c r="AH179" i="121" s="1"/>
  <c r="Y188" i="121"/>
  <c r="Y181" i="121"/>
  <c r="Y182" i="121" s="1"/>
  <c r="Y183" i="121" s="1"/>
  <c r="Y184" i="121" s="1"/>
  <c r="Y185" i="121" s="1"/>
  <c r="Y186" i="121" s="1"/>
  <c r="Y187" i="121" s="1"/>
  <c r="Q210" i="121"/>
  <c r="Q211" i="121" s="1"/>
  <c r="Q212" i="121" s="1"/>
  <c r="Q213" i="121" s="1"/>
  <c r="Q214" i="121" s="1"/>
  <c r="Q215" i="121" s="1"/>
  <c r="Q216" i="121" s="1"/>
  <c r="Q217" i="121" s="1"/>
  <c r="Q218" i="121" s="1"/>
  <c r="AH218" i="121" s="1"/>
  <c r="Q225" i="121"/>
  <c r="AB295" i="121"/>
  <c r="AB296" i="121" s="1"/>
  <c r="AB297" i="121" s="1"/>
  <c r="AB298" i="121" s="1"/>
  <c r="AH298" i="121" s="1"/>
  <c r="AB299" i="121"/>
  <c r="AE150" i="121"/>
  <c r="AE151" i="121"/>
  <c r="V327" i="121"/>
  <c r="V328" i="121" s="1"/>
  <c r="AH328" i="121" s="1"/>
  <c r="V337" i="121"/>
  <c r="AA151" i="121"/>
  <c r="AA146" i="121"/>
  <c r="AA147" i="121" s="1"/>
  <c r="AA148" i="121" s="1"/>
  <c r="AA149" i="121" s="1"/>
  <c r="AA150" i="121" s="1"/>
  <c r="K225" i="121"/>
  <c r="K204" i="121"/>
  <c r="K205" i="121" s="1"/>
  <c r="K206" i="121" s="1"/>
  <c r="K207" i="121" s="1"/>
  <c r="K208" i="121" s="1"/>
  <c r="K209" i="121" s="1"/>
  <c r="K210" i="121" s="1"/>
  <c r="K211" i="121" s="1"/>
  <c r="K212" i="121" s="1"/>
  <c r="AH212" i="121" s="1"/>
  <c r="O97" i="121"/>
  <c r="O98" i="121" s="1"/>
  <c r="O99" i="121" s="1"/>
  <c r="O100" i="121" s="1"/>
  <c r="O101" i="121" s="1"/>
  <c r="O102" i="121" s="1"/>
  <c r="O103" i="121" s="1"/>
  <c r="O104" i="121" s="1"/>
  <c r="O105" i="121" s="1"/>
  <c r="O106" i="121" s="1"/>
  <c r="O107" i="121" s="1"/>
  <c r="O108" i="121" s="1"/>
  <c r="O109" i="121" s="1"/>
  <c r="O110" i="121" s="1"/>
  <c r="O111" i="121" s="1"/>
  <c r="O112" i="121" s="1"/>
  <c r="O113" i="121" s="1"/>
  <c r="AH151" i="121"/>
  <c r="L188" i="121"/>
  <c r="K316" i="121"/>
  <c r="K317" i="121" s="1"/>
  <c r="AH317" i="121" s="1"/>
  <c r="K337" i="121"/>
  <c r="Y330" i="121"/>
  <c r="Y331" i="121" s="1"/>
  <c r="AH331" i="121" s="1"/>
  <c r="Y337" i="121"/>
  <c r="AD151" i="121"/>
  <c r="AH225" i="121"/>
  <c r="AC258" i="121"/>
  <c r="AC259" i="121" s="1"/>
  <c r="AC260" i="121" s="1"/>
  <c r="AC261" i="121"/>
  <c r="O299" i="121"/>
  <c r="O282" i="121"/>
  <c r="O283" i="121" s="1"/>
  <c r="O284" i="121" s="1"/>
  <c r="O285" i="121" s="1"/>
  <c r="AH285" i="121" s="1"/>
  <c r="R137" i="121"/>
  <c r="R138" i="121" s="1"/>
  <c r="R139" i="121" s="1"/>
  <c r="R140" i="121" s="1"/>
  <c r="R141" i="121" s="1"/>
  <c r="R142" i="121" s="1"/>
  <c r="R143" i="121" s="1"/>
  <c r="R144" i="121" s="1"/>
  <c r="R145" i="121" s="1"/>
  <c r="R146" i="121" s="1"/>
  <c r="R147" i="121" s="1"/>
  <c r="R148" i="121" s="1"/>
  <c r="R149" i="121" s="1"/>
  <c r="R150" i="121" s="1"/>
  <c r="AH150" i="121" s="1"/>
  <c r="R151" i="121"/>
  <c r="I225" i="121"/>
  <c r="I202" i="121"/>
  <c r="I203" i="121" s="1"/>
  <c r="I204" i="121" s="1"/>
  <c r="I205" i="121" s="1"/>
  <c r="I206" i="121" s="1"/>
  <c r="I207" i="121" s="1"/>
  <c r="I208" i="121" s="1"/>
  <c r="I209" i="121" s="1"/>
  <c r="I210" i="121" s="1"/>
  <c r="AH210" i="121" s="1"/>
  <c r="U250" i="121"/>
  <c r="U251" i="121" s="1"/>
  <c r="U252" i="121" s="1"/>
  <c r="U253" i="121" s="1"/>
  <c r="U254" i="121" s="1"/>
  <c r="U255" i="121" s="1"/>
  <c r="AH255" i="121" s="1"/>
  <c r="U261" i="121"/>
  <c r="N188" i="121"/>
  <c r="N170" i="121"/>
  <c r="N171" i="121" s="1"/>
  <c r="N172" i="121" s="1"/>
  <c r="N173" i="121" s="1"/>
  <c r="N174" i="121" s="1"/>
  <c r="N175" i="121" s="1"/>
  <c r="N176" i="121" s="1"/>
  <c r="N177" i="121" s="1"/>
  <c r="N178" i="121" s="1"/>
  <c r="N179" i="121" s="1"/>
  <c r="N180" i="121" s="1"/>
  <c r="AH180" i="121" s="1"/>
  <c r="AH261" i="121"/>
  <c r="V299" i="121"/>
  <c r="V289" i="121"/>
  <c r="V290" i="121" s="1"/>
  <c r="V291" i="121" s="1"/>
  <c r="V292" i="121" s="1"/>
  <c r="AH292" i="121" s="1"/>
  <c r="M114" i="121"/>
  <c r="D271" i="121"/>
  <c r="D299" i="121"/>
  <c r="AH270" i="121"/>
  <c r="AH299" i="121" s="1"/>
  <c r="AH188" i="121"/>
  <c r="AC188" i="121"/>
  <c r="AC185" i="121"/>
  <c r="AC186" i="121" s="1"/>
  <c r="AC187" i="121" s="1"/>
  <c r="L241" i="121"/>
  <c r="L242" i="121" s="1"/>
  <c r="L243" i="121" s="1"/>
  <c r="L244" i="121" s="1"/>
  <c r="L245" i="121" s="1"/>
  <c r="L246" i="121" s="1"/>
  <c r="AH246" i="121" s="1"/>
  <c r="L261" i="121"/>
  <c r="O337" i="121"/>
  <c r="O320" i="121"/>
  <c r="O321" i="121" s="1"/>
  <c r="AH321" i="121" s="1"/>
  <c r="F188" i="121"/>
  <c r="F162" i="121"/>
  <c r="F163" i="121" s="1"/>
  <c r="F164" i="121" s="1"/>
  <c r="F165" i="121" s="1"/>
  <c r="F166" i="121" s="1"/>
  <c r="F167" i="121" s="1"/>
  <c r="F168" i="121" s="1"/>
  <c r="F169" i="121" s="1"/>
  <c r="F170" i="121" s="1"/>
  <c r="F171" i="121" s="1"/>
  <c r="F172" i="121" s="1"/>
  <c r="AH172" i="121" s="1"/>
  <c r="AD188" i="121"/>
  <c r="P209" i="121"/>
  <c r="P210" i="121" s="1"/>
  <c r="P211" i="121" s="1"/>
  <c r="P212" i="121" s="1"/>
  <c r="P213" i="121" s="1"/>
  <c r="P214" i="121" s="1"/>
  <c r="P215" i="121" s="1"/>
  <c r="P216" i="121" s="1"/>
  <c r="P217" i="121" s="1"/>
  <c r="AH217" i="121" s="1"/>
  <c r="P225" i="121"/>
  <c r="J315" i="121"/>
  <c r="J316" i="121" s="1"/>
  <c r="AH316" i="121" s="1"/>
  <c r="X299" i="121"/>
  <c r="X291" i="121"/>
  <c r="X292" i="121" s="1"/>
  <c r="X293" i="121" s="1"/>
  <c r="X294" i="121" s="1"/>
  <c r="AH294" i="121" s="1"/>
  <c r="R323" i="121"/>
  <c r="R324" i="121" s="1"/>
  <c r="AH324" i="121" s="1"/>
  <c r="R337" i="121"/>
  <c r="AC299" i="121"/>
  <c r="F311" i="121"/>
  <c r="F312" i="121" s="1"/>
  <c r="AH312" i="121" s="1"/>
  <c r="F337" i="121"/>
  <c r="AD335" i="121"/>
  <c r="AD336" i="121" s="1"/>
  <c r="AH336" i="121" s="1"/>
  <c r="AD337" i="121"/>
  <c r="C343" i="121"/>
  <c r="D233" i="121"/>
  <c r="AH232" i="121"/>
  <c r="AE299" i="121"/>
  <c r="L299" i="121"/>
  <c r="L279" i="121"/>
  <c r="L280" i="121" s="1"/>
  <c r="L281" i="121" s="1"/>
  <c r="L282" i="121" s="1"/>
  <c r="AH282" i="121" s="1"/>
  <c r="W225" i="121"/>
  <c r="X217" i="121"/>
  <c r="X218" i="121" s="1"/>
  <c r="X219" i="121" s="1"/>
  <c r="X220" i="121" s="1"/>
  <c r="X221" i="121" s="1"/>
  <c r="X222" i="121" s="1"/>
  <c r="X223" i="121" s="1"/>
  <c r="X224" i="121" s="1"/>
  <c r="Y218" i="121"/>
  <c r="Y219" i="121" s="1"/>
  <c r="Y220" i="121" s="1"/>
  <c r="Y221" i="121" s="1"/>
  <c r="Y222" i="121" s="1"/>
  <c r="Y223" i="121" s="1"/>
  <c r="Y224" i="121" s="1"/>
  <c r="U4" i="120"/>
  <c r="D52" i="120"/>
  <c r="AH51" i="120"/>
  <c r="Y188" i="120"/>
  <c r="Y181" i="120"/>
  <c r="Y182" i="120" s="1"/>
  <c r="Y183" i="120" s="1"/>
  <c r="Y184" i="120" s="1"/>
  <c r="Y185" i="120" s="1"/>
  <c r="Y186" i="120" s="1"/>
  <c r="Y187" i="120" s="1"/>
  <c r="F4" i="120"/>
  <c r="H8" i="120"/>
  <c r="G9" i="120"/>
  <c r="H4" i="120"/>
  <c r="H15" i="120"/>
  <c r="H16" i="120" s="1"/>
  <c r="H17" i="120" s="1"/>
  <c r="H18" i="120" s="1"/>
  <c r="H19" i="120" s="1"/>
  <c r="H20" i="120" s="1"/>
  <c r="H21" i="120" s="1"/>
  <c r="H22" i="120" s="1"/>
  <c r="H23" i="120" s="1"/>
  <c r="H24" i="120" s="1"/>
  <c r="H25" i="120" s="1"/>
  <c r="H26" i="120" s="1"/>
  <c r="H27" i="120" s="1"/>
  <c r="H28" i="120" s="1"/>
  <c r="H29" i="120" s="1"/>
  <c r="H30" i="120" s="1"/>
  <c r="H31" i="120" s="1"/>
  <c r="H32" i="120" s="1"/>
  <c r="H33" i="120" s="1"/>
  <c r="H34" i="120" s="1"/>
  <c r="H35" i="120" s="1"/>
  <c r="H36" i="120" s="1"/>
  <c r="H37" i="120" s="1"/>
  <c r="H38" i="120" s="1"/>
  <c r="H39" i="120" s="1"/>
  <c r="AF4" i="120"/>
  <c r="AF39" i="120"/>
  <c r="G10" i="120"/>
  <c r="AG39" i="120"/>
  <c r="AC111" i="120"/>
  <c r="AC112" i="120" s="1"/>
  <c r="AC113" i="120" s="1"/>
  <c r="AC114" i="120"/>
  <c r="T27" i="120"/>
  <c r="T28" i="120" s="1"/>
  <c r="T29" i="120" s="1"/>
  <c r="T30" i="120" s="1"/>
  <c r="T31" i="120" s="1"/>
  <c r="T32" i="120" s="1"/>
  <c r="T33" i="120" s="1"/>
  <c r="T34" i="120" s="1"/>
  <c r="T35" i="120" s="1"/>
  <c r="T36" i="120" s="1"/>
  <c r="T37" i="120" s="1"/>
  <c r="T38" i="120" s="1"/>
  <c r="T39" i="120" s="1"/>
  <c r="F125" i="120"/>
  <c r="F126" i="120" s="1"/>
  <c r="F127" i="120" s="1"/>
  <c r="F128" i="120" s="1"/>
  <c r="F129" i="120" s="1"/>
  <c r="F130" i="120" s="1"/>
  <c r="F131" i="120" s="1"/>
  <c r="F132" i="120" s="1"/>
  <c r="F133" i="120" s="1"/>
  <c r="F134" i="120" s="1"/>
  <c r="F135" i="120" s="1"/>
  <c r="F136" i="120" s="1"/>
  <c r="F137" i="120" s="1"/>
  <c r="F138" i="120" s="1"/>
  <c r="AH138" i="120" s="1"/>
  <c r="F151" i="120"/>
  <c r="AC4" i="120"/>
  <c r="AC151" i="120"/>
  <c r="AC148" i="120"/>
  <c r="AC149" i="120" s="1"/>
  <c r="AC150" i="120" s="1"/>
  <c r="D197" i="120"/>
  <c r="D225" i="120"/>
  <c r="AH196" i="120"/>
  <c r="AH225" i="120" s="1"/>
  <c r="I202" i="120"/>
  <c r="I203" i="120" s="1"/>
  <c r="I204" i="120" s="1"/>
  <c r="I205" i="120" s="1"/>
  <c r="I206" i="120" s="1"/>
  <c r="I207" i="120" s="1"/>
  <c r="I208" i="120" s="1"/>
  <c r="I209" i="120" s="1"/>
  <c r="I210" i="120" s="1"/>
  <c r="AH210" i="120" s="1"/>
  <c r="I225" i="120"/>
  <c r="AH261" i="120"/>
  <c r="AD4" i="120"/>
  <c r="D4" i="120"/>
  <c r="AH4" i="120" s="1"/>
  <c r="B4" i="120" s="1"/>
  <c r="AB35" i="120"/>
  <c r="AB36" i="120" s="1"/>
  <c r="AB37" i="120" s="1"/>
  <c r="AB38" i="120" s="1"/>
  <c r="AB39" i="120" s="1"/>
  <c r="AB4" i="120"/>
  <c r="F40" i="120"/>
  <c r="D11" i="120"/>
  <c r="T65" i="120"/>
  <c r="T66" i="120" s="1"/>
  <c r="T67" i="120" s="1"/>
  <c r="T68" i="120" s="1"/>
  <c r="T69" i="120" s="1"/>
  <c r="T70" i="120" s="1"/>
  <c r="T71" i="120" s="1"/>
  <c r="T72" i="120" s="1"/>
  <c r="T73" i="120" s="1"/>
  <c r="T74" i="120" s="1"/>
  <c r="T75" i="120" s="1"/>
  <c r="T76" i="120" s="1"/>
  <c r="T77" i="120"/>
  <c r="Q24" i="120"/>
  <c r="Q25" i="120" s="1"/>
  <c r="Q26" i="120" s="1"/>
  <c r="Q27" i="120" s="1"/>
  <c r="Q28" i="120" s="1"/>
  <c r="Q29" i="120" s="1"/>
  <c r="Q30" i="120" s="1"/>
  <c r="Q31" i="120" s="1"/>
  <c r="Q32" i="120" s="1"/>
  <c r="Q33" i="120" s="1"/>
  <c r="Q34" i="120" s="1"/>
  <c r="Q35" i="120" s="1"/>
  <c r="Q36" i="120" s="1"/>
  <c r="Q37" i="120" s="1"/>
  <c r="Q38" i="120" s="1"/>
  <c r="Q39" i="120" s="1"/>
  <c r="Q4" i="120"/>
  <c r="D87" i="120"/>
  <c r="AH86" i="120"/>
  <c r="R25" i="120"/>
  <c r="R26" i="120" s="1"/>
  <c r="R27" i="120" s="1"/>
  <c r="R28" i="120" s="1"/>
  <c r="R29" i="120" s="1"/>
  <c r="R30" i="120" s="1"/>
  <c r="R31" i="120" s="1"/>
  <c r="R32" i="120" s="1"/>
  <c r="R33" i="120" s="1"/>
  <c r="R34" i="120" s="1"/>
  <c r="R35" i="120" s="1"/>
  <c r="R36" i="120" s="1"/>
  <c r="R37" i="120" s="1"/>
  <c r="R38" i="120" s="1"/>
  <c r="R39" i="120" s="1"/>
  <c r="R4" i="120"/>
  <c r="Y77" i="120"/>
  <c r="Y70" i="120"/>
  <c r="Y71" i="120" s="1"/>
  <c r="Y72" i="120" s="1"/>
  <c r="Y73" i="120" s="1"/>
  <c r="Y74" i="120" s="1"/>
  <c r="Y75" i="120" s="1"/>
  <c r="Y76" i="120" s="1"/>
  <c r="E114" i="120"/>
  <c r="E87" i="120"/>
  <c r="E88" i="120" s="1"/>
  <c r="E89" i="120" s="1"/>
  <c r="E90" i="120" s="1"/>
  <c r="E91" i="120" s="1"/>
  <c r="E92" i="120" s="1"/>
  <c r="E93" i="120" s="1"/>
  <c r="E94" i="120" s="1"/>
  <c r="E95" i="120" s="1"/>
  <c r="E96" i="120" s="1"/>
  <c r="E97" i="120" s="1"/>
  <c r="E98" i="120" s="1"/>
  <c r="E99" i="120" s="1"/>
  <c r="E100" i="120" s="1"/>
  <c r="E101" i="120" s="1"/>
  <c r="E102" i="120" s="1"/>
  <c r="E103" i="120" s="1"/>
  <c r="E104" i="120" s="1"/>
  <c r="E105" i="120" s="1"/>
  <c r="AH105" i="120" s="1"/>
  <c r="F162" i="120"/>
  <c r="F163" i="120" s="1"/>
  <c r="F164" i="120" s="1"/>
  <c r="F165" i="120" s="1"/>
  <c r="F166" i="120" s="1"/>
  <c r="F167" i="120" s="1"/>
  <c r="F168" i="120" s="1"/>
  <c r="F169" i="120" s="1"/>
  <c r="F170" i="120" s="1"/>
  <c r="F171" i="120" s="1"/>
  <c r="F172" i="120" s="1"/>
  <c r="AH172" i="120" s="1"/>
  <c r="F188" i="120"/>
  <c r="P4" i="120"/>
  <c r="AE38" i="120"/>
  <c r="AE39" i="120" s="1"/>
  <c r="AE4" i="120"/>
  <c r="S261" i="120"/>
  <c r="S248" i="120"/>
  <c r="S249" i="120" s="1"/>
  <c r="S250" i="120" s="1"/>
  <c r="S251" i="120" s="1"/>
  <c r="S252" i="120" s="1"/>
  <c r="S253" i="120" s="1"/>
  <c r="AH253" i="120" s="1"/>
  <c r="AB295" i="120"/>
  <c r="AB296" i="120" s="1"/>
  <c r="AB297" i="120" s="1"/>
  <c r="AB298" i="120" s="1"/>
  <c r="AH298" i="120" s="1"/>
  <c r="AB299" i="120"/>
  <c r="AC337" i="120"/>
  <c r="AC334" i="120"/>
  <c r="AC335" i="120" s="1"/>
  <c r="AH335" i="120" s="1"/>
  <c r="R63" i="120"/>
  <c r="R64" i="120" s="1"/>
  <c r="R65" i="120" s="1"/>
  <c r="R66" i="120" s="1"/>
  <c r="R67" i="120" s="1"/>
  <c r="R68" i="120" s="1"/>
  <c r="R69" i="120" s="1"/>
  <c r="R70" i="120" s="1"/>
  <c r="R71" i="120" s="1"/>
  <c r="R72" i="120" s="1"/>
  <c r="R73" i="120" s="1"/>
  <c r="R74" i="120" s="1"/>
  <c r="R75" i="120" s="1"/>
  <c r="R76" i="120" s="1"/>
  <c r="AA114" i="120"/>
  <c r="N133" i="120"/>
  <c r="N134" i="120" s="1"/>
  <c r="N135" i="120" s="1"/>
  <c r="N136" i="120" s="1"/>
  <c r="N137" i="120" s="1"/>
  <c r="N138" i="120" s="1"/>
  <c r="N139" i="120" s="1"/>
  <c r="N140" i="120" s="1"/>
  <c r="N141" i="120" s="1"/>
  <c r="N142" i="120" s="1"/>
  <c r="N143" i="120" s="1"/>
  <c r="N144" i="120" s="1"/>
  <c r="N145" i="120" s="1"/>
  <c r="N146" i="120" s="1"/>
  <c r="AH146" i="120" s="1"/>
  <c r="N151" i="120"/>
  <c r="J299" i="120"/>
  <c r="J277" i="120"/>
  <c r="J278" i="120" s="1"/>
  <c r="J279" i="120" s="1"/>
  <c r="J280" i="120" s="1"/>
  <c r="AH280" i="120" s="1"/>
  <c r="G52" i="120"/>
  <c r="G53" i="120" s="1"/>
  <c r="G54" i="120" s="1"/>
  <c r="G55" i="120" s="1"/>
  <c r="G56" i="120" s="1"/>
  <c r="G57" i="120" s="1"/>
  <c r="G58" i="120" s="1"/>
  <c r="G59" i="120" s="1"/>
  <c r="G60" i="120" s="1"/>
  <c r="G61" i="120" s="1"/>
  <c r="G62" i="120" s="1"/>
  <c r="G63" i="120" s="1"/>
  <c r="G64" i="120" s="1"/>
  <c r="G65" i="120" s="1"/>
  <c r="G66" i="120" s="1"/>
  <c r="G67" i="120" s="1"/>
  <c r="G68" i="120" s="1"/>
  <c r="G69" i="120" s="1"/>
  <c r="G70" i="120" s="1"/>
  <c r="G71" i="120" s="1"/>
  <c r="G72" i="120" s="1"/>
  <c r="G73" i="120" s="1"/>
  <c r="G74" i="120" s="1"/>
  <c r="G75" i="120" s="1"/>
  <c r="AH75" i="120" s="1"/>
  <c r="G77" i="120"/>
  <c r="J55" i="120"/>
  <c r="J56" i="120" s="1"/>
  <c r="J57" i="120" s="1"/>
  <c r="J58" i="120" s="1"/>
  <c r="J59" i="120" s="1"/>
  <c r="J60" i="120" s="1"/>
  <c r="J61" i="120" s="1"/>
  <c r="J62" i="120" s="1"/>
  <c r="J63" i="120" s="1"/>
  <c r="J64" i="120" s="1"/>
  <c r="J65" i="120" s="1"/>
  <c r="J66" i="120" s="1"/>
  <c r="J67" i="120" s="1"/>
  <c r="J68" i="120" s="1"/>
  <c r="J69" i="120" s="1"/>
  <c r="J70" i="120" s="1"/>
  <c r="J71" i="120" s="1"/>
  <c r="J72" i="120" s="1"/>
  <c r="J73" i="120" s="1"/>
  <c r="J74" i="120" s="1"/>
  <c r="J75" i="120" s="1"/>
  <c r="J76" i="120" s="1"/>
  <c r="D233" i="120"/>
  <c r="AH232" i="120"/>
  <c r="D261" i="120"/>
  <c r="O261" i="120"/>
  <c r="O244" i="120"/>
  <c r="O245" i="120" s="1"/>
  <c r="O246" i="120" s="1"/>
  <c r="O247" i="120" s="1"/>
  <c r="O248" i="120" s="1"/>
  <c r="O249" i="120" s="1"/>
  <c r="AH249" i="120" s="1"/>
  <c r="AH48" i="120"/>
  <c r="AH77" i="120" s="1"/>
  <c r="I77" i="120"/>
  <c r="I54" i="120"/>
  <c r="I55" i="120" s="1"/>
  <c r="I56" i="120" s="1"/>
  <c r="I57" i="120" s="1"/>
  <c r="I58" i="120" s="1"/>
  <c r="I59" i="120" s="1"/>
  <c r="I60" i="120" s="1"/>
  <c r="I61" i="120" s="1"/>
  <c r="I62" i="120" s="1"/>
  <c r="I63" i="120" s="1"/>
  <c r="I64" i="120" s="1"/>
  <c r="I65" i="120" s="1"/>
  <c r="I66" i="120" s="1"/>
  <c r="I67" i="120" s="1"/>
  <c r="I68" i="120" s="1"/>
  <c r="I69" i="120" s="1"/>
  <c r="I70" i="120" s="1"/>
  <c r="I71" i="120" s="1"/>
  <c r="I72" i="120" s="1"/>
  <c r="I73" i="120" s="1"/>
  <c r="I74" i="120" s="1"/>
  <c r="I75" i="120" s="1"/>
  <c r="I76" i="120" s="1"/>
  <c r="V114" i="120"/>
  <c r="V104" i="120"/>
  <c r="V105" i="120" s="1"/>
  <c r="V106" i="120" s="1"/>
  <c r="V107" i="120" s="1"/>
  <c r="V108" i="120" s="1"/>
  <c r="V109" i="120" s="1"/>
  <c r="V110" i="120" s="1"/>
  <c r="V111" i="120" s="1"/>
  <c r="V112" i="120" s="1"/>
  <c r="V113" i="120" s="1"/>
  <c r="D272" i="120"/>
  <c r="AH271" i="120"/>
  <c r="AE188" i="120"/>
  <c r="AE187" i="120"/>
  <c r="F225" i="120"/>
  <c r="F199" i="120"/>
  <c r="F200" i="120" s="1"/>
  <c r="F201" i="120" s="1"/>
  <c r="F202" i="120" s="1"/>
  <c r="F203" i="120" s="1"/>
  <c r="F204" i="120" s="1"/>
  <c r="F205" i="120" s="1"/>
  <c r="F206" i="120" s="1"/>
  <c r="F207" i="120" s="1"/>
  <c r="AH207" i="120" s="1"/>
  <c r="F261" i="120"/>
  <c r="F235" i="120"/>
  <c r="F236" i="120" s="1"/>
  <c r="F237" i="120" s="1"/>
  <c r="F238" i="120" s="1"/>
  <c r="F239" i="120" s="1"/>
  <c r="F240" i="120" s="1"/>
  <c r="AH240" i="120" s="1"/>
  <c r="E272" i="120"/>
  <c r="E273" i="120" s="1"/>
  <c r="E274" i="120" s="1"/>
  <c r="E275" i="120" s="1"/>
  <c r="AH275" i="120" s="1"/>
  <c r="E299" i="120"/>
  <c r="L299" i="120"/>
  <c r="L279" i="120"/>
  <c r="L280" i="120" s="1"/>
  <c r="L281" i="120" s="1"/>
  <c r="L282" i="120" s="1"/>
  <c r="AH282" i="120" s="1"/>
  <c r="Y330" i="120"/>
  <c r="Y331" i="120" s="1"/>
  <c r="AH331" i="120" s="1"/>
  <c r="Y337" i="120"/>
  <c r="O337" i="120"/>
  <c r="O320" i="120"/>
  <c r="O321" i="120" s="1"/>
  <c r="AH321" i="120" s="1"/>
  <c r="L241" i="120"/>
  <c r="L242" i="120" s="1"/>
  <c r="L243" i="120" s="1"/>
  <c r="L244" i="120" s="1"/>
  <c r="L245" i="120" s="1"/>
  <c r="L246" i="120" s="1"/>
  <c r="AH246" i="120" s="1"/>
  <c r="L261" i="120"/>
  <c r="P61" i="120"/>
  <c r="P62" i="120" s="1"/>
  <c r="P63" i="120" s="1"/>
  <c r="P64" i="120" s="1"/>
  <c r="P65" i="120" s="1"/>
  <c r="P66" i="120" s="1"/>
  <c r="P67" i="120" s="1"/>
  <c r="P68" i="120" s="1"/>
  <c r="P69" i="120" s="1"/>
  <c r="P70" i="120" s="1"/>
  <c r="P71" i="120" s="1"/>
  <c r="P72" i="120" s="1"/>
  <c r="P73" i="120" s="1"/>
  <c r="P74" i="120" s="1"/>
  <c r="P75" i="120" s="1"/>
  <c r="P76" i="120" s="1"/>
  <c r="P77" i="120"/>
  <c r="V77" i="120"/>
  <c r="Y114" i="120"/>
  <c r="Y107" i="120"/>
  <c r="Y108" i="120" s="1"/>
  <c r="Y109" i="120" s="1"/>
  <c r="Y110" i="120" s="1"/>
  <c r="Y111" i="120" s="1"/>
  <c r="Y112" i="120" s="1"/>
  <c r="Y113" i="120" s="1"/>
  <c r="J114" i="120"/>
  <c r="AA146" i="120"/>
  <c r="AA147" i="120" s="1"/>
  <c r="AA148" i="120" s="1"/>
  <c r="AA149" i="120" s="1"/>
  <c r="AA150" i="120" s="1"/>
  <c r="AA151" i="120"/>
  <c r="Q99" i="120"/>
  <c r="Q100" i="120" s="1"/>
  <c r="Q101" i="120" s="1"/>
  <c r="Q102" i="120" s="1"/>
  <c r="Q103" i="120" s="1"/>
  <c r="Q104" i="120" s="1"/>
  <c r="Q105" i="120" s="1"/>
  <c r="Q106" i="120" s="1"/>
  <c r="Q107" i="120" s="1"/>
  <c r="Q108" i="120" s="1"/>
  <c r="Q109" i="120" s="1"/>
  <c r="Q110" i="120" s="1"/>
  <c r="Q111" i="120" s="1"/>
  <c r="Q112" i="120" s="1"/>
  <c r="Q113" i="120" s="1"/>
  <c r="Q114" i="120"/>
  <c r="D161" i="120"/>
  <c r="AH160" i="120"/>
  <c r="R174" i="120"/>
  <c r="R175" i="120" s="1"/>
  <c r="R176" i="120" s="1"/>
  <c r="R177" i="120" s="1"/>
  <c r="R178" i="120" s="1"/>
  <c r="R179" i="120" s="1"/>
  <c r="R180" i="120" s="1"/>
  <c r="R181" i="120" s="1"/>
  <c r="R182" i="120" s="1"/>
  <c r="R183" i="120" s="1"/>
  <c r="R184" i="120" s="1"/>
  <c r="AH184" i="120" s="1"/>
  <c r="M242" i="120"/>
  <c r="M243" i="120" s="1"/>
  <c r="M244" i="120" s="1"/>
  <c r="M245" i="120" s="1"/>
  <c r="M246" i="120" s="1"/>
  <c r="M247" i="120" s="1"/>
  <c r="AH247" i="120" s="1"/>
  <c r="M261" i="120"/>
  <c r="J17" i="120"/>
  <c r="J18" i="120" s="1"/>
  <c r="J19" i="120" s="1"/>
  <c r="J20" i="120" s="1"/>
  <c r="J21" i="120" s="1"/>
  <c r="J22" i="120" s="1"/>
  <c r="J23" i="120" s="1"/>
  <c r="J24" i="120" s="1"/>
  <c r="J25" i="120" s="1"/>
  <c r="J26" i="120" s="1"/>
  <c r="J27" i="120" s="1"/>
  <c r="J28" i="120" s="1"/>
  <c r="J29" i="120" s="1"/>
  <c r="J30" i="120" s="1"/>
  <c r="J31" i="120" s="1"/>
  <c r="J32" i="120" s="1"/>
  <c r="J33" i="120" s="1"/>
  <c r="J34" i="120" s="1"/>
  <c r="J35" i="120" s="1"/>
  <c r="J36" i="120" s="1"/>
  <c r="J37" i="120" s="1"/>
  <c r="J38" i="120" s="1"/>
  <c r="J39" i="120" s="1"/>
  <c r="J4" i="120"/>
  <c r="V29" i="120"/>
  <c r="V30" i="120" s="1"/>
  <c r="V31" i="120" s="1"/>
  <c r="V32" i="120" s="1"/>
  <c r="V33" i="120" s="1"/>
  <c r="V34" i="120" s="1"/>
  <c r="V35" i="120" s="1"/>
  <c r="V36" i="120" s="1"/>
  <c r="V37" i="120" s="1"/>
  <c r="V38" i="120" s="1"/>
  <c r="V39" i="120" s="1"/>
  <c r="V4" i="120"/>
  <c r="AA72" i="120"/>
  <c r="AA73" i="120" s="1"/>
  <c r="AA74" i="120" s="1"/>
  <c r="AA75" i="120" s="1"/>
  <c r="AA76" i="120" s="1"/>
  <c r="AA77" i="120"/>
  <c r="V178" i="120"/>
  <c r="V179" i="120" s="1"/>
  <c r="V180" i="120" s="1"/>
  <c r="V181" i="120" s="1"/>
  <c r="V182" i="120" s="1"/>
  <c r="V183" i="120" s="1"/>
  <c r="V184" i="120" s="1"/>
  <c r="V185" i="120" s="1"/>
  <c r="V186" i="120" s="1"/>
  <c r="V187" i="120" s="1"/>
  <c r="V188" i="120"/>
  <c r="X299" i="120"/>
  <c r="X291" i="120"/>
  <c r="X292" i="120" s="1"/>
  <c r="X293" i="120" s="1"/>
  <c r="X294" i="120" s="1"/>
  <c r="AH294" i="120" s="1"/>
  <c r="C11" i="120"/>
  <c r="AE77" i="120"/>
  <c r="D151" i="120"/>
  <c r="D123" i="120"/>
  <c r="K151" i="120"/>
  <c r="H188" i="120"/>
  <c r="H164" i="120"/>
  <c r="H165" i="120" s="1"/>
  <c r="H166" i="120" s="1"/>
  <c r="H167" i="120" s="1"/>
  <c r="H168" i="120" s="1"/>
  <c r="H169" i="120" s="1"/>
  <c r="H170" i="120" s="1"/>
  <c r="H171" i="120" s="1"/>
  <c r="H172" i="120" s="1"/>
  <c r="H173" i="120" s="1"/>
  <c r="H174" i="120" s="1"/>
  <c r="AH174" i="120" s="1"/>
  <c r="J188" i="120"/>
  <c r="J166" i="120"/>
  <c r="J167" i="120" s="1"/>
  <c r="J168" i="120" s="1"/>
  <c r="J169" i="120" s="1"/>
  <c r="J170" i="120" s="1"/>
  <c r="J171" i="120" s="1"/>
  <c r="J172" i="120" s="1"/>
  <c r="J173" i="120" s="1"/>
  <c r="J174" i="120" s="1"/>
  <c r="J175" i="120" s="1"/>
  <c r="J176" i="120" s="1"/>
  <c r="AH176" i="120" s="1"/>
  <c r="AC258" i="120"/>
  <c r="AC259" i="120" s="1"/>
  <c r="AC260" i="120" s="1"/>
  <c r="AC261" i="120"/>
  <c r="I299" i="120"/>
  <c r="I276" i="120"/>
  <c r="I277" i="120" s="1"/>
  <c r="I278" i="120" s="1"/>
  <c r="I279" i="120" s="1"/>
  <c r="AH279" i="120" s="1"/>
  <c r="F311" i="120"/>
  <c r="F312" i="120" s="1"/>
  <c r="AH312" i="120" s="1"/>
  <c r="F337" i="120"/>
  <c r="W77" i="120"/>
  <c r="W68" i="120"/>
  <c r="W69" i="120" s="1"/>
  <c r="W70" i="120" s="1"/>
  <c r="W71" i="120" s="1"/>
  <c r="W72" i="120" s="1"/>
  <c r="W73" i="120" s="1"/>
  <c r="W74" i="120" s="1"/>
  <c r="W75" i="120" s="1"/>
  <c r="W76" i="120" s="1"/>
  <c r="AH114" i="120"/>
  <c r="H90" i="120"/>
  <c r="H91" i="120" s="1"/>
  <c r="H92" i="120" s="1"/>
  <c r="H93" i="120" s="1"/>
  <c r="H94" i="120" s="1"/>
  <c r="H95" i="120" s="1"/>
  <c r="H96" i="120" s="1"/>
  <c r="H97" i="120" s="1"/>
  <c r="H98" i="120" s="1"/>
  <c r="H99" i="120" s="1"/>
  <c r="H100" i="120" s="1"/>
  <c r="H101" i="120" s="1"/>
  <c r="H102" i="120" s="1"/>
  <c r="H103" i="120" s="1"/>
  <c r="H104" i="120" s="1"/>
  <c r="H105" i="120" s="1"/>
  <c r="H106" i="120" s="1"/>
  <c r="H107" i="120" s="1"/>
  <c r="H108" i="120" s="1"/>
  <c r="AH108" i="120" s="1"/>
  <c r="E10" i="120"/>
  <c r="X106" i="120"/>
  <c r="X107" i="120" s="1"/>
  <c r="X108" i="120" s="1"/>
  <c r="X109" i="120" s="1"/>
  <c r="X110" i="120" s="1"/>
  <c r="X111" i="120" s="1"/>
  <c r="X112" i="120" s="1"/>
  <c r="X113" i="120" s="1"/>
  <c r="X114" i="120"/>
  <c r="U151" i="120"/>
  <c r="U140" i="120"/>
  <c r="U141" i="120" s="1"/>
  <c r="U142" i="120" s="1"/>
  <c r="U143" i="120" s="1"/>
  <c r="U144" i="120" s="1"/>
  <c r="U145" i="120" s="1"/>
  <c r="U146" i="120" s="1"/>
  <c r="U147" i="120" s="1"/>
  <c r="U148" i="120" s="1"/>
  <c r="U149" i="120" s="1"/>
  <c r="U150" i="120" s="1"/>
  <c r="P245" i="120"/>
  <c r="P246" i="120" s="1"/>
  <c r="P247" i="120" s="1"/>
  <c r="P248" i="120" s="1"/>
  <c r="P249" i="120" s="1"/>
  <c r="P250" i="120" s="1"/>
  <c r="AH250" i="120" s="1"/>
  <c r="Q151" i="120"/>
  <c r="Q136" i="120"/>
  <c r="Q137" i="120" s="1"/>
  <c r="Q138" i="120" s="1"/>
  <c r="Q139" i="120" s="1"/>
  <c r="Q140" i="120" s="1"/>
  <c r="Q141" i="120" s="1"/>
  <c r="Q142" i="120" s="1"/>
  <c r="Q143" i="120" s="1"/>
  <c r="Q144" i="120" s="1"/>
  <c r="Q145" i="120" s="1"/>
  <c r="Q146" i="120" s="1"/>
  <c r="Q147" i="120" s="1"/>
  <c r="Q148" i="120" s="1"/>
  <c r="Q149" i="120" s="1"/>
  <c r="AH149" i="120" s="1"/>
  <c r="S188" i="120"/>
  <c r="S175" i="120"/>
  <c r="S176" i="120" s="1"/>
  <c r="S177" i="120" s="1"/>
  <c r="S178" i="120" s="1"/>
  <c r="S179" i="120" s="1"/>
  <c r="S180" i="120" s="1"/>
  <c r="S181" i="120" s="1"/>
  <c r="S182" i="120" s="1"/>
  <c r="S183" i="120" s="1"/>
  <c r="S184" i="120" s="1"/>
  <c r="S185" i="120" s="1"/>
  <c r="AH185" i="120" s="1"/>
  <c r="E261" i="120"/>
  <c r="E234" i="120"/>
  <c r="E235" i="120" s="1"/>
  <c r="E236" i="120" s="1"/>
  <c r="E237" i="120" s="1"/>
  <c r="E238" i="120" s="1"/>
  <c r="E239" i="120" s="1"/>
  <c r="AH239" i="120" s="1"/>
  <c r="Q284" i="120"/>
  <c r="Q285" i="120" s="1"/>
  <c r="Q286" i="120" s="1"/>
  <c r="Q287" i="120" s="1"/>
  <c r="AH287" i="120" s="1"/>
  <c r="Q299" i="120"/>
  <c r="Q246" i="120"/>
  <c r="Q247" i="120" s="1"/>
  <c r="Q248" i="120" s="1"/>
  <c r="Q249" i="120" s="1"/>
  <c r="Q250" i="120" s="1"/>
  <c r="Q251" i="120" s="1"/>
  <c r="AH251" i="120" s="1"/>
  <c r="Q261" i="120"/>
  <c r="M225" i="120"/>
  <c r="M206" i="120"/>
  <c r="M207" i="120" s="1"/>
  <c r="M208" i="120" s="1"/>
  <c r="M209" i="120" s="1"/>
  <c r="M210" i="120" s="1"/>
  <c r="M211" i="120" s="1"/>
  <c r="M212" i="120" s="1"/>
  <c r="M213" i="120" s="1"/>
  <c r="M214" i="120" s="1"/>
  <c r="AH214" i="120" s="1"/>
  <c r="O299" i="120"/>
  <c r="O282" i="120"/>
  <c r="O283" i="120" s="1"/>
  <c r="O284" i="120" s="1"/>
  <c r="O285" i="120" s="1"/>
  <c r="AH285" i="120" s="1"/>
  <c r="V299" i="120"/>
  <c r="V289" i="120"/>
  <c r="V290" i="120" s="1"/>
  <c r="V291" i="120" s="1"/>
  <c r="V292" i="120" s="1"/>
  <c r="AH292" i="120" s="1"/>
  <c r="AH337" i="120"/>
  <c r="Q337" i="120"/>
  <c r="Q322" i="120"/>
  <c r="Q323" i="120" s="1"/>
  <c r="AH323" i="120" s="1"/>
  <c r="Q173" i="120"/>
  <c r="Q174" i="120" s="1"/>
  <c r="Q175" i="120" s="1"/>
  <c r="Q176" i="120" s="1"/>
  <c r="Q177" i="120" s="1"/>
  <c r="Q178" i="120" s="1"/>
  <c r="Q179" i="120" s="1"/>
  <c r="Q180" i="120" s="1"/>
  <c r="Q181" i="120" s="1"/>
  <c r="Q182" i="120" s="1"/>
  <c r="Q183" i="120" s="1"/>
  <c r="AH183" i="120" s="1"/>
  <c r="Q188" i="120"/>
  <c r="AD335" i="120"/>
  <c r="AD336" i="120" s="1"/>
  <c r="AH336" i="120" s="1"/>
  <c r="AD337" i="120"/>
  <c r="M95" i="120"/>
  <c r="M96" i="120" s="1"/>
  <c r="M97" i="120" s="1"/>
  <c r="M98" i="120" s="1"/>
  <c r="M99" i="120" s="1"/>
  <c r="M100" i="120" s="1"/>
  <c r="M101" i="120" s="1"/>
  <c r="M102" i="120" s="1"/>
  <c r="M103" i="120" s="1"/>
  <c r="M104" i="120" s="1"/>
  <c r="M105" i="120" s="1"/>
  <c r="M106" i="120" s="1"/>
  <c r="M107" i="120" s="1"/>
  <c r="M108" i="120" s="1"/>
  <c r="M109" i="120" s="1"/>
  <c r="M110" i="120" s="1"/>
  <c r="M111" i="120" s="1"/>
  <c r="M112" i="120" s="1"/>
  <c r="M113" i="120" s="1"/>
  <c r="AH113" i="120" s="1"/>
  <c r="H337" i="120"/>
  <c r="H313" i="120"/>
  <c r="H314" i="120" s="1"/>
  <c r="AH314" i="120" s="1"/>
  <c r="M318" i="120"/>
  <c r="M319" i="120" s="1"/>
  <c r="AH319" i="120" s="1"/>
  <c r="M337" i="120"/>
  <c r="M169" i="120"/>
  <c r="M170" i="120" s="1"/>
  <c r="M171" i="120" s="1"/>
  <c r="M172" i="120" s="1"/>
  <c r="M173" i="120" s="1"/>
  <c r="M174" i="120" s="1"/>
  <c r="M175" i="120" s="1"/>
  <c r="M176" i="120" s="1"/>
  <c r="M177" i="120" s="1"/>
  <c r="M178" i="120" s="1"/>
  <c r="M179" i="120" s="1"/>
  <c r="AH179" i="120" s="1"/>
  <c r="Y261" i="120"/>
  <c r="N96" i="120"/>
  <c r="N97" i="120" s="1"/>
  <c r="N98" i="120" s="1"/>
  <c r="N99" i="120" s="1"/>
  <c r="N100" i="120" s="1"/>
  <c r="N101" i="120" s="1"/>
  <c r="N102" i="120" s="1"/>
  <c r="N103" i="120" s="1"/>
  <c r="N104" i="120" s="1"/>
  <c r="N105" i="120" s="1"/>
  <c r="N106" i="120" s="1"/>
  <c r="N107" i="120" s="1"/>
  <c r="N108" i="120" s="1"/>
  <c r="N109" i="120" s="1"/>
  <c r="N110" i="120" s="1"/>
  <c r="N111" i="120" s="1"/>
  <c r="N112" i="120" s="1"/>
  <c r="N113" i="120" s="1"/>
  <c r="AA256" i="120"/>
  <c r="AA257" i="120" s="1"/>
  <c r="AA258" i="120" s="1"/>
  <c r="AA259" i="120" s="1"/>
  <c r="AA260" i="120" s="1"/>
  <c r="R323" i="120"/>
  <c r="R324" i="120" s="1"/>
  <c r="AH324" i="120" s="1"/>
  <c r="R337" i="120"/>
  <c r="AE261" i="120"/>
  <c r="AE260" i="120"/>
  <c r="P283" i="120"/>
  <c r="P284" i="120" s="1"/>
  <c r="P285" i="120" s="1"/>
  <c r="P286" i="120" s="1"/>
  <c r="AH286" i="120" s="1"/>
  <c r="P299" i="120"/>
  <c r="AH299" i="120"/>
  <c r="AH309" i="120"/>
  <c r="AE299" i="120"/>
  <c r="C343" i="120"/>
  <c r="X217" i="120"/>
  <c r="X218" i="120" s="1"/>
  <c r="X219" i="120" s="1"/>
  <c r="X220" i="120" s="1"/>
  <c r="X221" i="120" s="1"/>
  <c r="X222" i="120" s="1"/>
  <c r="X223" i="120" s="1"/>
  <c r="X224" i="120" s="1"/>
  <c r="Y218" i="120"/>
  <c r="Y219" i="120" s="1"/>
  <c r="Y220" i="120" s="1"/>
  <c r="Y221" i="120" s="1"/>
  <c r="Y222" i="120" s="1"/>
  <c r="Y223" i="120" s="1"/>
  <c r="Y224" i="120" s="1"/>
  <c r="AE4" i="119"/>
  <c r="AF4" i="119"/>
  <c r="P23" i="119"/>
  <c r="P24" i="119" s="1"/>
  <c r="P25" i="119" s="1"/>
  <c r="P26" i="119" s="1"/>
  <c r="P27" i="119" s="1"/>
  <c r="P28" i="119" s="1"/>
  <c r="P29" i="119" s="1"/>
  <c r="P30" i="119" s="1"/>
  <c r="P31" i="119" s="1"/>
  <c r="P32" i="119" s="1"/>
  <c r="P33" i="119" s="1"/>
  <c r="P34" i="119" s="1"/>
  <c r="P35" i="119" s="1"/>
  <c r="P36" i="119" s="1"/>
  <c r="P37" i="119" s="1"/>
  <c r="P38" i="119" s="1"/>
  <c r="P39" i="119" s="1"/>
  <c r="AC4" i="119"/>
  <c r="D16" i="119"/>
  <c r="F8" i="119"/>
  <c r="C11" i="119"/>
  <c r="P98" i="119"/>
  <c r="P99" i="119" s="1"/>
  <c r="P100" i="119" s="1"/>
  <c r="P101" i="119" s="1"/>
  <c r="P102" i="119" s="1"/>
  <c r="P103" i="119" s="1"/>
  <c r="P104" i="119" s="1"/>
  <c r="P105" i="119" s="1"/>
  <c r="P106" i="119" s="1"/>
  <c r="P107" i="119" s="1"/>
  <c r="P108" i="119" s="1"/>
  <c r="P109" i="119" s="1"/>
  <c r="P110" i="119" s="1"/>
  <c r="P111" i="119" s="1"/>
  <c r="P112" i="119" s="1"/>
  <c r="P113" i="119" s="1"/>
  <c r="P114" i="119"/>
  <c r="AE188" i="119"/>
  <c r="AE187" i="119"/>
  <c r="Q188" i="119"/>
  <c r="Q173" i="119"/>
  <c r="Q174" i="119" s="1"/>
  <c r="Q175" i="119" s="1"/>
  <c r="Q176" i="119" s="1"/>
  <c r="Q177" i="119" s="1"/>
  <c r="Q178" i="119" s="1"/>
  <c r="Q179" i="119" s="1"/>
  <c r="Q180" i="119" s="1"/>
  <c r="Q181" i="119" s="1"/>
  <c r="Q182" i="119" s="1"/>
  <c r="Q183" i="119" s="1"/>
  <c r="AH183" i="119" s="1"/>
  <c r="D4" i="119"/>
  <c r="AH4" i="119" s="1"/>
  <c r="B4" i="119" s="1"/>
  <c r="E9" i="119"/>
  <c r="D10" i="119"/>
  <c r="AH11" i="119"/>
  <c r="Z33" i="119"/>
  <c r="Z34" i="119" s="1"/>
  <c r="Z35" i="119" s="1"/>
  <c r="Z36" i="119" s="1"/>
  <c r="Z37" i="119" s="1"/>
  <c r="Z38" i="119" s="1"/>
  <c r="Z39" i="119" s="1"/>
  <c r="W299" i="119"/>
  <c r="W290" i="119"/>
  <c r="W291" i="119" s="1"/>
  <c r="W292" i="119" s="1"/>
  <c r="W293" i="119" s="1"/>
  <c r="AH293" i="119" s="1"/>
  <c r="G114" i="119"/>
  <c r="G89" i="119"/>
  <c r="G90" i="119" s="1"/>
  <c r="G91" i="119" s="1"/>
  <c r="G92" i="119" s="1"/>
  <c r="G93" i="119" s="1"/>
  <c r="G94" i="119" s="1"/>
  <c r="G95" i="119" s="1"/>
  <c r="G96" i="119" s="1"/>
  <c r="G97" i="119" s="1"/>
  <c r="G98" i="119" s="1"/>
  <c r="G99" i="119" s="1"/>
  <c r="G100" i="119" s="1"/>
  <c r="G101" i="119" s="1"/>
  <c r="G102" i="119" s="1"/>
  <c r="G103" i="119" s="1"/>
  <c r="G104" i="119" s="1"/>
  <c r="G105" i="119" s="1"/>
  <c r="G106" i="119" s="1"/>
  <c r="G107" i="119" s="1"/>
  <c r="AH107" i="119" s="1"/>
  <c r="O22" i="119"/>
  <c r="O23" i="119" s="1"/>
  <c r="O24" i="119" s="1"/>
  <c r="O25" i="119" s="1"/>
  <c r="O26" i="119" s="1"/>
  <c r="O27" i="119" s="1"/>
  <c r="O28" i="119" s="1"/>
  <c r="O29" i="119" s="1"/>
  <c r="O30" i="119" s="1"/>
  <c r="O31" i="119" s="1"/>
  <c r="O32" i="119" s="1"/>
  <c r="O33" i="119" s="1"/>
  <c r="O34" i="119" s="1"/>
  <c r="O35" i="119" s="1"/>
  <c r="O36" i="119" s="1"/>
  <c r="O37" i="119" s="1"/>
  <c r="O38" i="119" s="1"/>
  <c r="O39" i="119" s="1"/>
  <c r="O4" i="119"/>
  <c r="AA34" i="119"/>
  <c r="AA35" i="119" s="1"/>
  <c r="AA36" i="119" s="1"/>
  <c r="AA37" i="119" s="1"/>
  <c r="AA38" i="119" s="1"/>
  <c r="AA39" i="119" s="1"/>
  <c r="AA4" i="119"/>
  <c r="N21" i="119"/>
  <c r="N22" i="119" s="1"/>
  <c r="N23" i="119" s="1"/>
  <c r="N24" i="119" s="1"/>
  <c r="N25" i="119" s="1"/>
  <c r="N26" i="119" s="1"/>
  <c r="N27" i="119" s="1"/>
  <c r="N28" i="119" s="1"/>
  <c r="N29" i="119" s="1"/>
  <c r="N30" i="119" s="1"/>
  <c r="N31" i="119" s="1"/>
  <c r="N32" i="119" s="1"/>
  <c r="N33" i="119" s="1"/>
  <c r="N34" i="119" s="1"/>
  <c r="N35" i="119" s="1"/>
  <c r="N36" i="119" s="1"/>
  <c r="N37" i="119" s="1"/>
  <c r="N38" i="119" s="1"/>
  <c r="N39" i="119" s="1"/>
  <c r="M58" i="119"/>
  <c r="M59" i="119" s="1"/>
  <c r="M60" i="119" s="1"/>
  <c r="M61" i="119" s="1"/>
  <c r="M62" i="119" s="1"/>
  <c r="M63" i="119" s="1"/>
  <c r="M64" i="119" s="1"/>
  <c r="M65" i="119" s="1"/>
  <c r="M66" i="119" s="1"/>
  <c r="M67" i="119" s="1"/>
  <c r="M68" i="119" s="1"/>
  <c r="M69" i="119" s="1"/>
  <c r="M70" i="119" s="1"/>
  <c r="M71" i="119" s="1"/>
  <c r="M72" i="119" s="1"/>
  <c r="M73" i="119" s="1"/>
  <c r="M74" i="119" s="1"/>
  <c r="M75" i="119" s="1"/>
  <c r="M76" i="119" s="1"/>
  <c r="AH122" i="119"/>
  <c r="AH151" i="119" s="1"/>
  <c r="L299" i="119"/>
  <c r="L279" i="119"/>
  <c r="L280" i="119" s="1"/>
  <c r="L281" i="119" s="1"/>
  <c r="L282" i="119" s="1"/>
  <c r="AH282" i="119" s="1"/>
  <c r="G126" i="119"/>
  <c r="G127" i="119" s="1"/>
  <c r="G128" i="119" s="1"/>
  <c r="G129" i="119" s="1"/>
  <c r="G130" i="119" s="1"/>
  <c r="G131" i="119" s="1"/>
  <c r="G132" i="119" s="1"/>
  <c r="G133" i="119" s="1"/>
  <c r="G134" i="119" s="1"/>
  <c r="G135" i="119" s="1"/>
  <c r="G136" i="119" s="1"/>
  <c r="G137" i="119" s="1"/>
  <c r="G138" i="119" s="1"/>
  <c r="G139" i="119" s="1"/>
  <c r="AH139" i="119" s="1"/>
  <c r="G151" i="119"/>
  <c r="K18" i="119"/>
  <c r="K19" i="119" s="1"/>
  <c r="K20" i="119" s="1"/>
  <c r="K21" i="119" s="1"/>
  <c r="K22" i="119" s="1"/>
  <c r="K23" i="119" s="1"/>
  <c r="K24" i="119" s="1"/>
  <c r="K25" i="119" s="1"/>
  <c r="K26" i="119" s="1"/>
  <c r="K27" i="119" s="1"/>
  <c r="K28" i="119" s="1"/>
  <c r="K29" i="119" s="1"/>
  <c r="K30" i="119" s="1"/>
  <c r="K31" i="119" s="1"/>
  <c r="K32" i="119" s="1"/>
  <c r="K33" i="119" s="1"/>
  <c r="K34" i="119" s="1"/>
  <c r="K35" i="119" s="1"/>
  <c r="K36" i="119" s="1"/>
  <c r="K37" i="119" s="1"/>
  <c r="K38" i="119" s="1"/>
  <c r="K39" i="119" s="1"/>
  <c r="Q151" i="119"/>
  <c r="H4" i="119"/>
  <c r="E12" i="119"/>
  <c r="H114" i="119"/>
  <c r="H90" i="119"/>
  <c r="H91" i="119" s="1"/>
  <c r="H92" i="119" s="1"/>
  <c r="H93" i="119" s="1"/>
  <c r="H94" i="119" s="1"/>
  <c r="H95" i="119" s="1"/>
  <c r="H96" i="119" s="1"/>
  <c r="H97" i="119" s="1"/>
  <c r="H98" i="119" s="1"/>
  <c r="H99" i="119" s="1"/>
  <c r="H100" i="119" s="1"/>
  <c r="H101" i="119" s="1"/>
  <c r="H102" i="119" s="1"/>
  <c r="H103" i="119" s="1"/>
  <c r="H104" i="119" s="1"/>
  <c r="H105" i="119" s="1"/>
  <c r="H106" i="119" s="1"/>
  <c r="H107" i="119" s="1"/>
  <c r="H108" i="119" s="1"/>
  <c r="AH108" i="119" s="1"/>
  <c r="W4" i="119"/>
  <c r="E50" i="119"/>
  <c r="E51" i="119" s="1"/>
  <c r="E52" i="119" s="1"/>
  <c r="E53" i="119" s="1"/>
  <c r="E54" i="119" s="1"/>
  <c r="E55" i="119" s="1"/>
  <c r="E56" i="119" s="1"/>
  <c r="E57" i="119" s="1"/>
  <c r="E58" i="119" s="1"/>
  <c r="E59" i="119" s="1"/>
  <c r="E60" i="119" s="1"/>
  <c r="E61" i="119" s="1"/>
  <c r="E62" i="119" s="1"/>
  <c r="E63" i="119" s="1"/>
  <c r="E64" i="119" s="1"/>
  <c r="E65" i="119" s="1"/>
  <c r="E66" i="119" s="1"/>
  <c r="E67" i="119" s="1"/>
  <c r="E68" i="119" s="1"/>
  <c r="E69" i="119" s="1"/>
  <c r="E70" i="119" s="1"/>
  <c r="E71" i="119" s="1"/>
  <c r="E72" i="119" s="1"/>
  <c r="E73" i="119" s="1"/>
  <c r="AH73" i="119" s="1"/>
  <c r="E77" i="119"/>
  <c r="D123" i="119"/>
  <c r="W151" i="119"/>
  <c r="W142" i="119"/>
  <c r="W143" i="119" s="1"/>
  <c r="W144" i="119" s="1"/>
  <c r="W145" i="119" s="1"/>
  <c r="W146" i="119" s="1"/>
  <c r="W147" i="119" s="1"/>
  <c r="W148" i="119" s="1"/>
  <c r="W149" i="119" s="1"/>
  <c r="W150" i="119" s="1"/>
  <c r="X4" i="119"/>
  <c r="Z71" i="119"/>
  <c r="Z72" i="119" s="1"/>
  <c r="Z73" i="119" s="1"/>
  <c r="Z74" i="119" s="1"/>
  <c r="Z75" i="119" s="1"/>
  <c r="Z76" i="119" s="1"/>
  <c r="Z77" i="119"/>
  <c r="M114" i="119"/>
  <c r="J151" i="119"/>
  <c r="J129" i="119"/>
  <c r="J130" i="119" s="1"/>
  <c r="J131" i="119" s="1"/>
  <c r="J132" i="119" s="1"/>
  <c r="J133" i="119" s="1"/>
  <c r="J134" i="119" s="1"/>
  <c r="J135" i="119" s="1"/>
  <c r="J136" i="119" s="1"/>
  <c r="J137" i="119" s="1"/>
  <c r="J138" i="119" s="1"/>
  <c r="J139" i="119" s="1"/>
  <c r="J140" i="119" s="1"/>
  <c r="J141" i="119" s="1"/>
  <c r="J142" i="119" s="1"/>
  <c r="AH142" i="119" s="1"/>
  <c r="D188" i="119"/>
  <c r="D160" i="119"/>
  <c r="AH159" i="119"/>
  <c r="AE150" i="119"/>
  <c r="AE151" i="119"/>
  <c r="AH114" i="119"/>
  <c r="J114" i="119"/>
  <c r="J92" i="119"/>
  <c r="J93" i="119" s="1"/>
  <c r="J94" i="119" s="1"/>
  <c r="J95" i="119" s="1"/>
  <c r="J96" i="119" s="1"/>
  <c r="J97" i="119" s="1"/>
  <c r="J98" i="119" s="1"/>
  <c r="J99" i="119" s="1"/>
  <c r="J100" i="119" s="1"/>
  <c r="J101" i="119" s="1"/>
  <c r="J102" i="119" s="1"/>
  <c r="J103" i="119" s="1"/>
  <c r="J104" i="119" s="1"/>
  <c r="J105" i="119" s="1"/>
  <c r="J106" i="119" s="1"/>
  <c r="J107" i="119" s="1"/>
  <c r="J108" i="119" s="1"/>
  <c r="J109" i="119" s="1"/>
  <c r="J110" i="119" s="1"/>
  <c r="AH110" i="119" s="1"/>
  <c r="Q24" i="119"/>
  <c r="Q25" i="119" s="1"/>
  <c r="Q26" i="119" s="1"/>
  <c r="Q27" i="119" s="1"/>
  <c r="Q28" i="119" s="1"/>
  <c r="Q29" i="119" s="1"/>
  <c r="Q30" i="119" s="1"/>
  <c r="Q31" i="119" s="1"/>
  <c r="Q32" i="119" s="1"/>
  <c r="Q33" i="119" s="1"/>
  <c r="Q34" i="119" s="1"/>
  <c r="Q35" i="119" s="1"/>
  <c r="Q36" i="119" s="1"/>
  <c r="Q37" i="119" s="1"/>
  <c r="Q38" i="119" s="1"/>
  <c r="Q39" i="119" s="1"/>
  <c r="F51" i="119"/>
  <c r="F52" i="119" s="1"/>
  <c r="F53" i="119" s="1"/>
  <c r="F54" i="119" s="1"/>
  <c r="F55" i="119" s="1"/>
  <c r="F56" i="119" s="1"/>
  <c r="F57" i="119" s="1"/>
  <c r="F58" i="119" s="1"/>
  <c r="F59" i="119" s="1"/>
  <c r="F60" i="119" s="1"/>
  <c r="F61" i="119" s="1"/>
  <c r="F62" i="119" s="1"/>
  <c r="F63" i="119" s="1"/>
  <c r="F64" i="119" s="1"/>
  <c r="F65" i="119" s="1"/>
  <c r="F66" i="119" s="1"/>
  <c r="F67" i="119" s="1"/>
  <c r="F68" i="119" s="1"/>
  <c r="F69" i="119" s="1"/>
  <c r="F70" i="119" s="1"/>
  <c r="F71" i="119" s="1"/>
  <c r="F72" i="119" s="1"/>
  <c r="F73" i="119" s="1"/>
  <c r="F74" i="119" s="1"/>
  <c r="AH74" i="119" s="1"/>
  <c r="L131" i="119"/>
  <c r="L132" i="119" s="1"/>
  <c r="L133" i="119" s="1"/>
  <c r="L134" i="119" s="1"/>
  <c r="L135" i="119" s="1"/>
  <c r="L136" i="119" s="1"/>
  <c r="L137" i="119" s="1"/>
  <c r="L138" i="119" s="1"/>
  <c r="L139" i="119" s="1"/>
  <c r="L140" i="119" s="1"/>
  <c r="L141" i="119" s="1"/>
  <c r="L142" i="119" s="1"/>
  <c r="L143" i="119" s="1"/>
  <c r="L144" i="119" s="1"/>
  <c r="AH144" i="119" s="1"/>
  <c r="L151" i="119"/>
  <c r="R211" i="119"/>
  <c r="R212" i="119" s="1"/>
  <c r="R213" i="119" s="1"/>
  <c r="R214" i="119" s="1"/>
  <c r="R215" i="119" s="1"/>
  <c r="R216" i="119" s="1"/>
  <c r="R217" i="119" s="1"/>
  <c r="R218" i="119" s="1"/>
  <c r="R219" i="119" s="1"/>
  <c r="AH219" i="119" s="1"/>
  <c r="R225" i="119"/>
  <c r="P245" i="119"/>
  <c r="P246" i="119" s="1"/>
  <c r="P247" i="119" s="1"/>
  <c r="P248" i="119" s="1"/>
  <c r="P249" i="119" s="1"/>
  <c r="P250" i="119" s="1"/>
  <c r="AH250" i="119" s="1"/>
  <c r="P261" i="119"/>
  <c r="L57" i="119"/>
  <c r="L58" i="119" s="1"/>
  <c r="L59" i="119" s="1"/>
  <c r="L60" i="119" s="1"/>
  <c r="L61" i="119" s="1"/>
  <c r="L62" i="119" s="1"/>
  <c r="L63" i="119" s="1"/>
  <c r="L64" i="119" s="1"/>
  <c r="L65" i="119" s="1"/>
  <c r="L66" i="119" s="1"/>
  <c r="L67" i="119" s="1"/>
  <c r="L68" i="119" s="1"/>
  <c r="L69" i="119" s="1"/>
  <c r="L70" i="119" s="1"/>
  <c r="L71" i="119" s="1"/>
  <c r="L72" i="119" s="1"/>
  <c r="L73" i="119" s="1"/>
  <c r="L74" i="119" s="1"/>
  <c r="L75" i="119" s="1"/>
  <c r="L76" i="119" s="1"/>
  <c r="D87" i="119"/>
  <c r="AH86" i="119"/>
  <c r="I91" i="119"/>
  <c r="I92" i="119" s="1"/>
  <c r="I93" i="119" s="1"/>
  <c r="I94" i="119" s="1"/>
  <c r="I95" i="119" s="1"/>
  <c r="I96" i="119" s="1"/>
  <c r="I97" i="119" s="1"/>
  <c r="I98" i="119" s="1"/>
  <c r="I99" i="119" s="1"/>
  <c r="I100" i="119" s="1"/>
  <c r="I101" i="119" s="1"/>
  <c r="I102" i="119" s="1"/>
  <c r="I103" i="119" s="1"/>
  <c r="I104" i="119" s="1"/>
  <c r="I105" i="119" s="1"/>
  <c r="I106" i="119" s="1"/>
  <c r="I107" i="119" s="1"/>
  <c r="I108" i="119" s="1"/>
  <c r="I109" i="119" s="1"/>
  <c r="AH109" i="119" s="1"/>
  <c r="N114" i="119"/>
  <c r="K261" i="119"/>
  <c r="K240" i="119"/>
  <c r="K241" i="119" s="1"/>
  <c r="K242" i="119" s="1"/>
  <c r="K243" i="119" s="1"/>
  <c r="K244" i="119" s="1"/>
  <c r="K245" i="119" s="1"/>
  <c r="AH245" i="119" s="1"/>
  <c r="X69" i="119"/>
  <c r="X70" i="119" s="1"/>
  <c r="X71" i="119" s="1"/>
  <c r="X72" i="119" s="1"/>
  <c r="X73" i="119" s="1"/>
  <c r="X74" i="119" s="1"/>
  <c r="X75" i="119" s="1"/>
  <c r="X76" i="119" s="1"/>
  <c r="S101" i="119"/>
  <c r="S102" i="119" s="1"/>
  <c r="S103" i="119" s="1"/>
  <c r="S104" i="119" s="1"/>
  <c r="S105" i="119" s="1"/>
  <c r="S106" i="119" s="1"/>
  <c r="S107" i="119" s="1"/>
  <c r="S108" i="119" s="1"/>
  <c r="S109" i="119" s="1"/>
  <c r="S110" i="119" s="1"/>
  <c r="S111" i="119" s="1"/>
  <c r="S112" i="119" s="1"/>
  <c r="S113" i="119" s="1"/>
  <c r="O134" i="119"/>
  <c r="O135" i="119" s="1"/>
  <c r="O136" i="119" s="1"/>
  <c r="O137" i="119" s="1"/>
  <c r="O138" i="119" s="1"/>
  <c r="O139" i="119" s="1"/>
  <c r="O140" i="119" s="1"/>
  <c r="O141" i="119" s="1"/>
  <c r="O142" i="119" s="1"/>
  <c r="O143" i="119" s="1"/>
  <c r="O144" i="119" s="1"/>
  <c r="O145" i="119" s="1"/>
  <c r="O146" i="119" s="1"/>
  <c r="O147" i="119" s="1"/>
  <c r="AH147" i="119" s="1"/>
  <c r="X151" i="119"/>
  <c r="D199" i="119"/>
  <c r="AH198" i="119"/>
  <c r="D49" i="119"/>
  <c r="D77" i="119"/>
  <c r="AH48" i="119"/>
  <c r="AH77" i="119" s="1"/>
  <c r="S77" i="119"/>
  <c r="S64" i="119"/>
  <c r="S65" i="119" s="1"/>
  <c r="S66" i="119" s="1"/>
  <c r="S67" i="119" s="1"/>
  <c r="S68" i="119" s="1"/>
  <c r="S69" i="119" s="1"/>
  <c r="S70" i="119" s="1"/>
  <c r="S71" i="119" s="1"/>
  <c r="S72" i="119" s="1"/>
  <c r="S73" i="119" s="1"/>
  <c r="S74" i="119" s="1"/>
  <c r="S75" i="119" s="1"/>
  <c r="S76" i="119" s="1"/>
  <c r="AD75" i="119"/>
  <c r="AD76" i="119" s="1"/>
  <c r="I77" i="119"/>
  <c r="Y77" i="119"/>
  <c r="E87" i="119"/>
  <c r="E88" i="119" s="1"/>
  <c r="E89" i="119" s="1"/>
  <c r="E90" i="119" s="1"/>
  <c r="E91" i="119" s="1"/>
  <c r="E92" i="119" s="1"/>
  <c r="E93" i="119" s="1"/>
  <c r="E94" i="119" s="1"/>
  <c r="E95" i="119" s="1"/>
  <c r="E96" i="119" s="1"/>
  <c r="E97" i="119" s="1"/>
  <c r="E98" i="119" s="1"/>
  <c r="E99" i="119" s="1"/>
  <c r="E100" i="119" s="1"/>
  <c r="E101" i="119" s="1"/>
  <c r="E102" i="119" s="1"/>
  <c r="E103" i="119" s="1"/>
  <c r="E104" i="119" s="1"/>
  <c r="E105" i="119" s="1"/>
  <c r="AH105" i="119" s="1"/>
  <c r="E114" i="119"/>
  <c r="AE113" i="119"/>
  <c r="F225" i="119"/>
  <c r="F199" i="119"/>
  <c r="F200" i="119" s="1"/>
  <c r="F201" i="119" s="1"/>
  <c r="F202" i="119" s="1"/>
  <c r="F203" i="119" s="1"/>
  <c r="F204" i="119" s="1"/>
  <c r="F205" i="119" s="1"/>
  <c r="F206" i="119" s="1"/>
  <c r="F207" i="119" s="1"/>
  <c r="AH207" i="119" s="1"/>
  <c r="R100" i="119"/>
  <c r="R101" i="119" s="1"/>
  <c r="R102" i="119" s="1"/>
  <c r="R103" i="119" s="1"/>
  <c r="R104" i="119" s="1"/>
  <c r="R105" i="119" s="1"/>
  <c r="R106" i="119" s="1"/>
  <c r="R107" i="119" s="1"/>
  <c r="R108" i="119" s="1"/>
  <c r="R109" i="119" s="1"/>
  <c r="R110" i="119" s="1"/>
  <c r="R111" i="119" s="1"/>
  <c r="R112" i="119" s="1"/>
  <c r="R113" i="119" s="1"/>
  <c r="R114" i="119"/>
  <c r="R137" i="119"/>
  <c r="R138" i="119" s="1"/>
  <c r="R139" i="119" s="1"/>
  <c r="R140" i="119" s="1"/>
  <c r="R141" i="119" s="1"/>
  <c r="R142" i="119" s="1"/>
  <c r="R143" i="119" s="1"/>
  <c r="R144" i="119" s="1"/>
  <c r="R145" i="119" s="1"/>
  <c r="R146" i="119" s="1"/>
  <c r="R147" i="119" s="1"/>
  <c r="R148" i="119" s="1"/>
  <c r="R149" i="119" s="1"/>
  <c r="R150" i="119" s="1"/>
  <c r="AH150" i="119" s="1"/>
  <c r="R151" i="119"/>
  <c r="G200" i="119"/>
  <c r="G201" i="119" s="1"/>
  <c r="G202" i="119" s="1"/>
  <c r="G203" i="119" s="1"/>
  <c r="G204" i="119" s="1"/>
  <c r="G205" i="119" s="1"/>
  <c r="G206" i="119" s="1"/>
  <c r="G207" i="119" s="1"/>
  <c r="G208" i="119" s="1"/>
  <c r="AH208" i="119" s="1"/>
  <c r="G225" i="119"/>
  <c r="Y114" i="119"/>
  <c r="AH225" i="119"/>
  <c r="T65" i="119"/>
  <c r="T66" i="119" s="1"/>
  <c r="T67" i="119" s="1"/>
  <c r="T68" i="119" s="1"/>
  <c r="T69" i="119" s="1"/>
  <c r="T70" i="119" s="1"/>
  <c r="T71" i="119" s="1"/>
  <c r="T72" i="119" s="1"/>
  <c r="T73" i="119" s="1"/>
  <c r="T74" i="119" s="1"/>
  <c r="T75" i="119" s="1"/>
  <c r="T76" i="119" s="1"/>
  <c r="D271" i="119"/>
  <c r="D299" i="119"/>
  <c r="AH270" i="119"/>
  <c r="AH299" i="119" s="1"/>
  <c r="F114" i="119"/>
  <c r="I128" i="119"/>
  <c r="I129" i="119" s="1"/>
  <c r="I130" i="119" s="1"/>
  <c r="I131" i="119" s="1"/>
  <c r="I132" i="119" s="1"/>
  <c r="I133" i="119" s="1"/>
  <c r="I134" i="119" s="1"/>
  <c r="I135" i="119" s="1"/>
  <c r="I136" i="119" s="1"/>
  <c r="I137" i="119" s="1"/>
  <c r="I138" i="119" s="1"/>
  <c r="I139" i="119" s="1"/>
  <c r="I140" i="119" s="1"/>
  <c r="I141" i="119" s="1"/>
  <c r="AH141" i="119" s="1"/>
  <c r="I151" i="119"/>
  <c r="K151" i="119"/>
  <c r="AE261" i="119"/>
  <c r="AE260" i="119"/>
  <c r="AD186" i="119"/>
  <c r="AD187" i="119" s="1"/>
  <c r="AD188" i="119"/>
  <c r="F337" i="119"/>
  <c r="U114" i="119"/>
  <c r="U103" i="119"/>
  <c r="U104" i="119" s="1"/>
  <c r="U105" i="119" s="1"/>
  <c r="U106" i="119" s="1"/>
  <c r="U107" i="119" s="1"/>
  <c r="U108" i="119" s="1"/>
  <c r="U109" i="119" s="1"/>
  <c r="U110" i="119" s="1"/>
  <c r="U111" i="119" s="1"/>
  <c r="U112" i="119" s="1"/>
  <c r="U113" i="119" s="1"/>
  <c r="S138" i="119"/>
  <c r="S139" i="119" s="1"/>
  <c r="S140" i="119" s="1"/>
  <c r="S141" i="119" s="1"/>
  <c r="S142" i="119" s="1"/>
  <c r="S143" i="119" s="1"/>
  <c r="S144" i="119" s="1"/>
  <c r="S145" i="119" s="1"/>
  <c r="S146" i="119" s="1"/>
  <c r="S147" i="119" s="1"/>
  <c r="S148" i="119" s="1"/>
  <c r="S149" i="119" s="1"/>
  <c r="S150" i="119" s="1"/>
  <c r="S175" i="119"/>
  <c r="S176" i="119" s="1"/>
  <c r="S177" i="119" s="1"/>
  <c r="S178" i="119" s="1"/>
  <c r="S179" i="119" s="1"/>
  <c r="S180" i="119" s="1"/>
  <c r="S181" i="119" s="1"/>
  <c r="S182" i="119" s="1"/>
  <c r="S183" i="119" s="1"/>
  <c r="S184" i="119" s="1"/>
  <c r="S185" i="119" s="1"/>
  <c r="AH185" i="119" s="1"/>
  <c r="AH261" i="119"/>
  <c r="AH235" i="119"/>
  <c r="D236" i="119"/>
  <c r="Q299" i="119"/>
  <c r="Q284" i="119"/>
  <c r="Q285" i="119" s="1"/>
  <c r="Q286" i="119" s="1"/>
  <c r="Q287" i="119" s="1"/>
  <c r="AH287" i="119" s="1"/>
  <c r="U151" i="119"/>
  <c r="U140" i="119"/>
  <c r="U141" i="119" s="1"/>
  <c r="U142" i="119" s="1"/>
  <c r="U143" i="119" s="1"/>
  <c r="U144" i="119" s="1"/>
  <c r="U145" i="119" s="1"/>
  <c r="U146" i="119" s="1"/>
  <c r="U147" i="119" s="1"/>
  <c r="U148" i="119" s="1"/>
  <c r="U149" i="119" s="1"/>
  <c r="U150" i="119" s="1"/>
  <c r="T188" i="119"/>
  <c r="T176" i="119"/>
  <c r="T177" i="119" s="1"/>
  <c r="T178" i="119" s="1"/>
  <c r="T179" i="119" s="1"/>
  <c r="T180" i="119" s="1"/>
  <c r="T181" i="119" s="1"/>
  <c r="T182" i="119" s="1"/>
  <c r="T183" i="119" s="1"/>
  <c r="T184" i="119" s="1"/>
  <c r="T185" i="119" s="1"/>
  <c r="T186" i="119" s="1"/>
  <c r="AH186" i="119" s="1"/>
  <c r="S261" i="119"/>
  <c r="S248" i="119"/>
  <c r="S249" i="119" s="1"/>
  <c r="S250" i="119" s="1"/>
  <c r="S251" i="119" s="1"/>
  <c r="S252" i="119" s="1"/>
  <c r="S253" i="119" s="1"/>
  <c r="AH253" i="119" s="1"/>
  <c r="AD335" i="119"/>
  <c r="AD336" i="119" s="1"/>
  <c r="AH336" i="119" s="1"/>
  <c r="AD337" i="119"/>
  <c r="O261" i="119"/>
  <c r="O244" i="119"/>
  <c r="O245" i="119" s="1"/>
  <c r="O246" i="119" s="1"/>
  <c r="O247" i="119" s="1"/>
  <c r="O248" i="119" s="1"/>
  <c r="O249" i="119" s="1"/>
  <c r="AH249" i="119" s="1"/>
  <c r="T261" i="119"/>
  <c r="T249" i="119"/>
  <c r="T250" i="119" s="1"/>
  <c r="T251" i="119" s="1"/>
  <c r="T252" i="119" s="1"/>
  <c r="T253" i="119" s="1"/>
  <c r="T254" i="119" s="1"/>
  <c r="AH254" i="119" s="1"/>
  <c r="N281" i="119"/>
  <c r="N282" i="119" s="1"/>
  <c r="N283" i="119" s="1"/>
  <c r="N284" i="119" s="1"/>
  <c r="AH284" i="119" s="1"/>
  <c r="N299" i="119"/>
  <c r="V299" i="119"/>
  <c r="Q261" i="119"/>
  <c r="AE299" i="119"/>
  <c r="U250" i="119"/>
  <c r="U251" i="119" s="1"/>
  <c r="U252" i="119" s="1"/>
  <c r="U253" i="119" s="1"/>
  <c r="U254" i="119" s="1"/>
  <c r="U255" i="119" s="1"/>
  <c r="AH255" i="119" s="1"/>
  <c r="U261" i="119"/>
  <c r="AA256" i="119"/>
  <c r="AA257" i="119" s="1"/>
  <c r="AA258" i="119" s="1"/>
  <c r="AA259" i="119" s="1"/>
  <c r="AA260" i="119" s="1"/>
  <c r="H337" i="119"/>
  <c r="H313" i="119"/>
  <c r="H314" i="119" s="1"/>
  <c r="AH314" i="119" s="1"/>
  <c r="V327" i="119"/>
  <c r="V328" i="119" s="1"/>
  <c r="AH328" i="119" s="1"/>
  <c r="V337" i="119"/>
  <c r="L168" i="119"/>
  <c r="L169" i="119" s="1"/>
  <c r="L170" i="119" s="1"/>
  <c r="L171" i="119" s="1"/>
  <c r="L172" i="119" s="1"/>
  <c r="L173" i="119" s="1"/>
  <c r="L174" i="119" s="1"/>
  <c r="L175" i="119" s="1"/>
  <c r="L176" i="119" s="1"/>
  <c r="L177" i="119" s="1"/>
  <c r="L178" i="119" s="1"/>
  <c r="AH178" i="119" s="1"/>
  <c r="L188" i="119"/>
  <c r="I238" i="119"/>
  <c r="I239" i="119" s="1"/>
  <c r="I240" i="119" s="1"/>
  <c r="I241" i="119" s="1"/>
  <c r="I242" i="119" s="1"/>
  <c r="I243" i="119" s="1"/>
  <c r="AH243" i="119" s="1"/>
  <c r="I261" i="119"/>
  <c r="AB261" i="119"/>
  <c r="AB257" i="119"/>
  <c r="AB258" i="119" s="1"/>
  <c r="AB259" i="119" s="1"/>
  <c r="AB260" i="119" s="1"/>
  <c r="J203" i="119"/>
  <c r="J204" i="119" s="1"/>
  <c r="J205" i="119" s="1"/>
  <c r="J206" i="119" s="1"/>
  <c r="J207" i="119" s="1"/>
  <c r="J208" i="119" s="1"/>
  <c r="J209" i="119" s="1"/>
  <c r="J210" i="119" s="1"/>
  <c r="J211" i="119" s="1"/>
  <c r="AH211" i="119" s="1"/>
  <c r="J225" i="119"/>
  <c r="Z299" i="119"/>
  <c r="AB333" i="119"/>
  <c r="AB334" i="119" s="1"/>
  <c r="AH334" i="119" s="1"/>
  <c r="AB337" i="119"/>
  <c r="M132" i="119"/>
  <c r="M133" i="119" s="1"/>
  <c r="M134" i="119" s="1"/>
  <c r="M135" i="119" s="1"/>
  <c r="M136" i="119" s="1"/>
  <c r="M137" i="119" s="1"/>
  <c r="M138" i="119" s="1"/>
  <c r="M139" i="119" s="1"/>
  <c r="M140" i="119" s="1"/>
  <c r="M141" i="119" s="1"/>
  <c r="M142" i="119" s="1"/>
  <c r="M143" i="119" s="1"/>
  <c r="M144" i="119" s="1"/>
  <c r="M145" i="119" s="1"/>
  <c r="AH145" i="119" s="1"/>
  <c r="E299" i="119"/>
  <c r="T337" i="119"/>
  <c r="T325" i="119"/>
  <c r="T326" i="119" s="1"/>
  <c r="AH326" i="119" s="1"/>
  <c r="AH188" i="119"/>
  <c r="R174" i="119"/>
  <c r="R175" i="119" s="1"/>
  <c r="R176" i="119" s="1"/>
  <c r="R177" i="119" s="1"/>
  <c r="R178" i="119" s="1"/>
  <c r="R179" i="119" s="1"/>
  <c r="R180" i="119" s="1"/>
  <c r="R181" i="119" s="1"/>
  <c r="R182" i="119" s="1"/>
  <c r="R183" i="119" s="1"/>
  <c r="R184" i="119" s="1"/>
  <c r="AH184" i="119" s="1"/>
  <c r="R188" i="119"/>
  <c r="M242" i="119"/>
  <c r="M243" i="119" s="1"/>
  <c r="M244" i="119" s="1"/>
  <c r="M245" i="119" s="1"/>
  <c r="M246" i="119" s="1"/>
  <c r="M247" i="119" s="1"/>
  <c r="AH247" i="119" s="1"/>
  <c r="M261" i="119"/>
  <c r="Y254" i="119"/>
  <c r="Y255" i="119" s="1"/>
  <c r="Y256" i="119" s="1"/>
  <c r="Y257" i="119" s="1"/>
  <c r="Y258" i="119" s="1"/>
  <c r="Y259" i="119" s="1"/>
  <c r="AH259" i="119" s="1"/>
  <c r="Y261" i="119"/>
  <c r="I337" i="119"/>
  <c r="I314" i="119"/>
  <c r="I315" i="119" s="1"/>
  <c r="AH315" i="119" s="1"/>
  <c r="O299" i="119"/>
  <c r="O282" i="119"/>
  <c r="O283" i="119" s="1"/>
  <c r="O284" i="119" s="1"/>
  <c r="O285" i="119" s="1"/>
  <c r="AH285" i="119" s="1"/>
  <c r="K299" i="119"/>
  <c r="K278" i="119"/>
  <c r="K279" i="119" s="1"/>
  <c r="K280" i="119" s="1"/>
  <c r="K281" i="119" s="1"/>
  <c r="AH281" i="119" s="1"/>
  <c r="X299" i="119"/>
  <c r="X291" i="119"/>
  <c r="X292" i="119" s="1"/>
  <c r="X293" i="119" s="1"/>
  <c r="X294" i="119" s="1"/>
  <c r="AH294" i="119" s="1"/>
  <c r="F261" i="119"/>
  <c r="F235" i="119"/>
  <c r="F236" i="119" s="1"/>
  <c r="F237" i="119" s="1"/>
  <c r="F238" i="119" s="1"/>
  <c r="F239" i="119" s="1"/>
  <c r="F240" i="119" s="1"/>
  <c r="AH240" i="119" s="1"/>
  <c r="S299" i="119"/>
  <c r="D309" i="119"/>
  <c r="AH308" i="119"/>
  <c r="AH337" i="119" s="1"/>
  <c r="D337" i="119"/>
  <c r="O225" i="119"/>
  <c r="Q225" i="119"/>
  <c r="C344" i="119"/>
  <c r="X217" i="119"/>
  <c r="X218" i="119" s="1"/>
  <c r="X219" i="119" s="1"/>
  <c r="X220" i="119" s="1"/>
  <c r="X221" i="119" s="1"/>
  <c r="X222" i="119" s="1"/>
  <c r="X223" i="119" s="1"/>
  <c r="X224" i="119" s="1"/>
  <c r="Y218" i="119"/>
  <c r="Y219" i="119" s="1"/>
  <c r="Y220" i="119" s="1"/>
  <c r="Y221" i="119" s="1"/>
  <c r="Y222" i="119" s="1"/>
  <c r="Y223" i="119" s="1"/>
  <c r="Y224" i="119" s="1"/>
  <c r="Z219" i="119"/>
  <c r="Z220" i="119" s="1"/>
  <c r="Z221" i="119" s="1"/>
  <c r="Z222" i="119" s="1"/>
  <c r="Z223" i="119" s="1"/>
  <c r="Z224" i="119" s="1"/>
  <c r="X31" i="118"/>
  <c r="X32" i="118" s="1"/>
  <c r="X33" i="118" s="1"/>
  <c r="X34" i="118" s="1"/>
  <c r="X35" i="118" s="1"/>
  <c r="X36" i="118" s="1"/>
  <c r="X37" i="118" s="1"/>
  <c r="X38" i="118" s="1"/>
  <c r="X39" i="118" s="1"/>
  <c r="Y32" i="118"/>
  <c r="Y33" i="118" s="1"/>
  <c r="Y34" i="118" s="1"/>
  <c r="Y35" i="118" s="1"/>
  <c r="Y36" i="118" s="1"/>
  <c r="Y37" i="118" s="1"/>
  <c r="Y38" i="118" s="1"/>
  <c r="Y39" i="118" s="1"/>
  <c r="H4" i="118"/>
  <c r="G9" i="118"/>
  <c r="H8" i="118"/>
  <c r="C12" i="118"/>
  <c r="Q62" i="118"/>
  <c r="Q63" i="118" s="1"/>
  <c r="Q64" i="118" s="1"/>
  <c r="Q65" i="118" s="1"/>
  <c r="Q66" i="118" s="1"/>
  <c r="Q67" i="118" s="1"/>
  <c r="Q68" i="118" s="1"/>
  <c r="Q69" i="118" s="1"/>
  <c r="Q70" i="118" s="1"/>
  <c r="Q71" i="118" s="1"/>
  <c r="Q72" i="118" s="1"/>
  <c r="Q73" i="118" s="1"/>
  <c r="Q74" i="118" s="1"/>
  <c r="Q75" i="118" s="1"/>
  <c r="Q76" i="118" s="1"/>
  <c r="J4" i="118"/>
  <c r="AC4" i="118"/>
  <c r="R77" i="118"/>
  <c r="R63" i="118"/>
  <c r="R64" i="118" s="1"/>
  <c r="R65" i="118" s="1"/>
  <c r="R66" i="118" s="1"/>
  <c r="R67" i="118" s="1"/>
  <c r="R68" i="118" s="1"/>
  <c r="R69" i="118" s="1"/>
  <c r="R70" i="118" s="1"/>
  <c r="R71" i="118" s="1"/>
  <c r="R72" i="118" s="1"/>
  <c r="R73" i="118" s="1"/>
  <c r="R74" i="118" s="1"/>
  <c r="R75" i="118" s="1"/>
  <c r="R76" i="118" s="1"/>
  <c r="AD4" i="118"/>
  <c r="AH12" i="118"/>
  <c r="H114" i="118"/>
  <c r="H90" i="118"/>
  <c r="H91" i="118" s="1"/>
  <c r="H92" i="118" s="1"/>
  <c r="H93" i="118" s="1"/>
  <c r="H94" i="118" s="1"/>
  <c r="H95" i="118" s="1"/>
  <c r="H96" i="118" s="1"/>
  <c r="H97" i="118" s="1"/>
  <c r="H98" i="118" s="1"/>
  <c r="H99" i="118" s="1"/>
  <c r="H100" i="118" s="1"/>
  <c r="H101" i="118" s="1"/>
  <c r="H102" i="118" s="1"/>
  <c r="H103" i="118" s="1"/>
  <c r="H104" i="118" s="1"/>
  <c r="H105" i="118" s="1"/>
  <c r="H106" i="118" s="1"/>
  <c r="H107" i="118" s="1"/>
  <c r="H108" i="118" s="1"/>
  <c r="AH108" i="118" s="1"/>
  <c r="D151" i="118"/>
  <c r="D123" i="118"/>
  <c r="AC77" i="118"/>
  <c r="AC74" i="118"/>
  <c r="AC75" i="118" s="1"/>
  <c r="AC76" i="118" s="1"/>
  <c r="E12" i="118"/>
  <c r="E13" i="118" s="1"/>
  <c r="E14" i="118" s="1"/>
  <c r="E15" i="118" s="1"/>
  <c r="E16" i="118" s="1"/>
  <c r="E17" i="118" s="1"/>
  <c r="E18" i="118" s="1"/>
  <c r="E19" i="118" s="1"/>
  <c r="E20" i="118" s="1"/>
  <c r="E21" i="118" s="1"/>
  <c r="E22" i="118" s="1"/>
  <c r="E23" i="118" s="1"/>
  <c r="E24" i="118" s="1"/>
  <c r="E25" i="118" s="1"/>
  <c r="E26" i="118" s="1"/>
  <c r="E27" i="118" s="1"/>
  <c r="E28" i="118" s="1"/>
  <c r="E29" i="118" s="1"/>
  <c r="E30" i="118" s="1"/>
  <c r="E31" i="118" s="1"/>
  <c r="E32" i="118" s="1"/>
  <c r="E33" i="118" s="1"/>
  <c r="E34" i="118" s="1"/>
  <c r="E35" i="118" s="1"/>
  <c r="E36" i="118" s="1"/>
  <c r="E37" i="118" s="1"/>
  <c r="E38" i="118" s="1"/>
  <c r="E39" i="118" s="1"/>
  <c r="E4" i="118"/>
  <c r="Q4" i="118"/>
  <c r="Q24" i="118"/>
  <c r="Q25" i="118" s="1"/>
  <c r="Q26" i="118" s="1"/>
  <c r="Q27" i="118" s="1"/>
  <c r="Q28" i="118" s="1"/>
  <c r="Q29" i="118" s="1"/>
  <c r="Q30" i="118" s="1"/>
  <c r="Q31" i="118" s="1"/>
  <c r="Q32" i="118" s="1"/>
  <c r="Q33" i="118" s="1"/>
  <c r="Q34" i="118" s="1"/>
  <c r="Q35" i="118" s="1"/>
  <c r="Q36" i="118" s="1"/>
  <c r="Q37" i="118" s="1"/>
  <c r="Q38" i="118" s="1"/>
  <c r="Q39" i="118" s="1"/>
  <c r="R25" i="118"/>
  <c r="R26" i="118" s="1"/>
  <c r="R27" i="118" s="1"/>
  <c r="R28" i="118" s="1"/>
  <c r="R29" i="118" s="1"/>
  <c r="R30" i="118" s="1"/>
  <c r="R31" i="118" s="1"/>
  <c r="R32" i="118" s="1"/>
  <c r="R33" i="118" s="1"/>
  <c r="R34" i="118" s="1"/>
  <c r="R35" i="118" s="1"/>
  <c r="R36" i="118" s="1"/>
  <c r="R37" i="118" s="1"/>
  <c r="R38" i="118" s="1"/>
  <c r="R39" i="118" s="1"/>
  <c r="R4" i="118"/>
  <c r="F13" i="118"/>
  <c r="F14" i="118" s="1"/>
  <c r="F15" i="118" s="1"/>
  <c r="F16" i="118" s="1"/>
  <c r="F17" i="118" s="1"/>
  <c r="F18" i="118" s="1"/>
  <c r="F19" i="118" s="1"/>
  <c r="F20" i="118" s="1"/>
  <c r="F21" i="118" s="1"/>
  <c r="F22" i="118" s="1"/>
  <c r="F23" i="118" s="1"/>
  <c r="F24" i="118" s="1"/>
  <c r="F25" i="118" s="1"/>
  <c r="F26" i="118" s="1"/>
  <c r="F27" i="118" s="1"/>
  <c r="F28" i="118" s="1"/>
  <c r="F29" i="118" s="1"/>
  <c r="F30" i="118" s="1"/>
  <c r="F31" i="118" s="1"/>
  <c r="F32" i="118" s="1"/>
  <c r="F33" i="118" s="1"/>
  <c r="F34" i="118" s="1"/>
  <c r="F35" i="118" s="1"/>
  <c r="F36" i="118" s="1"/>
  <c r="F37" i="118" s="1"/>
  <c r="F38" i="118" s="1"/>
  <c r="F39" i="118" s="1"/>
  <c r="I16" i="118"/>
  <c r="I17" i="118" s="1"/>
  <c r="I18" i="118" s="1"/>
  <c r="I19" i="118" s="1"/>
  <c r="I20" i="118" s="1"/>
  <c r="I21" i="118" s="1"/>
  <c r="I22" i="118" s="1"/>
  <c r="I23" i="118" s="1"/>
  <c r="I24" i="118" s="1"/>
  <c r="I25" i="118" s="1"/>
  <c r="I26" i="118" s="1"/>
  <c r="I27" i="118" s="1"/>
  <c r="I28" i="118" s="1"/>
  <c r="I29" i="118" s="1"/>
  <c r="I30" i="118" s="1"/>
  <c r="I31" i="118" s="1"/>
  <c r="I32" i="118" s="1"/>
  <c r="I33" i="118" s="1"/>
  <c r="I34" i="118" s="1"/>
  <c r="I35" i="118" s="1"/>
  <c r="I36" i="118" s="1"/>
  <c r="I37" i="118" s="1"/>
  <c r="I38" i="118" s="1"/>
  <c r="I39" i="118" s="1"/>
  <c r="F51" i="118"/>
  <c r="F52" i="118" s="1"/>
  <c r="F53" i="118" s="1"/>
  <c r="F54" i="118" s="1"/>
  <c r="F55" i="118" s="1"/>
  <c r="F56" i="118" s="1"/>
  <c r="F57" i="118" s="1"/>
  <c r="F58" i="118" s="1"/>
  <c r="F59" i="118" s="1"/>
  <c r="F60" i="118" s="1"/>
  <c r="F61" i="118" s="1"/>
  <c r="F62" i="118" s="1"/>
  <c r="F63" i="118" s="1"/>
  <c r="F64" i="118" s="1"/>
  <c r="F65" i="118" s="1"/>
  <c r="F66" i="118" s="1"/>
  <c r="F67" i="118" s="1"/>
  <c r="F68" i="118" s="1"/>
  <c r="F69" i="118" s="1"/>
  <c r="F70" i="118" s="1"/>
  <c r="F71" i="118" s="1"/>
  <c r="F72" i="118" s="1"/>
  <c r="F73" i="118" s="1"/>
  <c r="F74" i="118" s="1"/>
  <c r="AH74" i="118" s="1"/>
  <c r="F77" i="118"/>
  <c r="S26" i="118"/>
  <c r="S27" i="118" s="1"/>
  <c r="S28" i="118" s="1"/>
  <c r="S29" i="118" s="1"/>
  <c r="S30" i="118" s="1"/>
  <c r="S31" i="118" s="1"/>
  <c r="S32" i="118" s="1"/>
  <c r="S33" i="118" s="1"/>
  <c r="S34" i="118" s="1"/>
  <c r="S35" i="118" s="1"/>
  <c r="S36" i="118" s="1"/>
  <c r="S37" i="118" s="1"/>
  <c r="S38" i="118" s="1"/>
  <c r="S39" i="118" s="1"/>
  <c r="S4" i="118"/>
  <c r="AE4" i="118"/>
  <c r="AE38" i="118"/>
  <c r="AE39" i="118" s="1"/>
  <c r="T27" i="118"/>
  <c r="T28" i="118" s="1"/>
  <c r="T29" i="118" s="1"/>
  <c r="T30" i="118" s="1"/>
  <c r="T31" i="118" s="1"/>
  <c r="T32" i="118" s="1"/>
  <c r="T33" i="118" s="1"/>
  <c r="T34" i="118" s="1"/>
  <c r="T35" i="118" s="1"/>
  <c r="T36" i="118" s="1"/>
  <c r="T37" i="118" s="1"/>
  <c r="T38" i="118" s="1"/>
  <c r="T39" i="118" s="1"/>
  <c r="T4" i="118"/>
  <c r="AF39" i="118"/>
  <c r="AF4" i="118"/>
  <c r="D14" i="118"/>
  <c r="U28" i="118"/>
  <c r="U29" i="118" s="1"/>
  <c r="U30" i="118" s="1"/>
  <c r="U31" i="118" s="1"/>
  <c r="U32" i="118" s="1"/>
  <c r="U33" i="118" s="1"/>
  <c r="U34" i="118" s="1"/>
  <c r="U35" i="118" s="1"/>
  <c r="U36" i="118" s="1"/>
  <c r="U37" i="118" s="1"/>
  <c r="U38" i="118" s="1"/>
  <c r="U39" i="118" s="1"/>
  <c r="U4" i="118"/>
  <c r="AG4" i="118"/>
  <c r="AG39" i="118"/>
  <c r="E87" i="118"/>
  <c r="E88" i="118" s="1"/>
  <c r="E89" i="118" s="1"/>
  <c r="E90" i="118" s="1"/>
  <c r="E91" i="118" s="1"/>
  <c r="E92" i="118" s="1"/>
  <c r="E93" i="118" s="1"/>
  <c r="E94" i="118" s="1"/>
  <c r="E95" i="118" s="1"/>
  <c r="E96" i="118" s="1"/>
  <c r="E97" i="118" s="1"/>
  <c r="E98" i="118" s="1"/>
  <c r="E99" i="118" s="1"/>
  <c r="E100" i="118" s="1"/>
  <c r="E101" i="118" s="1"/>
  <c r="E102" i="118" s="1"/>
  <c r="E103" i="118" s="1"/>
  <c r="E104" i="118" s="1"/>
  <c r="E105" i="118" s="1"/>
  <c r="AH105" i="118" s="1"/>
  <c r="E114" i="118"/>
  <c r="G14" i="118"/>
  <c r="G15" i="118" s="1"/>
  <c r="G16" i="118" s="1"/>
  <c r="G17" i="118" s="1"/>
  <c r="G18" i="118" s="1"/>
  <c r="G19" i="118" s="1"/>
  <c r="G20" i="118" s="1"/>
  <c r="G21" i="118" s="1"/>
  <c r="G22" i="118" s="1"/>
  <c r="G23" i="118" s="1"/>
  <c r="G24" i="118" s="1"/>
  <c r="G25" i="118" s="1"/>
  <c r="G26" i="118" s="1"/>
  <c r="G27" i="118" s="1"/>
  <c r="G28" i="118" s="1"/>
  <c r="G29" i="118" s="1"/>
  <c r="G30" i="118" s="1"/>
  <c r="G31" i="118" s="1"/>
  <c r="G32" i="118" s="1"/>
  <c r="G33" i="118" s="1"/>
  <c r="G34" i="118" s="1"/>
  <c r="G35" i="118" s="1"/>
  <c r="G36" i="118" s="1"/>
  <c r="G37" i="118" s="1"/>
  <c r="G38" i="118" s="1"/>
  <c r="G39" i="118" s="1"/>
  <c r="K4" i="118"/>
  <c r="K18" i="118"/>
  <c r="K19" i="118" s="1"/>
  <c r="K20" i="118" s="1"/>
  <c r="K21" i="118" s="1"/>
  <c r="K22" i="118" s="1"/>
  <c r="K23" i="118" s="1"/>
  <c r="K24" i="118" s="1"/>
  <c r="K25" i="118" s="1"/>
  <c r="K26" i="118" s="1"/>
  <c r="K27" i="118" s="1"/>
  <c r="K28" i="118" s="1"/>
  <c r="K29" i="118" s="1"/>
  <c r="K30" i="118" s="1"/>
  <c r="K31" i="118" s="1"/>
  <c r="K32" i="118" s="1"/>
  <c r="K33" i="118" s="1"/>
  <c r="K34" i="118" s="1"/>
  <c r="K35" i="118" s="1"/>
  <c r="K36" i="118" s="1"/>
  <c r="K37" i="118" s="1"/>
  <c r="K38" i="118" s="1"/>
  <c r="K39" i="118" s="1"/>
  <c r="W4" i="118"/>
  <c r="W30" i="118"/>
  <c r="W31" i="118" s="1"/>
  <c r="W32" i="118" s="1"/>
  <c r="W33" i="118" s="1"/>
  <c r="W34" i="118" s="1"/>
  <c r="W35" i="118" s="1"/>
  <c r="W36" i="118" s="1"/>
  <c r="W37" i="118" s="1"/>
  <c r="W38" i="118" s="1"/>
  <c r="W39" i="118" s="1"/>
  <c r="W105" i="118"/>
  <c r="W106" i="118" s="1"/>
  <c r="W107" i="118" s="1"/>
  <c r="W108" i="118" s="1"/>
  <c r="W109" i="118" s="1"/>
  <c r="W110" i="118" s="1"/>
  <c r="W111" i="118" s="1"/>
  <c r="W112" i="118" s="1"/>
  <c r="W113" i="118" s="1"/>
  <c r="H151" i="118"/>
  <c r="H127" i="118"/>
  <c r="H128" i="118" s="1"/>
  <c r="H129" i="118" s="1"/>
  <c r="H130" i="118" s="1"/>
  <c r="H131" i="118" s="1"/>
  <c r="H132" i="118" s="1"/>
  <c r="H133" i="118" s="1"/>
  <c r="H134" i="118" s="1"/>
  <c r="H135" i="118" s="1"/>
  <c r="H136" i="118" s="1"/>
  <c r="H137" i="118" s="1"/>
  <c r="H138" i="118" s="1"/>
  <c r="H139" i="118" s="1"/>
  <c r="H140" i="118" s="1"/>
  <c r="AH140" i="118" s="1"/>
  <c r="D10" i="118"/>
  <c r="W77" i="118"/>
  <c r="K114" i="118"/>
  <c r="K93" i="118"/>
  <c r="K94" i="118" s="1"/>
  <c r="K95" i="118" s="1"/>
  <c r="K96" i="118" s="1"/>
  <c r="K97" i="118" s="1"/>
  <c r="K98" i="118" s="1"/>
  <c r="K99" i="118" s="1"/>
  <c r="K100" i="118" s="1"/>
  <c r="K101" i="118" s="1"/>
  <c r="K102" i="118" s="1"/>
  <c r="K103" i="118" s="1"/>
  <c r="K104" i="118" s="1"/>
  <c r="K105" i="118" s="1"/>
  <c r="K106" i="118" s="1"/>
  <c r="K107" i="118" s="1"/>
  <c r="K108" i="118" s="1"/>
  <c r="K109" i="118" s="1"/>
  <c r="K110" i="118" s="1"/>
  <c r="K111" i="118" s="1"/>
  <c r="AH111" i="118" s="1"/>
  <c r="D161" i="118"/>
  <c r="AE188" i="118"/>
  <c r="G10" i="118"/>
  <c r="D49" i="118"/>
  <c r="H77" i="118"/>
  <c r="H261" i="118"/>
  <c r="H237" i="118"/>
  <c r="H238" i="118" s="1"/>
  <c r="H239" i="118" s="1"/>
  <c r="H240" i="118" s="1"/>
  <c r="H241" i="118" s="1"/>
  <c r="H242" i="118" s="1"/>
  <c r="AH242" i="118" s="1"/>
  <c r="Y254" i="118"/>
  <c r="Y255" i="118" s="1"/>
  <c r="Y256" i="118" s="1"/>
  <c r="Y257" i="118" s="1"/>
  <c r="Y258" i="118" s="1"/>
  <c r="Y259" i="118" s="1"/>
  <c r="AH259" i="118" s="1"/>
  <c r="Y261" i="118"/>
  <c r="U261" i="118"/>
  <c r="L299" i="118"/>
  <c r="L279" i="118"/>
  <c r="L280" i="118" s="1"/>
  <c r="L281" i="118" s="1"/>
  <c r="L282" i="118" s="1"/>
  <c r="AH282" i="118" s="1"/>
  <c r="W299" i="118"/>
  <c r="W290" i="118"/>
  <c r="W291" i="118" s="1"/>
  <c r="W292" i="118" s="1"/>
  <c r="W293" i="118" s="1"/>
  <c r="AH293" i="118" s="1"/>
  <c r="G52" i="118"/>
  <c r="G53" i="118" s="1"/>
  <c r="G54" i="118" s="1"/>
  <c r="G55" i="118" s="1"/>
  <c r="G56" i="118" s="1"/>
  <c r="G57" i="118" s="1"/>
  <c r="G58" i="118" s="1"/>
  <c r="G59" i="118" s="1"/>
  <c r="G60" i="118" s="1"/>
  <c r="G61" i="118" s="1"/>
  <c r="G62" i="118" s="1"/>
  <c r="G63" i="118" s="1"/>
  <c r="G64" i="118" s="1"/>
  <c r="G65" i="118" s="1"/>
  <c r="G66" i="118" s="1"/>
  <c r="G67" i="118" s="1"/>
  <c r="G68" i="118" s="1"/>
  <c r="G69" i="118" s="1"/>
  <c r="G70" i="118" s="1"/>
  <c r="G71" i="118" s="1"/>
  <c r="G72" i="118" s="1"/>
  <c r="G73" i="118" s="1"/>
  <c r="G74" i="118" s="1"/>
  <c r="G75" i="118" s="1"/>
  <c r="AH75" i="118" s="1"/>
  <c r="L188" i="118"/>
  <c r="G200" i="118"/>
  <c r="G201" i="118" s="1"/>
  <c r="G202" i="118" s="1"/>
  <c r="G203" i="118" s="1"/>
  <c r="G204" i="118" s="1"/>
  <c r="G205" i="118" s="1"/>
  <c r="G206" i="118" s="1"/>
  <c r="G207" i="118" s="1"/>
  <c r="G208" i="118" s="1"/>
  <c r="AH208" i="118" s="1"/>
  <c r="G225" i="118"/>
  <c r="S77" i="118"/>
  <c r="S64" i="118"/>
  <c r="S65" i="118" s="1"/>
  <c r="S66" i="118" s="1"/>
  <c r="S67" i="118" s="1"/>
  <c r="S68" i="118" s="1"/>
  <c r="S69" i="118" s="1"/>
  <c r="S70" i="118" s="1"/>
  <c r="S71" i="118" s="1"/>
  <c r="S72" i="118" s="1"/>
  <c r="S73" i="118" s="1"/>
  <c r="S74" i="118" s="1"/>
  <c r="S75" i="118" s="1"/>
  <c r="S76" i="118" s="1"/>
  <c r="D233" i="118"/>
  <c r="D261" i="118"/>
  <c r="Z151" i="118"/>
  <c r="Z145" i="118"/>
  <c r="Z146" i="118" s="1"/>
  <c r="Z147" i="118" s="1"/>
  <c r="Z148" i="118" s="1"/>
  <c r="Z149" i="118" s="1"/>
  <c r="Z150" i="118" s="1"/>
  <c r="M242" i="118"/>
  <c r="M243" i="118" s="1"/>
  <c r="M244" i="118" s="1"/>
  <c r="M245" i="118" s="1"/>
  <c r="M246" i="118" s="1"/>
  <c r="M247" i="118" s="1"/>
  <c r="AH247" i="118" s="1"/>
  <c r="M261" i="118"/>
  <c r="W188" i="118"/>
  <c r="W179" i="118"/>
  <c r="W180" i="118" s="1"/>
  <c r="W181" i="118" s="1"/>
  <c r="W182" i="118" s="1"/>
  <c r="W183" i="118" s="1"/>
  <c r="W184" i="118" s="1"/>
  <c r="W185" i="118" s="1"/>
  <c r="W186" i="118" s="1"/>
  <c r="W187" i="118" s="1"/>
  <c r="U337" i="118"/>
  <c r="U326" i="118"/>
  <c r="U327" i="118" s="1"/>
  <c r="AH327" i="118" s="1"/>
  <c r="I202" i="118"/>
  <c r="I203" i="118" s="1"/>
  <c r="I204" i="118" s="1"/>
  <c r="I205" i="118" s="1"/>
  <c r="I206" i="118" s="1"/>
  <c r="I207" i="118" s="1"/>
  <c r="I208" i="118" s="1"/>
  <c r="I209" i="118" s="1"/>
  <c r="I210" i="118" s="1"/>
  <c r="AH210" i="118" s="1"/>
  <c r="AA261" i="118"/>
  <c r="AA256" i="118"/>
  <c r="AA257" i="118" s="1"/>
  <c r="AA258" i="118" s="1"/>
  <c r="AA259" i="118" s="1"/>
  <c r="AA260" i="118" s="1"/>
  <c r="J315" i="118"/>
  <c r="J316" i="118" s="1"/>
  <c r="AH316" i="118" s="1"/>
  <c r="J337" i="118"/>
  <c r="AA151" i="118"/>
  <c r="AA146" i="118"/>
  <c r="AA147" i="118" s="1"/>
  <c r="AA148" i="118" s="1"/>
  <c r="AA149" i="118" s="1"/>
  <c r="AA150" i="118" s="1"/>
  <c r="E225" i="118"/>
  <c r="E198" i="118"/>
  <c r="E199" i="118" s="1"/>
  <c r="E200" i="118" s="1"/>
  <c r="E201" i="118" s="1"/>
  <c r="E202" i="118" s="1"/>
  <c r="E203" i="118" s="1"/>
  <c r="E204" i="118" s="1"/>
  <c r="E205" i="118" s="1"/>
  <c r="E206" i="118" s="1"/>
  <c r="AH206" i="118" s="1"/>
  <c r="T102" i="118"/>
  <c r="T103" i="118" s="1"/>
  <c r="T104" i="118" s="1"/>
  <c r="T105" i="118" s="1"/>
  <c r="T106" i="118" s="1"/>
  <c r="T107" i="118" s="1"/>
  <c r="T108" i="118" s="1"/>
  <c r="T109" i="118" s="1"/>
  <c r="T110" i="118" s="1"/>
  <c r="T111" i="118" s="1"/>
  <c r="T112" i="118" s="1"/>
  <c r="T113" i="118" s="1"/>
  <c r="AA183" i="118"/>
  <c r="AA184" i="118" s="1"/>
  <c r="AA185" i="118" s="1"/>
  <c r="AA186" i="118" s="1"/>
  <c r="AA187" i="118" s="1"/>
  <c r="AA188" i="118"/>
  <c r="K316" i="118"/>
  <c r="K317" i="118" s="1"/>
  <c r="AH317" i="118" s="1"/>
  <c r="K337" i="118"/>
  <c r="U77" i="118"/>
  <c r="U103" i="118"/>
  <c r="U104" i="118" s="1"/>
  <c r="U105" i="118" s="1"/>
  <c r="U106" i="118" s="1"/>
  <c r="U107" i="118" s="1"/>
  <c r="U108" i="118" s="1"/>
  <c r="U109" i="118" s="1"/>
  <c r="U110" i="118" s="1"/>
  <c r="U111" i="118" s="1"/>
  <c r="U112" i="118" s="1"/>
  <c r="U113" i="118" s="1"/>
  <c r="U114" i="118"/>
  <c r="R188" i="118"/>
  <c r="R174" i="118"/>
  <c r="R175" i="118" s="1"/>
  <c r="R176" i="118" s="1"/>
  <c r="R177" i="118" s="1"/>
  <c r="R178" i="118" s="1"/>
  <c r="R179" i="118" s="1"/>
  <c r="R180" i="118" s="1"/>
  <c r="R181" i="118" s="1"/>
  <c r="R182" i="118" s="1"/>
  <c r="R183" i="118" s="1"/>
  <c r="R184" i="118" s="1"/>
  <c r="AH184" i="118" s="1"/>
  <c r="X180" i="118"/>
  <c r="X181" i="118" s="1"/>
  <c r="X182" i="118" s="1"/>
  <c r="X183" i="118" s="1"/>
  <c r="X184" i="118" s="1"/>
  <c r="X185" i="118" s="1"/>
  <c r="X186" i="118" s="1"/>
  <c r="X187" i="118" s="1"/>
  <c r="D199" i="118"/>
  <c r="AH198" i="118"/>
  <c r="F10" i="118"/>
  <c r="E10" i="118"/>
  <c r="E40" i="118" s="1"/>
  <c r="D77" i="118"/>
  <c r="E188" i="118"/>
  <c r="E161" i="118"/>
  <c r="E162" i="118" s="1"/>
  <c r="E163" i="118" s="1"/>
  <c r="E164" i="118" s="1"/>
  <c r="E165" i="118" s="1"/>
  <c r="E166" i="118" s="1"/>
  <c r="E167" i="118" s="1"/>
  <c r="E168" i="118" s="1"/>
  <c r="E169" i="118" s="1"/>
  <c r="E170" i="118" s="1"/>
  <c r="E171" i="118" s="1"/>
  <c r="AH171" i="118" s="1"/>
  <c r="AH85" i="118"/>
  <c r="AH114" i="118" s="1"/>
  <c r="AB110" i="118"/>
  <c r="AB111" i="118" s="1"/>
  <c r="AB112" i="118" s="1"/>
  <c r="AB113" i="118" s="1"/>
  <c r="AD114" i="118"/>
  <c r="AD112" i="118"/>
  <c r="AD113" i="118" s="1"/>
  <c r="V114" i="118"/>
  <c r="V104" i="118"/>
  <c r="V105" i="118" s="1"/>
  <c r="V106" i="118" s="1"/>
  <c r="V107" i="118" s="1"/>
  <c r="V108" i="118" s="1"/>
  <c r="V109" i="118" s="1"/>
  <c r="V110" i="118" s="1"/>
  <c r="V111" i="118" s="1"/>
  <c r="V112" i="118" s="1"/>
  <c r="V113" i="118" s="1"/>
  <c r="AC114" i="118"/>
  <c r="AC111" i="118"/>
  <c r="AC112" i="118" s="1"/>
  <c r="AC113" i="118" s="1"/>
  <c r="D86" i="118"/>
  <c r="X114" i="118"/>
  <c r="N151" i="118"/>
  <c r="N133" i="118"/>
  <c r="N134" i="118" s="1"/>
  <c r="N135" i="118" s="1"/>
  <c r="N136" i="118" s="1"/>
  <c r="N137" i="118" s="1"/>
  <c r="N138" i="118" s="1"/>
  <c r="N139" i="118" s="1"/>
  <c r="N140" i="118" s="1"/>
  <c r="N141" i="118" s="1"/>
  <c r="N142" i="118" s="1"/>
  <c r="N143" i="118" s="1"/>
  <c r="N144" i="118" s="1"/>
  <c r="N145" i="118" s="1"/>
  <c r="N146" i="118" s="1"/>
  <c r="AH146" i="118" s="1"/>
  <c r="M188" i="118"/>
  <c r="M169" i="118"/>
  <c r="M170" i="118" s="1"/>
  <c r="M171" i="118" s="1"/>
  <c r="M172" i="118" s="1"/>
  <c r="M173" i="118" s="1"/>
  <c r="M174" i="118" s="1"/>
  <c r="M175" i="118" s="1"/>
  <c r="M176" i="118" s="1"/>
  <c r="M177" i="118" s="1"/>
  <c r="M178" i="118" s="1"/>
  <c r="M179" i="118" s="1"/>
  <c r="AH179" i="118" s="1"/>
  <c r="AE76" i="118"/>
  <c r="O97" i="118"/>
  <c r="O98" i="118" s="1"/>
  <c r="O99" i="118" s="1"/>
  <c r="O100" i="118" s="1"/>
  <c r="O101" i="118" s="1"/>
  <c r="O102" i="118" s="1"/>
  <c r="O103" i="118" s="1"/>
  <c r="O104" i="118" s="1"/>
  <c r="O105" i="118" s="1"/>
  <c r="O106" i="118" s="1"/>
  <c r="O107" i="118" s="1"/>
  <c r="O108" i="118" s="1"/>
  <c r="O109" i="118" s="1"/>
  <c r="O110" i="118" s="1"/>
  <c r="O111" i="118" s="1"/>
  <c r="O112" i="118" s="1"/>
  <c r="O113" i="118" s="1"/>
  <c r="AH151" i="118"/>
  <c r="I151" i="118"/>
  <c r="I128" i="118"/>
  <c r="I129" i="118" s="1"/>
  <c r="I130" i="118" s="1"/>
  <c r="I131" i="118" s="1"/>
  <c r="I132" i="118" s="1"/>
  <c r="I133" i="118" s="1"/>
  <c r="I134" i="118" s="1"/>
  <c r="I135" i="118" s="1"/>
  <c r="I136" i="118" s="1"/>
  <c r="I137" i="118" s="1"/>
  <c r="I138" i="118" s="1"/>
  <c r="I139" i="118" s="1"/>
  <c r="I140" i="118" s="1"/>
  <c r="I141" i="118" s="1"/>
  <c r="AH141" i="118" s="1"/>
  <c r="F162" i="118"/>
  <c r="F163" i="118" s="1"/>
  <c r="F164" i="118" s="1"/>
  <c r="F165" i="118" s="1"/>
  <c r="F166" i="118" s="1"/>
  <c r="F167" i="118" s="1"/>
  <c r="F168" i="118" s="1"/>
  <c r="F169" i="118" s="1"/>
  <c r="F170" i="118" s="1"/>
  <c r="F171" i="118" s="1"/>
  <c r="F172" i="118" s="1"/>
  <c r="AH172" i="118" s="1"/>
  <c r="F188" i="118"/>
  <c r="X299" i="118"/>
  <c r="X291" i="118"/>
  <c r="X292" i="118" s="1"/>
  <c r="X293" i="118" s="1"/>
  <c r="X294" i="118" s="1"/>
  <c r="AH294" i="118" s="1"/>
  <c r="J188" i="118"/>
  <c r="J166" i="118"/>
  <c r="J167" i="118" s="1"/>
  <c r="J168" i="118" s="1"/>
  <c r="J169" i="118" s="1"/>
  <c r="J170" i="118" s="1"/>
  <c r="J171" i="118" s="1"/>
  <c r="J172" i="118" s="1"/>
  <c r="J173" i="118" s="1"/>
  <c r="J174" i="118" s="1"/>
  <c r="J175" i="118" s="1"/>
  <c r="J176" i="118" s="1"/>
  <c r="AH176" i="118" s="1"/>
  <c r="J203" i="118"/>
  <c r="J204" i="118" s="1"/>
  <c r="J205" i="118" s="1"/>
  <c r="J206" i="118" s="1"/>
  <c r="J207" i="118" s="1"/>
  <c r="J208" i="118" s="1"/>
  <c r="J209" i="118" s="1"/>
  <c r="J210" i="118" s="1"/>
  <c r="J211" i="118" s="1"/>
  <c r="AH211" i="118" s="1"/>
  <c r="J225" i="118"/>
  <c r="H337" i="118"/>
  <c r="H313" i="118"/>
  <c r="H314" i="118" s="1"/>
  <c r="AH314" i="118" s="1"/>
  <c r="P98" i="118"/>
  <c r="P99" i="118" s="1"/>
  <c r="P100" i="118" s="1"/>
  <c r="P101" i="118" s="1"/>
  <c r="P102" i="118" s="1"/>
  <c r="P103" i="118" s="1"/>
  <c r="P104" i="118" s="1"/>
  <c r="P105" i="118" s="1"/>
  <c r="P106" i="118" s="1"/>
  <c r="P107" i="118" s="1"/>
  <c r="P108" i="118" s="1"/>
  <c r="P109" i="118" s="1"/>
  <c r="P110" i="118" s="1"/>
  <c r="P111" i="118" s="1"/>
  <c r="P112" i="118" s="1"/>
  <c r="P113" i="118" s="1"/>
  <c r="G126" i="118"/>
  <c r="G127" i="118" s="1"/>
  <c r="G128" i="118" s="1"/>
  <c r="G129" i="118" s="1"/>
  <c r="G130" i="118" s="1"/>
  <c r="G131" i="118" s="1"/>
  <c r="G132" i="118" s="1"/>
  <c r="G133" i="118" s="1"/>
  <c r="G134" i="118" s="1"/>
  <c r="G135" i="118" s="1"/>
  <c r="G136" i="118" s="1"/>
  <c r="G137" i="118" s="1"/>
  <c r="G138" i="118" s="1"/>
  <c r="G139" i="118" s="1"/>
  <c r="AH139" i="118" s="1"/>
  <c r="G151" i="118"/>
  <c r="X151" i="118"/>
  <c r="AB257" i="118"/>
  <c r="AB258" i="118" s="1"/>
  <c r="AB259" i="118" s="1"/>
  <c r="AB260" i="118" s="1"/>
  <c r="Y337" i="118"/>
  <c r="Z293" i="118"/>
  <c r="Z294" i="118" s="1"/>
  <c r="Z295" i="118" s="1"/>
  <c r="Z296" i="118" s="1"/>
  <c r="AH296" i="118" s="1"/>
  <c r="Z299" i="118"/>
  <c r="AB333" i="118"/>
  <c r="AB334" i="118" s="1"/>
  <c r="AH334" i="118" s="1"/>
  <c r="AB337" i="118"/>
  <c r="AE261" i="118"/>
  <c r="AE260" i="118"/>
  <c r="AH272" i="118"/>
  <c r="D273" i="118"/>
  <c r="AA299" i="118"/>
  <c r="AA294" i="118"/>
  <c r="AA295" i="118" s="1"/>
  <c r="AA296" i="118" s="1"/>
  <c r="AA297" i="118" s="1"/>
  <c r="AH297" i="118" s="1"/>
  <c r="R137" i="118"/>
  <c r="R138" i="118" s="1"/>
  <c r="R139" i="118" s="1"/>
  <c r="R140" i="118" s="1"/>
  <c r="R141" i="118" s="1"/>
  <c r="R142" i="118" s="1"/>
  <c r="R143" i="118" s="1"/>
  <c r="R144" i="118" s="1"/>
  <c r="R145" i="118" s="1"/>
  <c r="R146" i="118" s="1"/>
  <c r="R147" i="118" s="1"/>
  <c r="R148" i="118" s="1"/>
  <c r="R149" i="118" s="1"/>
  <c r="R150" i="118" s="1"/>
  <c r="AH150" i="118" s="1"/>
  <c r="E272" i="118"/>
  <c r="E273" i="118" s="1"/>
  <c r="E274" i="118" s="1"/>
  <c r="E275" i="118" s="1"/>
  <c r="AH275" i="118" s="1"/>
  <c r="E299" i="118"/>
  <c r="K130" i="118"/>
  <c r="K131" i="118" s="1"/>
  <c r="K132" i="118" s="1"/>
  <c r="K133" i="118" s="1"/>
  <c r="K134" i="118" s="1"/>
  <c r="K135" i="118" s="1"/>
  <c r="K136" i="118" s="1"/>
  <c r="K137" i="118" s="1"/>
  <c r="K138" i="118" s="1"/>
  <c r="K139" i="118" s="1"/>
  <c r="K140" i="118" s="1"/>
  <c r="K141" i="118" s="1"/>
  <c r="K142" i="118" s="1"/>
  <c r="K143" i="118" s="1"/>
  <c r="AH143" i="118" s="1"/>
  <c r="Q246" i="118"/>
  <c r="Q247" i="118" s="1"/>
  <c r="Q248" i="118" s="1"/>
  <c r="Q249" i="118" s="1"/>
  <c r="Q250" i="118" s="1"/>
  <c r="Q251" i="118" s="1"/>
  <c r="AH251" i="118" s="1"/>
  <c r="Q261" i="118"/>
  <c r="V289" i="118"/>
  <c r="V290" i="118" s="1"/>
  <c r="V291" i="118" s="1"/>
  <c r="V292" i="118" s="1"/>
  <c r="AH292" i="118" s="1"/>
  <c r="V299" i="118"/>
  <c r="L131" i="118"/>
  <c r="L132" i="118" s="1"/>
  <c r="L133" i="118" s="1"/>
  <c r="L134" i="118" s="1"/>
  <c r="L135" i="118" s="1"/>
  <c r="L136" i="118" s="1"/>
  <c r="L137" i="118" s="1"/>
  <c r="L138" i="118" s="1"/>
  <c r="L139" i="118" s="1"/>
  <c r="L140" i="118" s="1"/>
  <c r="L141" i="118" s="1"/>
  <c r="L142" i="118" s="1"/>
  <c r="L143" i="118" s="1"/>
  <c r="L144" i="118" s="1"/>
  <c r="AH144" i="118" s="1"/>
  <c r="AH188" i="118"/>
  <c r="AB299" i="118"/>
  <c r="AB295" i="118"/>
  <c r="AB296" i="118" s="1"/>
  <c r="AB297" i="118" s="1"/>
  <c r="AB298" i="118" s="1"/>
  <c r="AH298" i="118" s="1"/>
  <c r="P151" i="118"/>
  <c r="P135" i="118"/>
  <c r="P136" i="118" s="1"/>
  <c r="P137" i="118" s="1"/>
  <c r="P138" i="118" s="1"/>
  <c r="P139" i="118" s="1"/>
  <c r="P140" i="118" s="1"/>
  <c r="P141" i="118" s="1"/>
  <c r="P142" i="118" s="1"/>
  <c r="P143" i="118" s="1"/>
  <c r="P144" i="118" s="1"/>
  <c r="P145" i="118" s="1"/>
  <c r="P146" i="118" s="1"/>
  <c r="P147" i="118" s="1"/>
  <c r="P148" i="118" s="1"/>
  <c r="AH148" i="118" s="1"/>
  <c r="AH225" i="118"/>
  <c r="F261" i="118"/>
  <c r="F235" i="118"/>
  <c r="F236" i="118" s="1"/>
  <c r="F237" i="118" s="1"/>
  <c r="F238" i="118" s="1"/>
  <c r="F239" i="118" s="1"/>
  <c r="F240" i="118" s="1"/>
  <c r="AH240" i="118" s="1"/>
  <c r="K299" i="118"/>
  <c r="K278" i="118"/>
  <c r="K279" i="118" s="1"/>
  <c r="K280" i="118" s="1"/>
  <c r="K281" i="118" s="1"/>
  <c r="AH281" i="118" s="1"/>
  <c r="M337" i="118"/>
  <c r="S261" i="118"/>
  <c r="S248" i="118"/>
  <c r="S249" i="118" s="1"/>
  <c r="S250" i="118" s="1"/>
  <c r="S251" i="118" s="1"/>
  <c r="S252" i="118" s="1"/>
  <c r="S253" i="118" s="1"/>
  <c r="AH253" i="118" s="1"/>
  <c r="AD335" i="118"/>
  <c r="AD336" i="118" s="1"/>
  <c r="AH336" i="118" s="1"/>
  <c r="AD337" i="118"/>
  <c r="O320" i="118"/>
  <c r="O321" i="118" s="1"/>
  <c r="AH321" i="118" s="1"/>
  <c r="F337" i="118"/>
  <c r="AH270" i="118"/>
  <c r="AH299" i="118" s="1"/>
  <c r="G299" i="118"/>
  <c r="P321" i="118"/>
  <c r="P322" i="118" s="1"/>
  <c r="AH322" i="118" s="1"/>
  <c r="P337" i="118"/>
  <c r="S299" i="118"/>
  <c r="D309" i="118"/>
  <c r="AH308" i="118"/>
  <c r="AH337" i="118" s="1"/>
  <c r="C344" i="118"/>
  <c r="X217" i="118"/>
  <c r="X218" i="118" s="1"/>
  <c r="X219" i="118" s="1"/>
  <c r="X220" i="118" s="1"/>
  <c r="X221" i="118" s="1"/>
  <c r="X222" i="118" s="1"/>
  <c r="X223" i="118" s="1"/>
  <c r="X224" i="118" s="1"/>
  <c r="Y218" i="118"/>
  <c r="Y219" i="118" s="1"/>
  <c r="Y220" i="118" s="1"/>
  <c r="Y221" i="118" s="1"/>
  <c r="Y222" i="118" s="1"/>
  <c r="Y223" i="118" s="1"/>
  <c r="Y224" i="118" s="1"/>
  <c r="Z219" i="118"/>
  <c r="Z220" i="118" s="1"/>
  <c r="Z221" i="118" s="1"/>
  <c r="Z222" i="118" s="1"/>
  <c r="Z223" i="118" s="1"/>
  <c r="Z224" i="118" s="1"/>
  <c r="L96" i="87"/>
  <c r="L107" i="87" s="1"/>
  <c r="L121" i="87" s="1"/>
  <c r="G50" i="106"/>
  <c r="G51" i="106"/>
  <c r="J51" i="106"/>
  <c r="H51" i="106"/>
  <c r="D51" i="109"/>
  <c r="I51" i="106"/>
  <c r="M96" i="87"/>
  <c r="M107" i="87" s="1"/>
  <c r="M121" i="87" s="1"/>
  <c r="E18" i="110"/>
  <c r="E27" i="110" s="1"/>
  <c r="E45" i="110" s="1"/>
  <c r="AG12" i="110"/>
  <c r="C9" i="110"/>
  <c r="F26" i="110"/>
  <c r="C21" i="110"/>
  <c r="C52" i="110"/>
  <c r="F21" i="110"/>
  <c r="F27" i="110" s="1"/>
  <c r="C47" i="110"/>
  <c r="C18" i="110"/>
  <c r="M42" i="109"/>
  <c r="AA42" i="109"/>
  <c r="W42" i="109"/>
  <c r="K42" i="109"/>
  <c r="Y42" i="109"/>
  <c r="U42" i="109"/>
  <c r="X42" i="109"/>
  <c r="T42" i="109"/>
  <c r="H42" i="109"/>
  <c r="M116" i="87"/>
  <c r="P42" i="109"/>
  <c r="S42" i="109"/>
  <c r="R42" i="109"/>
  <c r="Q42" i="109"/>
  <c r="AB11" i="109"/>
  <c r="I42" i="109"/>
  <c r="V42" i="109"/>
  <c r="J42" i="109"/>
  <c r="R9" i="108"/>
  <c r="R15" i="108" s="1"/>
  <c r="V9" i="108"/>
  <c r="V15" i="108" s="1"/>
  <c r="AD9" i="108"/>
  <c r="AD15" i="108" s="1"/>
  <c r="O9" i="108"/>
  <c r="O14" i="108" s="1"/>
  <c r="AA9" i="108"/>
  <c r="AA14" i="108" s="1"/>
  <c r="W9" i="108"/>
  <c r="W15" i="108" s="1"/>
  <c r="N9" i="108"/>
  <c r="N14" i="108" s="1"/>
  <c r="Z9" i="108"/>
  <c r="Z14" i="108" s="1"/>
  <c r="K9" i="108"/>
  <c r="K15" i="108" s="1"/>
  <c r="S9" i="108"/>
  <c r="S15" i="108" s="1"/>
  <c r="AE9" i="108"/>
  <c r="AE14" i="108" s="1"/>
  <c r="Q9" i="108"/>
  <c r="Q15" i="108" s="1"/>
  <c r="AC9" i="108"/>
  <c r="AC15" i="108" s="1"/>
  <c r="T9" i="108"/>
  <c r="T15" i="108" s="1"/>
  <c r="AF9" i="108"/>
  <c r="AF15" i="108" s="1"/>
  <c r="L9" i="108"/>
  <c r="L14" i="108" s="1"/>
  <c r="X9" i="108"/>
  <c r="X15" i="108" s="1"/>
  <c r="M9" i="108"/>
  <c r="M14" i="108" s="1"/>
  <c r="Y9" i="108"/>
  <c r="Y14" i="108" s="1"/>
  <c r="U9" i="108"/>
  <c r="U14" i="108" s="1"/>
  <c r="AG48" i="108"/>
  <c r="F17" i="108"/>
  <c r="E18" i="108"/>
  <c r="AG18" i="108" s="1"/>
  <c r="C9" i="108"/>
  <c r="AG10" i="108"/>
  <c r="AG11" i="108"/>
  <c r="AG12" i="108"/>
  <c r="AG22" i="108"/>
  <c r="C21" i="108"/>
  <c r="AG21" i="108" s="1"/>
  <c r="C52" i="108"/>
  <c r="C47" i="108" s="1"/>
  <c r="J15" i="108"/>
  <c r="J14" i="108"/>
  <c r="E26" i="108"/>
  <c r="E27" i="108" s="1"/>
  <c r="AG20" i="108"/>
  <c r="D45" i="108"/>
  <c r="D29" i="108"/>
  <c r="P9" i="108"/>
  <c r="AB9" i="108"/>
  <c r="I48" i="108"/>
  <c r="AG19" i="108"/>
  <c r="AG50" i="107"/>
  <c r="AG51" i="107"/>
  <c r="AG11" i="107"/>
  <c r="AF15" i="107"/>
  <c r="AF14" i="107"/>
  <c r="D45" i="107"/>
  <c r="D29" i="107"/>
  <c r="F26" i="107"/>
  <c r="F27" i="107" s="1"/>
  <c r="O17" i="107"/>
  <c r="O15" i="107"/>
  <c r="P14" i="107"/>
  <c r="P13" i="107" s="1"/>
  <c r="P17" i="107" s="1"/>
  <c r="P15" i="107"/>
  <c r="J15" i="107"/>
  <c r="J14" i="107"/>
  <c r="AG28" i="107"/>
  <c r="E26" i="107"/>
  <c r="E27" i="107" s="1"/>
  <c r="T15" i="107"/>
  <c r="T14" i="107"/>
  <c r="T13" i="107" s="1"/>
  <c r="T17" i="107" s="1"/>
  <c r="AG10" i="107"/>
  <c r="C9" i="107"/>
  <c r="AA15" i="107"/>
  <c r="O14" i="107"/>
  <c r="O13" i="107" s="1"/>
  <c r="AB15" i="107"/>
  <c r="AB14" i="107"/>
  <c r="AB13" i="107" s="1"/>
  <c r="AB17" i="107" s="1"/>
  <c r="AA14" i="107"/>
  <c r="AG25" i="107"/>
  <c r="C52" i="107"/>
  <c r="N14" i="107"/>
  <c r="N15" i="107"/>
  <c r="Z14" i="107"/>
  <c r="Z13" i="107" s="1"/>
  <c r="Z17" i="107" s="1"/>
  <c r="Z15" i="107"/>
  <c r="U15" i="107"/>
  <c r="U14" i="107"/>
  <c r="U13" i="107" s="1"/>
  <c r="U17" i="107" s="1"/>
  <c r="AG20" i="107"/>
  <c r="V15" i="107"/>
  <c r="V17" i="107"/>
  <c r="V14" i="107"/>
  <c r="V13" i="107" s="1"/>
  <c r="H21" i="107"/>
  <c r="AG23" i="107"/>
  <c r="AG48" i="107"/>
  <c r="L17" i="107"/>
  <c r="L14" i="107"/>
  <c r="L13" i="107" s="1"/>
  <c r="X17" i="107"/>
  <c r="X14" i="107"/>
  <c r="X13" i="107" s="1"/>
  <c r="AG22" i="107"/>
  <c r="C21" i="107"/>
  <c r="AG24" i="107"/>
  <c r="M14" i="107"/>
  <c r="M15" i="107"/>
  <c r="Y14" i="107"/>
  <c r="Y13" i="107" s="1"/>
  <c r="Y17" i="107" s="1"/>
  <c r="Y15" i="107"/>
  <c r="AG18" i="107"/>
  <c r="Q14" i="107"/>
  <c r="Q13" i="107" s="1"/>
  <c r="AC14" i="107"/>
  <c r="AC13" i="107" s="1"/>
  <c r="AG49" i="107"/>
  <c r="R14" i="107"/>
  <c r="R13" i="107" s="1"/>
  <c r="AD14" i="107"/>
  <c r="AD13" i="107" s="1"/>
  <c r="AD17" i="107" s="1"/>
  <c r="Q17" i="107"/>
  <c r="AC17" i="107"/>
  <c r="S14" i="107"/>
  <c r="S13" i="107" s="1"/>
  <c r="S17" i="107" s="1"/>
  <c r="AE14" i="107"/>
  <c r="AE13" i="107" s="1"/>
  <c r="R17" i="107"/>
  <c r="AE17" i="107"/>
  <c r="C47" i="107"/>
  <c r="K14" i="107"/>
  <c r="K13" i="107" s="1"/>
  <c r="W14" i="107"/>
  <c r="W13" i="107" s="1"/>
  <c r="K17" i="107"/>
  <c r="W17" i="107"/>
  <c r="AG19" i="107"/>
  <c r="AE7" i="86"/>
  <c r="AE19" i="86"/>
  <c r="AE31" i="86"/>
  <c r="AG43" i="86"/>
  <c r="AH43" i="86" s="1"/>
  <c r="Q9" i="106"/>
  <c r="Q15" i="106" s="1"/>
  <c r="AC9" i="106"/>
  <c r="AC15" i="106" s="1"/>
  <c r="K9" i="106"/>
  <c r="K15" i="106" s="1"/>
  <c r="W9" i="106"/>
  <c r="W15" i="106" s="1"/>
  <c r="P9" i="106"/>
  <c r="P15" i="106" s="1"/>
  <c r="AB9" i="106"/>
  <c r="AB15" i="106" s="1"/>
  <c r="V9" i="106"/>
  <c r="V15" i="106" s="1"/>
  <c r="N9" i="106"/>
  <c r="N14" i="106" s="1"/>
  <c r="Z9" i="106"/>
  <c r="Z14" i="106" s="1"/>
  <c r="O9" i="106"/>
  <c r="O15" i="106" s="1"/>
  <c r="AA9" i="106"/>
  <c r="AA14" i="106" s="1"/>
  <c r="AD9" i="106"/>
  <c r="AD15" i="106" s="1"/>
  <c r="U9" i="106"/>
  <c r="U15" i="106" s="1"/>
  <c r="L9" i="106"/>
  <c r="L15" i="106" s="1"/>
  <c r="X9" i="106"/>
  <c r="X14" i="106" s="1"/>
  <c r="M9" i="106"/>
  <c r="Y9" i="106"/>
  <c r="Y15" i="106" s="1"/>
  <c r="S9" i="106"/>
  <c r="S15" i="106" s="1"/>
  <c r="AE9" i="106"/>
  <c r="AE15" i="106" s="1"/>
  <c r="AG11" i="106"/>
  <c r="AG12" i="106"/>
  <c r="R9" i="106"/>
  <c r="R15" i="106" s="1"/>
  <c r="T9" i="106"/>
  <c r="T15" i="106" s="1"/>
  <c r="AF9" i="106"/>
  <c r="AF15" i="106" s="1"/>
  <c r="G15" i="106"/>
  <c r="G14" i="106"/>
  <c r="E18" i="106"/>
  <c r="AG18" i="106" s="1"/>
  <c r="Q18" i="106"/>
  <c r="AC18" i="106"/>
  <c r="AG10" i="106"/>
  <c r="C9" i="106"/>
  <c r="C52" i="106"/>
  <c r="C47" i="106" s="1"/>
  <c r="F17" i="106"/>
  <c r="AG22" i="106"/>
  <c r="C21" i="106"/>
  <c r="E26" i="106"/>
  <c r="E27" i="106"/>
  <c r="H15" i="106"/>
  <c r="H14" i="106"/>
  <c r="D27" i="106"/>
  <c r="J15" i="106"/>
  <c r="J14" i="106"/>
  <c r="J13" i="106" s="1"/>
  <c r="J17" i="106" s="1"/>
  <c r="I15" i="106"/>
  <c r="I14" i="106"/>
  <c r="AG24" i="106"/>
  <c r="R21" i="106"/>
  <c r="AD21" i="106"/>
  <c r="F21" i="106"/>
  <c r="I95" i="87"/>
  <c r="K96" i="87"/>
  <c r="K107" i="87" s="1"/>
  <c r="K121" i="87" s="1"/>
  <c r="J95" i="87"/>
  <c r="L18" i="105"/>
  <c r="X18" i="105"/>
  <c r="H21" i="105"/>
  <c r="T21" i="105"/>
  <c r="AF21" i="105"/>
  <c r="AG20" i="105"/>
  <c r="AG11" i="105"/>
  <c r="N18" i="105"/>
  <c r="Z18" i="105"/>
  <c r="H18" i="105"/>
  <c r="T18" i="105"/>
  <c r="AF18" i="105"/>
  <c r="N21" i="105"/>
  <c r="D18" i="105"/>
  <c r="P18" i="105"/>
  <c r="AB18" i="105"/>
  <c r="Y21" i="105"/>
  <c r="E9" i="105"/>
  <c r="E17" i="105" s="1"/>
  <c r="E26" i="105" s="1"/>
  <c r="E27" i="105" s="1"/>
  <c r="Q9" i="105"/>
  <c r="AC9" i="105"/>
  <c r="K9" i="105"/>
  <c r="W9" i="105"/>
  <c r="W14" i="105" s="1"/>
  <c r="E18" i="105"/>
  <c r="Q18" i="105"/>
  <c r="AC18" i="105"/>
  <c r="K18" i="105"/>
  <c r="W18" i="105"/>
  <c r="U9" i="105"/>
  <c r="U14" i="105" s="1"/>
  <c r="E21" i="105"/>
  <c r="Q21" i="105"/>
  <c r="AC21" i="105"/>
  <c r="S21" i="105"/>
  <c r="AG21" i="105" s="1"/>
  <c r="AE21" i="105"/>
  <c r="I21" i="105"/>
  <c r="U21" i="105"/>
  <c r="G21" i="105"/>
  <c r="I13" i="105"/>
  <c r="I17" i="105" s="1"/>
  <c r="C17" i="105"/>
  <c r="O15" i="105"/>
  <c r="O14" i="105"/>
  <c r="O13" i="105" s="1"/>
  <c r="O17" i="105" s="1"/>
  <c r="AB15" i="105"/>
  <c r="AB14" i="105"/>
  <c r="AB13" i="105" s="1"/>
  <c r="AB17" i="105" s="1"/>
  <c r="AA15" i="105"/>
  <c r="AA14" i="105"/>
  <c r="AG12" i="105"/>
  <c r="Q15" i="105"/>
  <c r="Q14" i="105"/>
  <c r="F26" i="105"/>
  <c r="F27" i="105" s="1"/>
  <c r="R14" i="105"/>
  <c r="R13" i="105" s="1"/>
  <c r="R17" i="105" s="1"/>
  <c r="AD14" i="105"/>
  <c r="AD13" i="105" s="1"/>
  <c r="AD17" i="105" s="1"/>
  <c r="K15" i="105"/>
  <c r="K14" i="105"/>
  <c r="K13" i="105" s="1"/>
  <c r="K17" i="105" s="1"/>
  <c r="W15" i="105"/>
  <c r="AG23" i="105"/>
  <c r="AC15" i="105"/>
  <c r="AC14" i="105"/>
  <c r="G9" i="105"/>
  <c r="S9" i="105"/>
  <c r="AE9" i="105"/>
  <c r="AG9" i="105" s="1"/>
  <c r="L15" i="105"/>
  <c r="L14" i="105"/>
  <c r="L13" i="105" s="1"/>
  <c r="L17" i="105" s="1"/>
  <c r="X15" i="105"/>
  <c r="X14" i="105"/>
  <c r="X13" i="105" s="1"/>
  <c r="X17" i="105" s="1"/>
  <c r="AG24" i="105"/>
  <c r="AG25" i="105"/>
  <c r="D26" i="105"/>
  <c r="D27" i="105" s="1"/>
  <c r="H14" i="105"/>
  <c r="H15" i="105"/>
  <c r="T14" i="105"/>
  <c r="T15" i="105"/>
  <c r="AF14" i="105"/>
  <c r="AF13" i="105" s="1"/>
  <c r="AF17" i="105" s="1"/>
  <c r="AF15" i="105"/>
  <c r="L48" i="105"/>
  <c r="C52" i="105"/>
  <c r="I15" i="105"/>
  <c r="AG10" i="105"/>
  <c r="N15" i="105"/>
  <c r="N14" i="105"/>
  <c r="Z15" i="105"/>
  <c r="Z17" i="105"/>
  <c r="Z14" i="105"/>
  <c r="Z13" i="105" s="1"/>
  <c r="P15" i="105"/>
  <c r="P14" i="105"/>
  <c r="P13" i="105" s="1"/>
  <c r="P17" i="105" s="1"/>
  <c r="AG16" i="105"/>
  <c r="AG19" i="105"/>
  <c r="AG22" i="105"/>
  <c r="AC48" i="105"/>
  <c r="J14" i="105"/>
  <c r="J13" i="105" s="1"/>
  <c r="J17" i="105" s="1"/>
  <c r="V14" i="105"/>
  <c r="V13" i="105" s="1"/>
  <c r="AD48" i="105"/>
  <c r="V17" i="105"/>
  <c r="C18" i="105"/>
  <c r="S48" i="105"/>
  <c r="AE48" i="105"/>
  <c r="T48" i="105"/>
  <c r="AF48" i="105"/>
  <c r="M14" i="105"/>
  <c r="M13" i="105" s="1"/>
  <c r="Y14" i="105"/>
  <c r="Y13" i="105" s="1"/>
  <c r="Y17" i="105" s="1"/>
  <c r="U48" i="105"/>
  <c r="M17" i="105"/>
  <c r="R48" i="105"/>
  <c r="V48" i="105"/>
  <c r="K48" i="105"/>
  <c r="W48" i="105"/>
  <c r="W9" i="104"/>
  <c r="W15" i="104" s="1"/>
  <c r="V9" i="104"/>
  <c r="V14" i="104" s="1"/>
  <c r="R9" i="104"/>
  <c r="R14" i="104" s="1"/>
  <c r="AD9" i="104"/>
  <c r="AD15" i="104" s="1"/>
  <c r="AE9" i="104"/>
  <c r="AE15" i="104" s="1"/>
  <c r="N9" i="104"/>
  <c r="N15" i="104" s="1"/>
  <c r="Z9" i="104"/>
  <c r="Z15" i="104" s="1"/>
  <c r="T9" i="104"/>
  <c r="T14" i="104" s="1"/>
  <c r="AF9" i="104"/>
  <c r="AF14" i="104" s="1"/>
  <c r="O9" i="104"/>
  <c r="O15" i="104" s="1"/>
  <c r="AA9" i="104"/>
  <c r="AA15" i="104" s="1"/>
  <c r="U9" i="104"/>
  <c r="U14" i="104" s="1"/>
  <c r="W14" i="104"/>
  <c r="W13" i="104" s="1"/>
  <c r="W17" i="104" s="1"/>
  <c r="AG11" i="104"/>
  <c r="AG12" i="104"/>
  <c r="K9" i="104"/>
  <c r="K14" i="104" s="1"/>
  <c r="D26" i="104"/>
  <c r="D27" i="104"/>
  <c r="G14" i="104"/>
  <c r="AB15" i="104"/>
  <c r="AB14" i="104"/>
  <c r="AG19" i="104"/>
  <c r="F18" i="104"/>
  <c r="AG18" i="104" s="1"/>
  <c r="X51" i="104"/>
  <c r="X48" i="104" s="1"/>
  <c r="L51" i="104"/>
  <c r="W51" i="104"/>
  <c r="K51" i="104"/>
  <c r="T51" i="104"/>
  <c r="V51" i="104"/>
  <c r="J51" i="104"/>
  <c r="AF51" i="104"/>
  <c r="U51" i="104"/>
  <c r="I51" i="104"/>
  <c r="H51" i="104"/>
  <c r="O51" i="104"/>
  <c r="AC51" i="104"/>
  <c r="G51" i="104"/>
  <c r="E51" i="104"/>
  <c r="AE51" i="104"/>
  <c r="N51" i="104"/>
  <c r="AA51" i="104"/>
  <c r="AD51" i="104"/>
  <c r="M51" i="104"/>
  <c r="AB51" i="104"/>
  <c r="F51" i="104"/>
  <c r="G15" i="104"/>
  <c r="C51" i="104"/>
  <c r="W49" i="104"/>
  <c r="K49" i="104"/>
  <c r="V49" i="104"/>
  <c r="J49" i="104"/>
  <c r="U49" i="104"/>
  <c r="I49" i="104"/>
  <c r="I48" i="104" s="1"/>
  <c r="AE49" i="104"/>
  <c r="AE48" i="104" s="1"/>
  <c r="G49" i="104"/>
  <c r="G48" i="104" s="1"/>
  <c r="AF49" i="104"/>
  <c r="T49" i="104"/>
  <c r="H49" i="104"/>
  <c r="S49" i="104"/>
  <c r="S48" i="104" s="1"/>
  <c r="AD49" i="104"/>
  <c r="M49" i="104"/>
  <c r="E49" i="104"/>
  <c r="E48" i="104" s="1"/>
  <c r="Z49" i="104"/>
  <c r="Z48" i="104" s="1"/>
  <c r="Y49" i="104"/>
  <c r="AC49" i="104"/>
  <c r="AC48" i="104" s="1"/>
  <c r="L49" i="104"/>
  <c r="L48" i="104" s="1"/>
  <c r="AA49" i="104"/>
  <c r="AA48" i="104" s="1"/>
  <c r="C49" i="104"/>
  <c r="AB49" i="104"/>
  <c r="F49" i="104"/>
  <c r="F48" i="104" s="1"/>
  <c r="D49" i="104"/>
  <c r="AG16" i="104"/>
  <c r="P51" i="104"/>
  <c r="J15" i="104"/>
  <c r="J13" i="104" s="1"/>
  <c r="J17" i="104" s="1"/>
  <c r="O49" i="104"/>
  <c r="O48" i="104" s="1"/>
  <c r="Q51" i="104"/>
  <c r="AE14" i="104"/>
  <c r="AE13" i="104" s="1"/>
  <c r="AE17" i="104" s="1"/>
  <c r="P49" i="104"/>
  <c r="R51" i="104"/>
  <c r="E17" i="104"/>
  <c r="H14" i="104"/>
  <c r="H13" i="104" s="1"/>
  <c r="H17" i="104"/>
  <c r="Q49" i="104"/>
  <c r="S51" i="104"/>
  <c r="P15" i="104"/>
  <c r="P13" i="104" s="1"/>
  <c r="P17" i="104" s="1"/>
  <c r="C21" i="104"/>
  <c r="AG22" i="104"/>
  <c r="Q14" i="104"/>
  <c r="S14" i="104"/>
  <c r="S15" i="104"/>
  <c r="AG24" i="104"/>
  <c r="C53" i="104"/>
  <c r="I21" i="104"/>
  <c r="D51" i="104"/>
  <c r="I15" i="104"/>
  <c r="I13" i="104" s="1"/>
  <c r="I17" i="104" s="1"/>
  <c r="N49" i="104"/>
  <c r="F17" i="104"/>
  <c r="C9" i="104"/>
  <c r="AG10" i="104"/>
  <c r="R49" i="104"/>
  <c r="R48" i="104" s="1"/>
  <c r="Y51" i="104"/>
  <c r="L9" i="104"/>
  <c r="X9" i="104"/>
  <c r="AG20" i="104"/>
  <c r="AC15" i="104"/>
  <c r="M9" i="104"/>
  <c r="Y9" i="104"/>
  <c r="K18" i="104"/>
  <c r="W18" i="104"/>
  <c r="AG25" i="104"/>
  <c r="M52" i="104"/>
  <c r="Y52" i="104"/>
  <c r="N52" i="104"/>
  <c r="Z52" i="104"/>
  <c r="C52" i="104"/>
  <c r="O52" i="104"/>
  <c r="AA52" i="104"/>
  <c r="D52" i="104"/>
  <c r="P52" i="104"/>
  <c r="I15" i="103"/>
  <c r="I14" i="103"/>
  <c r="X9" i="103"/>
  <c r="X14" i="103" s="1"/>
  <c r="O49" i="103"/>
  <c r="P49" i="103"/>
  <c r="S52" i="103"/>
  <c r="Y18" i="103"/>
  <c r="I21" i="103"/>
  <c r="E52" i="103"/>
  <c r="T52" i="103"/>
  <c r="L18" i="103"/>
  <c r="I18" i="103"/>
  <c r="R49" i="103"/>
  <c r="U52" i="103"/>
  <c r="J18" i="103"/>
  <c r="AF49" i="103"/>
  <c r="V52" i="103"/>
  <c r="X52" i="103"/>
  <c r="AF18" i="103"/>
  <c r="E51" i="103"/>
  <c r="V51" i="103"/>
  <c r="J52" i="103"/>
  <c r="Y52" i="103"/>
  <c r="P18" i="103"/>
  <c r="L9" i="103"/>
  <c r="L15" i="103" s="1"/>
  <c r="X18" i="103"/>
  <c r="F52" i="103"/>
  <c r="G52" i="103"/>
  <c r="H52" i="103"/>
  <c r="W52" i="103"/>
  <c r="I52" i="103"/>
  <c r="F51" i="103"/>
  <c r="Z51" i="103"/>
  <c r="K52" i="103"/>
  <c r="AC52" i="103"/>
  <c r="AA9" i="103"/>
  <c r="AA15" i="103" s="1"/>
  <c r="O9" i="103"/>
  <c r="G21" i="103"/>
  <c r="AG16" i="103"/>
  <c r="U51" i="103"/>
  <c r="J9" i="103"/>
  <c r="J14" i="103" s="1"/>
  <c r="D18" i="103"/>
  <c r="D27" i="103" s="1"/>
  <c r="G51" i="103"/>
  <c r="L52" i="103"/>
  <c r="AD52" i="103"/>
  <c r="AC9" i="103"/>
  <c r="Q9" i="103"/>
  <c r="Z9" i="103"/>
  <c r="N9" i="103"/>
  <c r="N14" i="103" s="1"/>
  <c r="AG20" i="103"/>
  <c r="AA14" i="103"/>
  <c r="O15" i="103"/>
  <c r="O14" i="103"/>
  <c r="O13" i="103" s="1"/>
  <c r="O17" i="103" s="1"/>
  <c r="Z15" i="103"/>
  <c r="Z14" i="103"/>
  <c r="Z13" i="103" s="1"/>
  <c r="Z17" i="103" s="1"/>
  <c r="Y15" i="103"/>
  <c r="Y14" i="103"/>
  <c r="U15" i="103"/>
  <c r="U14" i="103"/>
  <c r="U13" i="103" s="1"/>
  <c r="U17" i="103" s="1"/>
  <c r="V14" i="103"/>
  <c r="V13" i="103" s="1"/>
  <c r="V17" i="103" s="1"/>
  <c r="W14" i="103"/>
  <c r="W13" i="103" s="1"/>
  <c r="W17" i="103" s="1"/>
  <c r="AG11" i="103"/>
  <c r="D26" i="103"/>
  <c r="E26" i="103"/>
  <c r="G14" i="103"/>
  <c r="G15" i="103"/>
  <c r="AG19" i="103"/>
  <c r="R15" i="103"/>
  <c r="R14" i="103"/>
  <c r="R13" i="103" s="1"/>
  <c r="R17" i="103" s="1"/>
  <c r="AD14" i="103"/>
  <c r="AD15" i="103"/>
  <c r="I13" i="103"/>
  <c r="I17" i="103" s="1"/>
  <c r="T14" i="103"/>
  <c r="T15" i="103"/>
  <c r="E21" i="103"/>
  <c r="E27" i="103" s="1"/>
  <c r="AG25" i="103"/>
  <c r="J15" i="103"/>
  <c r="J13" i="103" s="1"/>
  <c r="J17" i="103" s="1"/>
  <c r="Q15" i="103"/>
  <c r="Q14" i="103"/>
  <c r="K15" i="103"/>
  <c r="K13" i="103" s="1"/>
  <c r="K17" i="103" s="1"/>
  <c r="S14" i="103"/>
  <c r="S15" i="103"/>
  <c r="AG24" i="103"/>
  <c r="X15" i="103"/>
  <c r="X13" i="103" s="1"/>
  <c r="X17" i="103" s="1"/>
  <c r="W49" i="103"/>
  <c r="K49" i="103"/>
  <c r="K48" i="103" s="1"/>
  <c r="V49" i="103"/>
  <c r="J49" i="103"/>
  <c r="Y49" i="103"/>
  <c r="I49" i="103"/>
  <c r="I48" i="103" s="1"/>
  <c r="X49" i="103"/>
  <c r="H49" i="103"/>
  <c r="U49" i="103"/>
  <c r="G49" i="103"/>
  <c r="S49" i="103"/>
  <c r="H15" i="103"/>
  <c r="H13" i="103" s="1"/>
  <c r="H17" i="103" s="1"/>
  <c r="AA18" i="103"/>
  <c r="F21" i="103"/>
  <c r="F27" i="103" s="1"/>
  <c r="C49" i="103"/>
  <c r="T49" i="103"/>
  <c r="T48" i="103" s="1"/>
  <c r="AE14" i="103"/>
  <c r="D21" i="103"/>
  <c r="D49" i="103"/>
  <c r="Z49" i="103"/>
  <c r="AF14" i="103"/>
  <c r="AF15" i="103"/>
  <c r="M17" i="103"/>
  <c r="E49" i="103"/>
  <c r="AA49" i="103"/>
  <c r="C18" i="103"/>
  <c r="AG22" i="103"/>
  <c r="F49" i="103"/>
  <c r="F48" i="103" s="1"/>
  <c r="AB49" i="103"/>
  <c r="AB48" i="103" s="1"/>
  <c r="C9" i="103"/>
  <c r="AG10" i="103"/>
  <c r="AE15" i="103"/>
  <c r="L49" i="103"/>
  <c r="L48" i="103" s="1"/>
  <c r="AC49" i="103"/>
  <c r="AC48" i="103" s="1"/>
  <c r="P15" i="103"/>
  <c r="P14" i="103"/>
  <c r="AB15" i="103"/>
  <c r="AB13" i="103" s="1"/>
  <c r="AB17" i="103" s="1"/>
  <c r="AG12" i="103"/>
  <c r="M15" i="103"/>
  <c r="M13" i="103" s="1"/>
  <c r="M49" i="103"/>
  <c r="AD49" i="103"/>
  <c r="AD48" i="103" s="1"/>
  <c r="N49" i="103"/>
  <c r="N48" i="103" s="1"/>
  <c r="AE49" i="103"/>
  <c r="C21" i="103"/>
  <c r="Y51" i="103"/>
  <c r="M51" i="103"/>
  <c r="W51" i="103"/>
  <c r="X51" i="103"/>
  <c r="L51" i="103"/>
  <c r="P51" i="103"/>
  <c r="AE51" i="103"/>
  <c r="C51" i="103"/>
  <c r="Q51" i="103"/>
  <c r="Q48" i="103" s="1"/>
  <c r="AF51" i="103"/>
  <c r="AF48" i="103" s="1"/>
  <c r="D51" i="103"/>
  <c r="R51" i="103"/>
  <c r="R48" i="103" s="1"/>
  <c r="C52" i="103"/>
  <c r="O52" i="103"/>
  <c r="O48" i="103" s="1"/>
  <c r="AA52" i="103"/>
  <c r="N52" i="103"/>
  <c r="Z52" i="103"/>
  <c r="D52" i="103"/>
  <c r="P52" i="103"/>
  <c r="Q36" i="88"/>
  <c r="G42" i="88" s="1"/>
  <c r="E36" i="88"/>
  <c r="P36" i="88"/>
  <c r="F42" i="88" s="1"/>
  <c r="D36" i="88"/>
  <c r="AA36" i="88"/>
  <c r="G48" i="88" s="1"/>
  <c r="O36" i="88"/>
  <c r="E42" i="88" s="1"/>
  <c r="C36" i="88"/>
  <c r="Z36" i="88"/>
  <c r="F48" i="88" s="1"/>
  <c r="N36" i="88"/>
  <c r="D42" i="88" s="1"/>
  <c r="J26" i="88"/>
  <c r="F31" i="88"/>
  <c r="J30" i="88"/>
  <c r="K25" i="88"/>
  <c r="J25" i="88"/>
  <c r="J29" i="88"/>
  <c r="J28" i="88"/>
  <c r="J27" i="88"/>
  <c r="K52" i="101"/>
  <c r="K52" i="102"/>
  <c r="AG12" i="102"/>
  <c r="F45" i="89"/>
  <c r="I14" i="102"/>
  <c r="I15" i="102"/>
  <c r="D26" i="102"/>
  <c r="D27" i="102"/>
  <c r="Z49" i="102"/>
  <c r="G15" i="102"/>
  <c r="G14" i="102"/>
  <c r="F18" i="102"/>
  <c r="J14" i="102"/>
  <c r="J15" i="102"/>
  <c r="W49" i="102"/>
  <c r="W48" i="102" s="1"/>
  <c r="K49" i="102"/>
  <c r="U49" i="102"/>
  <c r="I49" i="102"/>
  <c r="I48" i="102" s="1"/>
  <c r="AE49" i="102"/>
  <c r="AE48" i="102" s="1"/>
  <c r="G49" i="102"/>
  <c r="G48" i="102" s="1"/>
  <c r="AF49" i="102"/>
  <c r="AF48" i="102" s="1"/>
  <c r="T49" i="102"/>
  <c r="T48" i="102" s="1"/>
  <c r="H49" i="102"/>
  <c r="H48" i="102" s="1"/>
  <c r="S49" i="102"/>
  <c r="Q49" i="102"/>
  <c r="Q48" i="102" s="1"/>
  <c r="P49" i="102"/>
  <c r="O49" i="102"/>
  <c r="O48" i="102" s="1"/>
  <c r="AD49" i="102"/>
  <c r="AD48" i="102" s="1"/>
  <c r="N49" i="102"/>
  <c r="N48" i="102" s="1"/>
  <c r="AC49" i="102"/>
  <c r="AC48" i="102" s="1"/>
  <c r="M49" i="102"/>
  <c r="M48" i="102" s="1"/>
  <c r="Y49" i="102"/>
  <c r="Y48" i="102" s="1"/>
  <c r="D49" i="102"/>
  <c r="D48" i="102" s="1"/>
  <c r="AB49" i="102"/>
  <c r="AB48" i="102" s="1"/>
  <c r="X49" i="102"/>
  <c r="X48" i="102" s="1"/>
  <c r="V49" i="102"/>
  <c r="R49" i="102"/>
  <c r="L49" i="102"/>
  <c r="L48" i="102" s="1"/>
  <c r="J49" i="102"/>
  <c r="F49" i="102"/>
  <c r="F48" i="102" s="1"/>
  <c r="E49" i="102"/>
  <c r="E48" i="102" s="1"/>
  <c r="C49" i="102"/>
  <c r="E26" i="102"/>
  <c r="E27" i="102"/>
  <c r="F26" i="102"/>
  <c r="F27" i="102" s="1"/>
  <c r="H13" i="102"/>
  <c r="H17" i="102" s="1"/>
  <c r="E21" i="102"/>
  <c r="H15" i="102"/>
  <c r="D18" i="102"/>
  <c r="I18" i="102"/>
  <c r="D21" i="102"/>
  <c r="P51" i="102"/>
  <c r="AF51" i="102"/>
  <c r="Y51" i="102"/>
  <c r="M51" i="102"/>
  <c r="W51" i="102"/>
  <c r="K51" i="102"/>
  <c r="I51" i="102"/>
  <c r="V51" i="102"/>
  <c r="J51" i="102"/>
  <c r="U51" i="102"/>
  <c r="R51" i="102"/>
  <c r="C21" i="102"/>
  <c r="C51" i="102"/>
  <c r="S51" i="102"/>
  <c r="M53" i="102"/>
  <c r="Y53" i="102"/>
  <c r="N53" i="102"/>
  <c r="Z53" i="102"/>
  <c r="D53" i="102"/>
  <c r="P53" i="102"/>
  <c r="C45" i="89"/>
  <c r="D45" i="89"/>
  <c r="B45" i="89"/>
  <c r="E45" i="89"/>
  <c r="S53" i="101"/>
  <c r="S49" i="101"/>
  <c r="G51" i="101"/>
  <c r="T53" i="101"/>
  <c r="E17" i="101"/>
  <c r="E26" i="101" s="1"/>
  <c r="E51" i="101"/>
  <c r="F51" i="101"/>
  <c r="H18" i="101"/>
  <c r="I21" i="101"/>
  <c r="D49" i="101"/>
  <c r="T49" i="101"/>
  <c r="J51" i="101"/>
  <c r="U53" i="101"/>
  <c r="AE51" i="101"/>
  <c r="AE48" i="101" s="1"/>
  <c r="E18" i="101"/>
  <c r="J21" i="101"/>
  <c r="H9" i="101"/>
  <c r="G49" i="101"/>
  <c r="V49" i="101"/>
  <c r="P51" i="101"/>
  <c r="I14" i="101"/>
  <c r="I13" i="101" s="1"/>
  <c r="I17" i="101" s="1"/>
  <c r="I26" i="101" s="1"/>
  <c r="J9" i="101"/>
  <c r="J14" i="101" s="1"/>
  <c r="E21" i="101"/>
  <c r="D51" i="101"/>
  <c r="R53" i="101"/>
  <c r="O51" i="101"/>
  <c r="H49" i="101"/>
  <c r="W49" i="101"/>
  <c r="S51" i="101"/>
  <c r="Y48" i="101"/>
  <c r="E48" i="101"/>
  <c r="V48" i="101"/>
  <c r="C17" i="101"/>
  <c r="D21" i="101"/>
  <c r="C54" i="101"/>
  <c r="D17" i="101"/>
  <c r="G48" i="101"/>
  <c r="H15" i="101"/>
  <c r="H14" i="101"/>
  <c r="H13" i="101" s="1"/>
  <c r="H17" i="101"/>
  <c r="V53" i="101"/>
  <c r="AG16" i="101"/>
  <c r="H21" i="101"/>
  <c r="C53" i="101"/>
  <c r="Z53" i="101"/>
  <c r="C18" i="101"/>
  <c r="E53" i="101"/>
  <c r="AA53" i="101"/>
  <c r="D18" i="101"/>
  <c r="Q51" i="101"/>
  <c r="Q48" i="101" s="1"/>
  <c r="F53" i="101"/>
  <c r="AC53" i="101"/>
  <c r="AB53" i="101"/>
  <c r="P53" i="101"/>
  <c r="P48" i="101" s="1"/>
  <c r="D53" i="101"/>
  <c r="D48" i="101" s="1"/>
  <c r="Y53" i="101"/>
  <c r="M53" i="101"/>
  <c r="W53" i="101"/>
  <c r="K53" i="101"/>
  <c r="X53" i="101"/>
  <c r="L53" i="101"/>
  <c r="AF53" i="101"/>
  <c r="O53" i="101"/>
  <c r="J53" i="101"/>
  <c r="AE53" i="101"/>
  <c r="N53" i="101"/>
  <c r="AD53" i="101"/>
  <c r="AD48" i="101" s="1"/>
  <c r="AG12" i="101"/>
  <c r="H53" i="101"/>
  <c r="X51" i="101"/>
  <c r="L51" i="101"/>
  <c r="L48" i="101" s="1"/>
  <c r="U51" i="101"/>
  <c r="U48" i="101" s="1"/>
  <c r="I51" i="101"/>
  <c r="I48" i="101" s="1"/>
  <c r="AF51" i="101"/>
  <c r="AF48" i="101" s="1"/>
  <c r="T51" i="101"/>
  <c r="T48" i="101" s="1"/>
  <c r="H51" i="101"/>
  <c r="AC51" i="101"/>
  <c r="N51" i="101"/>
  <c r="K51" i="101"/>
  <c r="AB51" i="101"/>
  <c r="M51" i="101"/>
  <c r="AA51" i="101"/>
  <c r="V51" i="101"/>
  <c r="I53" i="101"/>
  <c r="F9" i="101"/>
  <c r="F17" i="101" s="1"/>
  <c r="C51" i="101"/>
  <c r="W51" i="101"/>
  <c r="Q53" i="101"/>
  <c r="G9" i="101"/>
  <c r="F21" i="101"/>
  <c r="J48" i="101"/>
  <c r="G18" i="101"/>
  <c r="G21" i="101"/>
  <c r="N49" i="101"/>
  <c r="Z49" i="101"/>
  <c r="Z48" i="101" s="1"/>
  <c r="C49" i="101"/>
  <c r="O49" i="101"/>
  <c r="O48" i="101" s="1"/>
  <c r="AA49" i="101"/>
  <c r="AA48" i="101" s="1"/>
  <c r="F49" i="101"/>
  <c r="R49" i="101"/>
  <c r="R48" i="101" s="1"/>
  <c r="I72" i="90"/>
  <c r="L50" i="100"/>
  <c r="L48" i="100" s="1"/>
  <c r="F17" i="89"/>
  <c r="E18" i="89"/>
  <c r="B41" i="89" s="1"/>
  <c r="C18" i="89"/>
  <c r="B39" i="89" s="1"/>
  <c r="D18" i="89"/>
  <c r="B40" i="89" s="1"/>
  <c r="C28" i="89"/>
  <c r="F46" i="89" s="1"/>
  <c r="K9" i="100"/>
  <c r="K15" i="100" s="1"/>
  <c r="AG11" i="100"/>
  <c r="E27" i="100"/>
  <c r="E26" i="100"/>
  <c r="F26" i="100"/>
  <c r="F27" i="100"/>
  <c r="C21" i="100"/>
  <c r="U48" i="100"/>
  <c r="V48" i="100"/>
  <c r="C17" i="100"/>
  <c r="AG12" i="100"/>
  <c r="D9" i="100"/>
  <c r="D17" i="100" s="1"/>
  <c r="E51" i="100"/>
  <c r="AE51" i="100"/>
  <c r="AE48" i="100" s="1"/>
  <c r="H21" i="100"/>
  <c r="AB51" i="100"/>
  <c r="J48" i="100"/>
  <c r="C51" i="100"/>
  <c r="C53" i="100"/>
  <c r="D51" i="100"/>
  <c r="I9" i="100"/>
  <c r="J9" i="100"/>
  <c r="H15" i="100"/>
  <c r="H13" i="100" s="1"/>
  <c r="H17" i="100" s="1"/>
  <c r="C18" i="100"/>
  <c r="G21" i="100"/>
  <c r="X51" i="100"/>
  <c r="X48" i="100" s="1"/>
  <c r="L51" i="100"/>
  <c r="W51" i="100"/>
  <c r="K51" i="100"/>
  <c r="K48" i="100" s="1"/>
  <c r="V51" i="100"/>
  <c r="J51" i="100"/>
  <c r="H51" i="100"/>
  <c r="H48" i="100" s="1"/>
  <c r="U51" i="100"/>
  <c r="I51" i="100"/>
  <c r="I48" i="100" s="1"/>
  <c r="AF51" i="100"/>
  <c r="AF48" i="100" s="1"/>
  <c r="T51" i="100"/>
  <c r="T48" i="100" s="1"/>
  <c r="R51" i="100"/>
  <c r="Q51" i="100"/>
  <c r="P51" i="100"/>
  <c r="O51" i="100"/>
  <c r="I21" i="100"/>
  <c r="AC51" i="100"/>
  <c r="G14" i="100"/>
  <c r="AD51" i="100"/>
  <c r="AD48" i="100" s="1"/>
  <c r="S48" i="100"/>
  <c r="G51" i="100"/>
  <c r="G48" i="100" s="1"/>
  <c r="J21" i="100"/>
  <c r="Y48" i="100"/>
  <c r="W48" i="100"/>
  <c r="G18" i="100"/>
  <c r="AG16" i="100"/>
  <c r="C49" i="100"/>
  <c r="O49" i="100"/>
  <c r="AA49" i="100"/>
  <c r="AA48" i="100" s="1"/>
  <c r="M52" i="100"/>
  <c r="M48" i="100" s="1"/>
  <c r="Y52" i="100"/>
  <c r="N49" i="100"/>
  <c r="N48" i="100" s="1"/>
  <c r="Z49" i="100"/>
  <c r="D49" i="100"/>
  <c r="P49" i="100"/>
  <c r="P48" i="100" s="1"/>
  <c r="AB49" i="100"/>
  <c r="AB48" i="100" s="1"/>
  <c r="N52" i="100"/>
  <c r="Z52" i="100"/>
  <c r="E49" i="100"/>
  <c r="Q49" i="100"/>
  <c r="AC49" i="100"/>
  <c r="AC48" i="100" s="1"/>
  <c r="C52" i="100"/>
  <c r="O52" i="100"/>
  <c r="F49" i="100"/>
  <c r="F48" i="100" s="1"/>
  <c r="R49" i="100"/>
  <c r="G15" i="90"/>
  <c r="H15" i="90" s="1"/>
  <c r="H16" i="90" s="1"/>
  <c r="F16" i="90"/>
  <c r="D16" i="90"/>
  <c r="E16" i="90"/>
  <c r="L50" i="98"/>
  <c r="L48" i="98" s="1"/>
  <c r="N49" i="98"/>
  <c r="T52" i="98"/>
  <c r="I9" i="98"/>
  <c r="I18" i="98"/>
  <c r="U52" i="98"/>
  <c r="J49" i="98"/>
  <c r="G9" i="98"/>
  <c r="G15" i="98" s="1"/>
  <c r="J18" i="98"/>
  <c r="E52" i="98"/>
  <c r="V52" i="98"/>
  <c r="F18" i="98"/>
  <c r="F9" i="98"/>
  <c r="F17" i="98" s="1"/>
  <c r="F26" i="98" s="1"/>
  <c r="F52" i="98"/>
  <c r="W52" i="98"/>
  <c r="C26" i="90"/>
  <c r="J21" i="98"/>
  <c r="K21" i="98"/>
  <c r="H21" i="98"/>
  <c r="G21" i="98"/>
  <c r="F21" i="98"/>
  <c r="D21" i="98"/>
  <c r="I21" i="98"/>
  <c r="X51" i="98"/>
  <c r="L51" i="98"/>
  <c r="W51" i="98"/>
  <c r="K51" i="98"/>
  <c r="V51" i="98"/>
  <c r="J51" i="98"/>
  <c r="U51" i="98"/>
  <c r="I51" i="98"/>
  <c r="AF51" i="98"/>
  <c r="T51" i="98"/>
  <c r="H51" i="98"/>
  <c r="AE51" i="98"/>
  <c r="S51" i="98"/>
  <c r="G51" i="98"/>
  <c r="AC51" i="98"/>
  <c r="Q51" i="98"/>
  <c r="E51" i="98"/>
  <c r="AB51" i="98"/>
  <c r="P51" i="98"/>
  <c r="D51" i="98"/>
  <c r="AA51" i="98"/>
  <c r="AD51" i="98"/>
  <c r="Z51" i="98"/>
  <c r="Y51" i="98"/>
  <c r="R51" i="98"/>
  <c r="O51" i="98"/>
  <c r="M51" i="98"/>
  <c r="F51" i="98"/>
  <c r="C51" i="98"/>
  <c r="N51" i="98"/>
  <c r="C17" i="98"/>
  <c r="D26" i="98"/>
  <c r="J15" i="98"/>
  <c r="J13" i="98" s="1"/>
  <c r="J17" i="98" s="1"/>
  <c r="K15" i="98"/>
  <c r="K14" i="98"/>
  <c r="K13" i="98" s="1"/>
  <c r="K17" i="98" s="1"/>
  <c r="AG11" i="98"/>
  <c r="G14" i="98"/>
  <c r="AG16" i="98"/>
  <c r="I14" i="98"/>
  <c r="I15" i="98"/>
  <c r="AF49" i="98"/>
  <c r="T49" i="98"/>
  <c r="H49" i="98"/>
  <c r="AE49" i="98"/>
  <c r="S49" i="98"/>
  <c r="G49" i="98"/>
  <c r="AD49" i="98"/>
  <c r="R49" i="98"/>
  <c r="F49" i="98"/>
  <c r="AC49" i="98"/>
  <c r="Q49" i="98"/>
  <c r="E49" i="98"/>
  <c r="AB49" i="98"/>
  <c r="P49" i="98"/>
  <c r="D49" i="98"/>
  <c r="AA49" i="98"/>
  <c r="O49" i="98"/>
  <c r="C49" i="98"/>
  <c r="Y49" i="98"/>
  <c r="M49" i="98"/>
  <c r="X49" i="98"/>
  <c r="L49" i="98"/>
  <c r="I49" i="98"/>
  <c r="U49" i="98"/>
  <c r="AG12" i="98"/>
  <c r="V49" i="98"/>
  <c r="Z49" i="98"/>
  <c r="E26" i="98"/>
  <c r="W49" i="98"/>
  <c r="H9" i="98"/>
  <c r="L52" i="98"/>
  <c r="X52" i="98"/>
  <c r="M52" i="98"/>
  <c r="Y52" i="98"/>
  <c r="N52" i="98"/>
  <c r="Z52" i="98"/>
  <c r="C52" i="98"/>
  <c r="O52" i="98"/>
  <c r="AA52" i="98"/>
  <c r="D52" i="98"/>
  <c r="P52" i="98"/>
  <c r="C21" i="90"/>
  <c r="D35" i="90"/>
  <c r="C36" i="90"/>
  <c r="C37" i="90" s="1"/>
  <c r="B36" i="90"/>
  <c r="B37" i="90" s="1"/>
  <c r="B39" i="90" s="1"/>
  <c r="R9" i="97"/>
  <c r="R15" i="97" s="1"/>
  <c r="AE9" i="97"/>
  <c r="AE15" i="97" s="1"/>
  <c r="T9" i="97"/>
  <c r="T14" i="97" s="1"/>
  <c r="AF9" i="97"/>
  <c r="AF15" i="97" s="1"/>
  <c r="N9" i="97"/>
  <c r="N15" i="97" s="1"/>
  <c r="O9" i="97"/>
  <c r="O14" i="97" s="1"/>
  <c r="AA9" i="97"/>
  <c r="AA14" i="97" s="1"/>
  <c r="V9" i="97"/>
  <c r="V14" i="97" s="1"/>
  <c r="P9" i="97"/>
  <c r="P15" i="97" s="1"/>
  <c r="AB9" i="97"/>
  <c r="AB14" i="97" s="1"/>
  <c r="K9" i="97"/>
  <c r="K15" i="97" s="1"/>
  <c r="W9" i="97"/>
  <c r="W14" i="97" s="1"/>
  <c r="Q9" i="97"/>
  <c r="Q15" i="97" s="1"/>
  <c r="AC9" i="97"/>
  <c r="AC14" i="97" s="1"/>
  <c r="L9" i="97"/>
  <c r="L15" i="97" s="1"/>
  <c r="AD9" i="97"/>
  <c r="AD14" i="97" s="1"/>
  <c r="X9" i="97"/>
  <c r="X14" i="97" s="1"/>
  <c r="U9" i="97"/>
  <c r="U15" i="97" s="1"/>
  <c r="Z9" i="97"/>
  <c r="Z15" i="97" s="1"/>
  <c r="AG12" i="97"/>
  <c r="AG11" i="97"/>
  <c r="S9" i="97"/>
  <c r="S15" i="97" s="1"/>
  <c r="J14" i="97"/>
  <c r="J15" i="97"/>
  <c r="E26" i="97"/>
  <c r="AG25" i="97"/>
  <c r="N48" i="97"/>
  <c r="V18" i="97"/>
  <c r="C9" i="97"/>
  <c r="H13" i="97"/>
  <c r="H17" i="97" s="1"/>
  <c r="I9" i="97"/>
  <c r="C52" i="97"/>
  <c r="D26" i="97"/>
  <c r="AG24" i="97"/>
  <c r="AG18" i="97"/>
  <c r="F26" i="97"/>
  <c r="J18" i="97"/>
  <c r="AG10" i="97"/>
  <c r="AG20" i="97"/>
  <c r="X50" i="97"/>
  <c r="L50" i="97"/>
  <c r="L48" i="97" s="1"/>
  <c r="I50" i="97"/>
  <c r="I48" i="97" s="1"/>
  <c r="W50" i="97"/>
  <c r="K50" i="97"/>
  <c r="K48" i="97" s="1"/>
  <c r="V50" i="97"/>
  <c r="V48" i="97" s="1"/>
  <c r="J50" i="97"/>
  <c r="J48" i="97" s="1"/>
  <c r="U50" i="97"/>
  <c r="AC50" i="97"/>
  <c r="Q50" i="97"/>
  <c r="E50" i="97"/>
  <c r="AF50" i="97"/>
  <c r="N50" i="97"/>
  <c r="AE50" i="97"/>
  <c r="M50" i="97"/>
  <c r="AD50" i="97"/>
  <c r="H50" i="97"/>
  <c r="AB50" i="97"/>
  <c r="AB48" i="97" s="1"/>
  <c r="G50" i="97"/>
  <c r="C50" i="97"/>
  <c r="D50" i="97"/>
  <c r="D48" i="97" s="1"/>
  <c r="Z48" i="97"/>
  <c r="T50" i="97"/>
  <c r="O48" i="97"/>
  <c r="R50" i="97"/>
  <c r="S50" i="97"/>
  <c r="G9" i="97"/>
  <c r="Y50" i="97"/>
  <c r="U49" i="97"/>
  <c r="U48" i="97" s="1"/>
  <c r="M9" i="97"/>
  <c r="Y9" i="97"/>
  <c r="AF49" i="97"/>
  <c r="AF48" i="97" s="1"/>
  <c r="T49" i="97"/>
  <c r="H49" i="97"/>
  <c r="AC49" i="97"/>
  <c r="AC48" i="97" s="1"/>
  <c r="E49" i="97"/>
  <c r="E48" i="97" s="1"/>
  <c r="AE49" i="97"/>
  <c r="S49" i="97"/>
  <c r="S48" i="97" s="1"/>
  <c r="G49" i="97"/>
  <c r="AD49" i="97"/>
  <c r="AD48" i="97" s="1"/>
  <c r="R49" i="97"/>
  <c r="F49" i="97"/>
  <c r="F48" i="97" s="1"/>
  <c r="Q49" i="97"/>
  <c r="Q48" i="97" s="1"/>
  <c r="Y49" i="97"/>
  <c r="M49" i="97"/>
  <c r="W49" i="97"/>
  <c r="C49" i="97"/>
  <c r="X49" i="97"/>
  <c r="N51" i="97"/>
  <c r="Z51" i="97"/>
  <c r="C51" i="97"/>
  <c r="O51" i="97"/>
  <c r="AA51" i="97"/>
  <c r="AA48" i="97" s="1"/>
  <c r="D51" i="97"/>
  <c r="P51" i="97"/>
  <c r="P48" i="97" s="1"/>
  <c r="D9" i="94"/>
  <c r="D17" i="94" s="1"/>
  <c r="AB18" i="94"/>
  <c r="AA49" i="94"/>
  <c r="E18" i="94"/>
  <c r="AC18" i="94"/>
  <c r="V49" i="94"/>
  <c r="V48" i="94" s="1"/>
  <c r="U50" i="94"/>
  <c r="F18" i="94"/>
  <c r="P49" i="94"/>
  <c r="Q50" i="94"/>
  <c r="V50" i="94"/>
  <c r="O50" i="94"/>
  <c r="AF18" i="94"/>
  <c r="J49" i="94"/>
  <c r="N50" i="94"/>
  <c r="P18" i="94"/>
  <c r="O49" i="94"/>
  <c r="D49" i="94"/>
  <c r="L50" i="94"/>
  <c r="AD50" i="94"/>
  <c r="AC50" i="94"/>
  <c r="AA50" i="94"/>
  <c r="AB49" i="94"/>
  <c r="Y50" i="94"/>
  <c r="I14" i="94"/>
  <c r="I15" i="94"/>
  <c r="AG28" i="94"/>
  <c r="X51" i="94"/>
  <c r="T50" i="94"/>
  <c r="F50" i="94"/>
  <c r="V51" i="94"/>
  <c r="H51" i="94"/>
  <c r="AG24" i="94"/>
  <c r="J51" i="94"/>
  <c r="I51" i="94"/>
  <c r="N49" i="94"/>
  <c r="N48" i="94" s="1"/>
  <c r="G18" i="94"/>
  <c r="S18" i="94"/>
  <c r="AE18" i="94"/>
  <c r="Y49" i="94"/>
  <c r="M49" i="94"/>
  <c r="AF50" i="94"/>
  <c r="S50" i="94"/>
  <c r="E50" i="94"/>
  <c r="U51" i="94"/>
  <c r="G51" i="94"/>
  <c r="W51" i="94"/>
  <c r="Z49" i="94"/>
  <c r="AG16" i="94"/>
  <c r="X49" i="94"/>
  <c r="L49" i="94"/>
  <c r="AE50" i="94"/>
  <c r="R50" i="94"/>
  <c r="C50" i="94"/>
  <c r="C48" i="94" s="1"/>
  <c r="T51" i="94"/>
  <c r="E51" i="94"/>
  <c r="AG23" i="94"/>
  <c r="H9" i="94"/>
  <c r="H15" i="94" s="1"/>
  <c r="AG20" i="94"/>
  <c r="W49" i="94"/>
  <c r="K49" i="94"/>
  <c r="S51" i="94"/>
  <c r="D51" i="94"/>
  <c r="D48" i="94" s="1"/>
  <c r="J9" i="94"/>
  <c r="J15" i="94" s="1"/>
  <c r="K18" i="94"/>
  <c r="W18" i="94"/>
  <c r="U49" i="94"/>
  <c r="U48" i="94" s="1"/>
  <c r="I49" i="94"/>
  <c r="AE51" i="94"/>
  <c r="P51" i="94"/>
  <c r="L18" i="94"/>
  <c r="X18" i="94"/>
  <c r="AF49" i="94"/>
  <c r="AF48" i="94" s="1"/>
  <c r="T49" i="94"/>
  <c r="T48" i="94" s="1"/>
  <c r="H49" i="94"/>
  <c r="H48" i="94" s="1"/>
  <c r="Z50" i="94"/>
  <c r="M50" i="94"/>
  <c r="AC51" i="94"/>
  <c r="N51" i="94"/>
  <c r="AF51" i="94"/>
  <c r="S49" i="94"/>
  <c r="S48" i="94" s="1"/>
  <c r="AB51" i="94"/>
  <c r="AD49" i="94"/>
  <c r="R49" i="94"/>
  <c r="F49" i="94"/>
  <c r="X50" i="94"/>
  <c r="K50" i="94"/>
  <c r="Z51" i="94"/>
  <c r="L51" i="94"/>
  <c r="AG25" i="94"/>
  <c r="Q51" i="94"/>
  <c r="AE49" i="94"/>
  <c r="AE48" i="94" s="1"/>
  <c r="G49" i="94"/>
  <c r="G48" i="94" s="1"/>
  <c r="M51" i="94"/>
  <c r="AG19" i="94"/>
  <c r="AC49" i="94"/>
  <c r="Q49" i="94"/>
  <c r="W50" i="94"/>
  <c r="I50" i="94"/>
  <c r="Y51" i="94"/>
  <c r="K51" i="94"/>
  <c r="E48" i="94"/>
  <c r="AD51" i="94"/>
  <c r="R51" i="94"/>
  <c r="F51" i="94"/>
  <c r="AA51" i="94"/>
  <c r="AA48" i="94" s="1"/>
  <c r="O51" i="94"/>
  <c r="O48" i="94" s="1"/>
  <c r="AC48" i="94"/>
  <c r="Q48" i="94"/>
  <c r="J50" i="94"/>
  <c r="AB50" i="94"/>
  <c r="AB48" i="94" s="1"/>
  <c r="P50" i="94"/>
  <c r="E26" i="94"/>
  <c r="D26" i="94"/>
  <c r="F26" i="94"/>
  <c r="C17" i="94"/>
  <c r="G14" i="94"/>
  <c r="B19" i="91"/>
  <c r="S10" i="91"/>
  <c r="S22" i="91"/>
  <c r="S47" i="91"/>
  <c r="S35" i="91"/>
  <c r="S14" i="91"/>
  <c r="S39" i="91"/>
  <c r="S6" i="91"/>
  <c r="S32" i="91"/>
  <c r="S43" i="91"/>
  <c r="S7" i="91"/>
  <c r="S19" i="91"/>
  <c r="S44" i="91"/>
  <c r="S26" i="91"/>
  <c r="S5" i="91"/>
  <c r="S17" i="91"/>
  <c r="S30" i="91"/>
  <c r="S42" i="91"/>
  <c r="S18" i="91"/>
  <c r="S8" i="91"/>
  <c r="S20" i="91"/>
  <c r="S33" i="91"/>
  <c r="S45" i="91"/>
  <c r="S9" i="91"/>
  <c r="S21" i="91"/>
  <c r="S34" i="91"/>
  <c r="S46" i="91"/>
  <c r="S13" i="91"/>
  <c r="S25" i="91"/>
  <c r="S38" i="91"/>
  <c r="S15" i="91"/>
  <c r="S28" i="91"/>
  <c r="S40" i="91"/>
  <c r="S11" i="91"/>
  <c r="S23" i="91"/>
  <c r="S36" i="91"/>
  <c r="S12" i="91"/>
  <c r="S24" i="91"/>
  <c r="S37" i="91"/>
  <c r="S4" i="91"/>
  <c r="S16" i="91"/>
  <c r="S29" i="91"/>
  <c r="I5" i="60"/>
  <c r="I51" i="110" l="1"/>
  <c r="I51" i="135"/>
  <c r="D49" i="109"/>
  <c r="D47" i="109" s="1"/>
  <c r="I50" i="105"/>
  <c r="C49" i="109"/>
  <c r="C47" i="109" s="1"/>
  <c r="H50" i="105"/>
  <c r="G51" i="135"/>
  <c r="G51" i="110"/>
  <c r="G50" i="110"/>
  <c r="G50" i="135"/>
  <c r="J50" i="105"/>
  <c r="E49" i="109"/>
  <c r="E47" i="109" s="1"/>
  <c r="AB48" i="109"/>
  <c r="F47" i="109"/>
  <c r="L49" i="135"/>
  <c r="L48" i="135" s="1"/>
  <c r="L49" i="110"/>
  <c r="N49" i="135"/>
  <c r="N49" i="110"/>
  <c r="N48" i="110" s="1"/>
  <c r="O7" i="121" s="1"/>
  <c r="N48" i="135"/>
  <c r="M48" i="110"/>
  <c r="N7" i="121" s="1"/>
  <c r="J13" i="108"/>
  <c r="J17" i="108" s="1"/>
  <c r="J13" i="135"/>
  <c r="N14" i="104"/>
  <c r="N13" i="104" s="1"/>
  <c r="N17" i="104" s="1"/>
  <c r="V15" i="104"/>
  <c r="V13" i="104" s="1"/>
  <c r="V17" i="104" s="1"/>
  <c r="J15" i="110"/>
  <c r="J13" i="110" s="1"/>
  <c r="J17" i="110" s="1"/>
  <c r="J26" i="110" s="1"/>
  <c r="I18" i="110"/>
  <c r="G18" i="110"/>
  <c r="J18" i="110"/>
  <c r="I106" i="87"/>
  <c r="I120" i="87" s="1"/>
  <c r="N96" i="87"/>
  <c r="AG31" i="86"/>
  <c r="AH31" i="86" s="1"/>
  <c r="D50" i="86"/>
  <c r="AG19" i="86"/>
  <c r="AH19" i="86" s="1"/>
  <c r="C50" i="86"/>
  <c r="AG7" i="86"/>
  <c r="AH7" i="86" s="1"/>
  <c r="B50" i="86"/>
  <c r="E32" i="109"/>
  <c r="E29" i="109" s="1"/>
  <c r="J23" i="135" s="1"/>
  <c r="F42" i="109"/>
  <c r="Q48" i="110"/>
  <c r="R7" i="121" s="1"/>
  <c r="R25" i="121" s="1"/>
  <c r="R26" i="121" s="1"/>
  <c r="R27" i="121" s="1"/>
  <c r="R28" i="121" s="1"/>
  <c r="R29" i="121" s="1"/>
  <c r="R30" i="121" s="1"/>
  <c r="R31" i="121" s="1"/>
  <c r="R32" i="121" s="1"/>
  <c r="R33" i="121" s="1"/>
  <c r="R34" i="121" s="1"/>
  <c r="R35" i="121" s="1"/>
  <c r="R36" i="121" s="1"/>
  <c r="R37" i="121" s="1"/>
  <c r="R38" i="121" s="1"/>
  <c r="R39" i="121" s="1"/>
  <c r="L4" i="119"/>
  <c r="AB43" i="109"/>
  <c r="L48" i="110"/>
  <c r="M7" i="121" s="1"/>
  <c r="AA48" i="110"/>
  <c r="AB7" i="121" s="1"/>
  <c r="Y48" i="110"/>
  <c r="Z7" i="121" s="1"/>
  <c r="P48" i="110"/>
  <c r="Q7" i="121" s="1"/>
  <c r="R48" i="110"/>
  <c r="S7" i="121" s="1"/>
  <c r="AC48" i="110"/>
  <c r="AD7" i="121" s="1"/>
  <c r="V48" i="110"/>
  <c r="W7" i="121" s="1"/>
  <c r="AB48" i="110"/>
  <c r="AC7" i="121" s="1"/>
  <c r="W48" i="110"/>
  <c r="X7" i="121" s="1"/>
  <c r="S48" i="110"/>
  <c r="T7" i="121" s="1"/>
  <c r="X48" i="110"/>
  <c r="Y7" i="121" s="1"/>
  <c r="AF48" i="110"/>
  <c r="AG7" i="121" s="1"/>
  <c r="T48" i="110"/>
  <c r="U7" i="121" s="1"/>
  <c r="U48" i="110"/>
  <c r="V7" i="121" s="1"/>
  <c r="AE48" i="110"/>
  <c r="AF7" i="121" s="1"/>
  <c r="O48" i="110"/>
  <c r="P7" i="121" s="1"/>
  <c r="AH7" i="119"/>
  <c r="B7" i="119" s="1"/>
  <c r="Z48" i="110"/>
  <c r="AA7" i="121" s="1"/>
  <c r="AD48" i="110"/>
  <c r="AE7" i="121" s="1"/>
  <c r="Z14" i="97"/>
  <c r="Z13" i="97" s="1"/>
  <c r="Z17" i="97" s="1"/>
  <c r="U14" i="97"/>
  <c r="U13" i="97" s="1"/>
  <c r="U17" i="97" s="1"/>
  <c r="Q14" i="106"/>
  <c r="Q13" i="106" s="1"/>
  <c r="Q17" i="106" s="1"/>
  <c r="Q26" i="106" s="1"/>
  <c r="Q27" i="106" s="1"/>
  <c r="C365" i="129"/>
  <c r="C32" i="129"/>
  <c r="AB10" i="129"/>
  <c r="AB9" i="129"/>
  <c r="AC8" i="129"/>
  <c r="AA40" i="129"/>
  <c r="D72" i="129"/>
  <c r="AH72" i="129" s="1"/>
  <c r="AH71" i="129"/>
  <c r="D34" i="129"/>
  <c r="G17" i="109"/>
  <c r="AG50" i="100"/>
  <c r="M4" i="118"/>
  <c r="M20" i="118"/>
  <c r="M21" i="118" s="1"/>
  <c r="M22" i="118" s="1"/>
  <c r="M23" i="118" s="1"/>
  <c r="M24" i="118" s="1"/>
  <c r="M25" i="118" s="1"/>
  <c r="M26" i="118" s="1"/>
  <c r="M27" i="118" s="1"/>
  <c r="M28" i="118" s="1"/>
  <c r="M29" i="118" s="1"/>
  <c r="M30" i="118" s="1"/>
  <c r="M31" i="118" s="1"/>
  <c r="M32" i="118" s="1"/>
  <c r="M33" i="118" s="1"/>
  <c r="M34" i="118" s="1"/>
  <c r="M35" i="118" s="1"/>
  <c r="M36" i="118" s="1"/>
  <c r="M37" i="118" s="1"/>
  <c r="M38" i="118" s="1"/>
  <c r="M39" i="118" s="1"/>
  <c r="V14" i="106"/>
  <c r="V13" i="106" s="1"/>
  <c r="V17" i="106" s="1"/>
  <c r="W14" i="106"/>
  <c r="W13" i="106" s="1"/>
  <c r="W17" i="106" s="1"/>
  <c r="W26" i="106" s="1"/>
  <c r="W27" i="106" s="1"/>
  <c r="N107" i="87"/>
  <c r="J9" i="109"/>
  <c r="I9" i="109"/>
  <c r="H9" i="109"/>
  <c r="K20" i="102"/>
  <c r="F22" i="109"/>
  <c r="G9" i="109"/>
  <c r="K19" i="102"/>
  <c r="F18" i="109"/>
  <c r="F9" i="109"/>
  <c r="K22" i="102"/>
  <c r="F27" i="109"/>
  <c r="K31" i="88"/>
  <c r="C38" i="88"/>
  <c r="H50" i="103"/>
  <c r="AG50" i="103" s="1"/>
  <c r="C45" i="109"/>
  <c r="H50" i="104"/>
  <c r="AG50" i="104" s="1"/>
  <c r="I7" i="120"/>
  <c r="AB37" i="88"/>
  <c r="I23" i="110"/>
  <c r="D89" i="121"/>
  <c r="AH88" i="121"/>
  <c r="G10" i="121"/>
  <c r="H8" i="121"/>
  <c r="G9" i="121"/>
  <c r="D202" i="121"/>
  <c r="AH201" i="121"/>
  <c r="D234" i="121"/>
  <c r="AH233" i="121"/>
  <c r="AH12" i="121"/>
  <c r="D13" i="121"/>
  <c r="C344" i="121"/>
  <c r="AH160" i="121"/>
  <c r="D161" i="121"/>
  <c r="AH50" i="121"/>
  <c r="D51" i="121"/>
  <c r="D272" i="121"/>
  <c r="AH271" i="121"/>
  <c r="C12" i="121"/>
  <c r="AH125" i="121"/>
  <c r="D126" i="121"/>
  <c r="AC13" i="104"/>
  <c r="AC17" i="104" s="1"/>
  <c r="AC26" i="104" s="1"/>
  <c r="R15" i="104"/>
  <c r="R13" i="104" s="1"/>
  <c r="R17" i="104" s="1"/>
  <c r="R26" i="104" s="1"/>
  <c r="AB13" i="104"/>
  <c r="AB17" i="104" s="1"/>
  <c r="AB26" i="104" s="1"/>
  <c r="K15" i="104"/>
  <c r="K13" i="104" s="1"/>
  <c r="K17" i="104" s="1"/>
  <c r="K26" i="104" s="1"/>
  <c r="D234" i="120"/>
  <c r="AH233" i="120"/>
  <c r="D124" i="120"/>
  <c r="AH123" i="120"/>
  <c r="AH272" i="120"/>
  <c r="D273" i="120"/>
  <c r="E40" i="120"/>
  <c r="G40" i="120"/>
  <c r="D88" i="120"/>
  <c r="AH87" i="120"/>
  <c r="H9" i="120"/>
  <c r="I8" i="120"/>
  <c r="H10" i="120"/>
  <c r="C344" i="120"/>
  <c r="C12" i="120"/>
  <c r="D12" i="120"/>
  <c r="AH11" i="120"/>
  <c r="AH161" i="120"/>
  <c r="D162" i="120"/>
  <c r="AH197" i="120"/>
  <c r="D198" i="120"/>
  <c r="D53" i="120"/>
  <c r="AH52" i="120"/>
  <c r="D161" i="119"/>
  <c r="AH160" i="119"/>
  <c r="AH309" i="119"/>
  <c r="D310" i="119"/>
  <c r="AH310" i="119" s="1"/>
  <c r="D237" i="119"/>
  <c r="AH236" i="119"/>
  <c r="F9" i="119"/>
  <c r="G8" i="119"/>
  <c r="D200" i="119"/>
  <c r="AH199" i="119"/>
  <c r="E13" i="119"/>
  <c r="AH12" i="119"/>
  <c r="C12" i="119"/>
  <c r="D124" i="119"/>
  <c r="AH123" i="119"/>
  <c r="C345" i="119"/>
  <c r="D50" i="119"/>
  <c r="AH49" i="119"/>
  <c r="D88" i="119"/>
  <c r="AH87" i="119"/>
  <c r="F10" i="119"/>
  <c r="D17" i="119"/>
  <c r="AH271" i="119"/>
  <c r="D272" i="119"/>
  <c r="K14" i="100"/>
  <c r="K13" i="100" s="1"/>
  <c r="K17" i="100" s="1"/>
  <c r="D310" i="118"/>
  <c r="AH310" i="118" s="1"/>
  <c r="AH309" i="118"/>
  <c r="I8" i="118"/>
  <c r="H9" i="118"/>
  <c r="H40" i="118" s="1"/>
  <c r="D87" i="118"/>
  <c r="AH86" i="118"/>
  <c r="C345" i="118"/>
  <c r="D200" i="118"/>
  <c r="AH199" i="118"/>
  <c r="D50" i="118"/>
  <c r="AH49" i="118"/>
  <c r="AH13" i="118"/>
  <c r="D274" i="118"/>
  <c r="AH274" i="118" s="1"/>
  <c r="AH273" i="118"/>
  <c r="F40" i="118"/>
  <c r="AH14" i="118"/>
  <c r="D15" i="118"/>
  <c r="D124" i="118"/>
  <c r="AH123" i="118"/>
  <c r="D162" i="118"/>
  <c r="AH161" i="118"/>
  <c r="C13" i="118"/>
  <c r="AH233" i="118"/>
  <c r="D234" i="118"/>
  <c r="G40" i="118"/>
  <c r="H10" i="118"/>
  <c r="I50" i="106"/>
  <c r="AG51" i="106"/>
  <c r="E51" i="109"/>
  <c r="H50" i="106"/>
  <c r="J98" i="87"/>
  <c r="J106" i="87"/>
  <c r="J120" i="87" s="1"/>
  <c r="J50" i="106"/>
  <c r="I98" i="87"/>
  <c r="F45" i="110"/>
  <c r="C17" i="110"/>
  <c r="S14" i="108"/>
  <c r="S13" i="108" s="1"/>
  <c r="S17" i="108" s="1"/>
  <c r="S26" i="108" s="1"/>
  <c r="S27" i="108" s="1"/>
  <c r="K14" i="108"/>
  <c r="K13" i="108" s="1"/>
  <c r="K17" i="108" s="1"/>
  <c r="K26" i="108" s="1"/>
  <c r="K27" i="108" s="1"/>
  <c r="Z15" i="108"/>
  <c r="Z13" i="108" s="1"/>
  <c r="Z17" i="108" s="1"/>
  <c r="R14" i="108"/>
  <c r="R13" i="108" s="1"/>
  <c r="R17" i="108" s="1"/>
  <c r="R26" i="108" s="1"/>
  <c r="R27" i="108" s="1"/>
  <c r="V14" i="108"/>
  <c r="V13" i="108" s="1"/>
  <c r="V17" i="108" s="1"/>
  <c r="U15" i="108"/>
  <c r="U13" i="108" s="1"/>
  <c r="U17" i="108" s="1"/>
  <c r="U26" i="108" s="1"/>
  <c r="U27" i="108" s="1"/>
  <c r="AD14" i="108"/>
  <c r="AD13" i="108" s="1"/>
  <c r="AD17" i="108" s="1"/>
  <c r="AD26" i="108" s="1"/>
  <c r="AD27" i="108" s="1"/>
  <c r="W14" i="108"/>
  <c r="W13" i="108" s="1"/>
  <c r="W17" i="108" s="1"/>
  <c r="W26" i="108" s="1"/>
  <c r="W27" i="108" s="1"/>
  <c r="N15" i="108"/>
  <c r="N13" i="108" s="1"/>
  <c r="N17" i="108" s="1"/>
  <c r="AE15" i="108"/>
  <c r="AE13" i="108" s="1"/>
  <c r="AE17" i="108" s="1"/>
  <c r="Y15" i="108"/>
  <c r="Y13" i="108" s="1"/>
  <c r="Y17" i="108" s="1"/>
  <c r="Y26" i="108" s="1"/>
  <c r="Y27" i="108" s="1"/>
  <c r="AA15" i="108"/>
  <c r="AA13" i="108" s="1"/>
  <c r="AA17" i="108" s="1"/>
  <c r="AA26" i="108" s="1"/>
  <c r="AA27" i="108" s="1"/>
  <c r="M15" i="108"/>
  <c r="M13" i="108" s="1"/>
  <c r="M17" i="108" s="1"/>
  <c r="M26" i="108" s="1"/>
  <c r="M27" i="108" s="1"/>
  <c r="O15" i="108"/>
  <c r="O13" i="108" s="1"/>
  <c r="O17" i="108" s="1"/>
  <c r="O26" i="108" s="1"/>
  <c r="O27" i="108" s="1"/>
  <c r="Q14" i="108"/>
  <c r="Q13" i="108" s="1"/>
  <c r="Q17" i="108" s="1"/>
  <c r="AC14" i="108"/>
  <c r="AC13" i="108" s="1"/>
  <c r="AC17" i="108" s="1"/>
  <c r="AC26" i="108" s="1"/>
  <c r="AF14" i="108"/>
  <c r="AF13" i="108" s="1"/>
  <c r="AF17" i="108" s="1"/>
  <c r="AF26" i="108" s="1"/>
  <c r="AF27" i="108" s="1"/>
  <c r="L15" i="108"/>
  <c r="L13" i="108" s="1"/>
  <c r="L17" i="108" s="1"/>
  <c r="X14" i="108"/>
  <c r="X13" i="108" s="1"/>
  <c r="X17" i="108" s="1"/>
  <c r="T14" i="108"/>
  <c r="T13" i="108" s="1"/>
  <c r="T17" i="108" s="1"/>
  <c r="E45" i="108"/>
  <c r="E29" i="108"/>
  <c r="J26" i="108"/>
  <c r="J27" i="108" s="1"/>
  <c r="AB14" i="108"/>
  <c r="AB15" i="108"/>
  <c r="P14" i="108"/>
  <c r="P15" i="108"/>
  <c r="C17" i="108"/>
  <c r="F26" i="108"/>
  <c r="F27" i="108" s="1"/>
  <c r="D35" i="108"/>
  <c r="D32" i="108"/>
  <c r="D39" i="108"/>
  <c r="D36" i="108"/>
  <c r="D31" i="108"/>
  <c r="AD26" i="107"/>
  <c r="AD27" i="107"/>
  <c r="AB26" i="107"/>
  <c r="AB27" i="107"/>
  <c r="P26" i="107"/>
  <c r="P27" i="107"/>
  <c r="U26" i="107"/>
  <c r="U27" i="107"/>
  <c r="T26" i="107"/>
  <c r="T27" i="107" s="1"/>
  <c r="Y26" i="107"/>
  <c r="Y27" i="107" s="1"/>
  <c r="S26" i="107"/>
  <c r="S27" i="107"/>
  <c r="E45" i="107"/>
  <c r="E29" i="107"/>
  <c r="AC26" i="107"/>
  <c r="AC27" i="107"/>
  <c r="L26" i="107"/>
  <c r="L27" i="107" s="1"/>
  <c r="AG21" i="107"/>
  <c r="K26" i="107"/>
  <c r="K27" i="107" s="1"/>
  <c r="AE26" i="107"/>
  <c r="AE27" i="107" s="1"/>
  <c r="O26" i="107"/>
  <c r="O27" i="107" s="1"/>
  <c r="F45" i="107"/>
  <c r="F29" i="107"/>
  <c r="R26" i="107"/>
  <c r="R27" i="107"/>
  <c r="V26" i="107"/>
  <c r="V27" i="107"/>
  <c r="AA13" i="107"/>
  <c r="AA17" i="107" s="1"/>
  <c r="C17" i="107"/>
  <c r="D35" i="107"/>
  <c r="D32" i="107"/>
  <c r="D39" i="107"/>
  <c r="D36" i="107"/>
  <c r="D31" i="107"/>
  <c r="X27" i="107"/>
  <c r="X26" i="107"/>
  <c r="W27" i="107"/>
  <c r="W26" i="107"/>
  <c r="AF13" i="107"/>
  <c r="AF17" i="107" s="1"/>
  <c r="Z26" i="107"/>
  <c r="Z27" i="107" s="1"/>
  <c r="Q26" i="107"/>
  <c r="Q27" i="107"/>
  <c r="N13" i="107"/>
  <c r="N17" i="107" s="1"/>
  <c r="M13" i="107"/>
  <c r="M17" i="107" s="1"/>
  <c r="J13" i="107"/>
  <c r="J17" i="107" s="1"/>
  <c r="P14" i="106"/>
  <c r="P13" i="106" s="1"/>
  <c r="P17" i="106" s="1"/>
  <c r="P26" i="106" s="1"/>
  <c r="P27" i="106" s="1"/>
  <c r="AB14" i="106"/>
  <c r="AB13" i="106" s="1"/>
  <c r="AB17" i="106" s="1"/>
  <c r="AB26" i="106" s="1"/>
  <c r="AB27" i="106" s="1"/>
  <c r="K14" i="106"/>
  <c r="K13" i="106" s="1"/>
  <c r="K17" i="106" s="1"/>
  <c r="K26" i="106" s="1"/>
  <c r="K27" i="106" s="1"/>
  <c r="AC14" i="106"/>
  <c r="AC13" i="106" s="1"/>
  <c r="AC17" i="106" s="1"/>
  <c r="AC26" i="106" s="1"/>
  <c r="AC27" i="106" s="1"/>
  <c r="N15" i="106"/>
  <c r="N13" i="106" s="1"/>
  <c r="N17" i="106" s="1"/>
  <c r="O14" i="106"/>
  <c r="O13" i="106" s="1"/>
  <c r="O17" i="106" s="1"/>
  <c r="AA15" i="106"/>
  <c r="AA13" i="106" s="1"/>
  <c r="AA17" i="106" s="1"/>
  <c r="AA26" i="106" s="1"/>
  <c r="AA27" i="106" s="1"/>
  <c r="Z15" i="106"/>
  <c r="Z13" i="106" s="1"/>
  <c r="Z17" i="106" s="1"/>
  <c r="X15" i="106"/>
  <c r="X13" i="106" s="1"/>
  <c r="X17" i="106" s="1"/>
  <c r="L14" i="106"/>
  <c r="L13" i="106" s="1"/>
  <c r="L17" i="106" s="1"/>
  <c r="L26" i="106" s="1"/>
  <c r="AD14" i="106"/>
  <c r="AD13" i="106" s="1"/>
  <c r="AD17" i="106" s="1"/>
  <c r="AF14" i="106"/>
  <c r="AF13" i="106" s="1"/>
  <c r="AF17" i="106" s="1"/>
  <c r="AF26" i="106" s="1"/>
  <c r="AF27" i="106" s="1"/>
  <c r="AE14" i="106"/>
  <c r="AE13" i="106" s="1"/>
  <c r="AE17" i="106" s="1"/>
  <c r="T14" i="106"/>
  <c r="T13" i="106" s="1"/>
  <c r="T17" i="106" s="1"/>
  <c r="U14" i="106"/>
  <c r="U13" i="106" s="1"/>
  <c r="U17" i="106" s="1"/>
  <c r="U26" i="106" s="1"/>
  <c r="U27" i="106" s="1"/>
  <c r="S14" i="106"/>
  <c r="S13" i="106" s="1"/>
  <c r="S17" i="106" s="1"/>
  <c r="Y14" i="106"/>
  <c r="Y13" i="106" s="1"/>
  <c r="Y17" i="106" s="1"/>
  <c r="M15" i="106"/>
  <c r="R14" i="106"/>
  <c r="R13" i="106" s="1"/>
  <c r="R17" i="106" s="1"/>
  <c r="M14" i="106"/>
  <c r="J26" i="106"/>
  <c r="J27" i="106"/>
  <c r="AG21" i="106"/>
  <c r="AG9" i="106"/>
  <c r="C17" i="106"/>
  <c r="F26" i="106"/>
  <c r="F27" i="106" s="1"/>
  <c r="G13" i="106"/>
  <c r="H13" i="106"/>
  <c r="H17" i="106" s="1"/>
  <c r="E45" i="106"/>
  <c r="I13" i="106"/>
  <c r="I17" i="106" s="1"/>
  <c r="D45" i="106"/>
  <c r="M95" i="87"/>
  <c r="N95" i="87" s="1"/>
  <c r="L95" i="87"/>
  <c r="K95" i="87"/>
  <c r="Q48" i="105"/>
  <c r="Y48" i="105"/>
  <c r="X48" i="105"/>
  <c r="N13" i="105"/>
  <c r="N17" i="105" s="1"/>
  <c r="N27" i="105" s="1"/>
  <c r="AG18" i="105"/>
  <c r="AB48" i="105"/>
  <c r="U15" i="105"/>
  <c r="U13" i="105" s="1"/>
  <c r="U17" i="105" s="1"/>
  <c r="P48" i="105"/>
  <c r="E45" i="105"/>
  <c r="I26" i="105"/>
  <c r="I27" i="105" s="1"/>
  <c r="N26" i="105"/>
  <c r="D45" i="105"/>
  <c r="F45" i="105"/>
  <c r="U26" i="105"/>
  <c r="U27" i="105" s="1"/>
  <c r="Y26" i="105"/>
  <c r="Y27" i="105" s="1"/>
  <c r="X26" i="105"/>
  <c r="X27" i="105" s="1"/>
  <c r="AB26" i="105"/>
  <c r="AB27" i="105"/>
  <c r="AF26" i="105"/>
  <c r="AF27" i="105" s="1"/>
  <c r="L26" i="105"/>
  <c r="L27" i="105"/>
  <c r="O26" i="105"/>
  <c r="O27" i="105" s="1"/>
  <c r="AD26" i="105"/>
  <c r="AD27" i="105" s="1"/>
  <c r="M26" i="105"/>
  <c r="M27" i="105" s="1"/>
  <c r="R26" i="105"/>
  <c r="R27" i="105" s="1"/>
  <c r="M48" i="105"/>
  <c r="Z48" i="105"/>
  <c r="N48" i="105"/>
  <c r="P26" i="105"/>
  <c r="P27" i="105"/>
  <c r="AE14" i="105"/>
  <c r="AE15" i="105"/>
  <c r="W13" i="105"/>
  <c r="W17" i="105" s="1"/>
  <c r="H13" i="105"/>
  <c r="H17" i="105" s="1"/>
  <c r="S14" i="105"/>
  <c r="S15" i="105"/>
  <c r="AA48" i="105"/>
  <c r="V26" i="105"/>
  <c r="V27" i="105"/>
  <c r="G14" i="105"/>
  <c r="G15" i="105"/>
  <c r="AG15" i="105" s="1"/>
  <c r="Q13" i="105"/>
  <c r="Q17" i="105" s="1"/>
  <c r="O48" i="105"/>
  <c r="J26" i="105"/>
  <c r="J27" i="105"/>
  <c r="C48" i="105"/>
  <c r="Z26" i="105"/>
  <c r="Z27" i="105"/>
  <c r="AC13" i="105"/>
  <c r="AC17" i="105" s="1"/>
  <c r="K26" i="105"/>
  <c r="K27" i="105"/>
  <c r="AG51" i="105"/>
  <c r="F48" i="105"/>
  <c r="D48" i="105"/>
  <c r="E48" i="105"/>
  <c r="AA13" i="105"/>
  <c r="AA17" i="105" s="1"/>
  <c r="C26" i="105"/>
  <c r="C27" i="105" s="1"/>
  <c r="T13" i="105"/>
  <c r="T17" i="105" s="1"/>
  <c r="O14" i="104"/>
  <c r="O13" i="104" s="1"/>
  <c r="O17" i="104" s="1"/>
  <c r="O26" i="104" s="1"/>
  <c r="U15" i="104"/>
  <c r="U13" i="104" s="1"/>
  <c r="U17" i="104" s="1"/>
  <c r="U26" i="104" s="1"/>
  <c r="AF15" i="104"/>
  <c r="AF13" i="104" s="1"/>
  <c r="AF17" i="104" s="1"/>
  <c r="AF26" i="104" s="1"/>
  <c r="Z14" i="104"/>
  <c r="Z13" i="104" s="1"/>
  <c r="Z17" i="104" s="1"/>
  <c r="T15" i="104"/>
  <c r="T13" i="104" s="1"/>
  <c r="T17" i="104" s="1"/>
  <c r="AA14" i="104"/>
  <c r="AA13" i="104" s="1"/>
  <c r="AA17" i="104" s="1"/>
  <c r="AD14" i="104"/>
  <c r="AD13" i="104" s="1"/>
  <c r="AD17" i="104" s="1"/>
  <c r="AD26" i="104" s="1"/>
  <c r="Q13" i="104"/>
  <c r="Q17" i="104" s="1"/>
  <c r="Q26" i="104" s="1"/>
  <c r="P26" i="104"/>
  <c r="AE26" i="104"/>
  <c r="W26" i="104"/>
  <c r="J26" i="104"/>
  <c r="J27" i="104"/>
  <c r="I26" i="104"/>
  <c r="I27" i="104" s="1"/>
  <c r="V26" i="104"/>
  <c r="U48" i="104"/>
  <c r="V48" i="104"/>
  <c r="K48" i="104"/>
  <c r="Y14" i="104"/>
  <c r="Y15" i="104"/>
  <c r="AG52" i="104"/>
  <c r="N48" i="104"/>
  <c r="W48" i="104"/>
  <c r="Q48" i="104"/>
  <c r="AB48" i="104"/>
  <c r="T48" i="104"/>
  <c r="D45" i="104"/>
  <c r="N26" i="104"/>
  <c r="X14" i="104"/>
  <c r="X15" i="104"/>
  <c r="H26" i="104"/>
  <c r="L14" i="104"/>
  <c r="L15" i="104"/>
  <c r="C17" i="104"/>
  <c r="AG9" i="104"/>
  <c r="Y48" i="104"/>
  <c r="F27" i="104"/>
  <c r="F26" i="104"/>
  <c r="J48" i="104"/>
  <c r="E26" i="104"/>
  <c r="E27" i="104" s="1"/>
  <c r="M48" i="104"/>
  <c r="G13" i="104"/>
  <c r="AD48" i="104"/>
  <c r="M14" i="104"/>
  <c r="M15" i="104"/>
  <c r="S13" i="104"/>
  <c r="S17" i="104" s="1"/>
  <c r="P48" i="104"/>
  <c r="D48" i="104"/>
  <c r="AG51" i="104"/>
  <c r="C48" i="104"/>
  <c r="AG49" i="104"/>
  <c r="AF48" i="104"/>
  <c r="P48" i="103"/>
  <c r="U48" i="103"/>
  <c r="AA13" i="103"/>
  <c r="AA17" i="103" s="1"/>
  <c r="Y48" i="103"/>
  <c r="J48" i="103"/>
  <c r="AA48" i="103"/>
  <c r="N15" i="103"/>
  <c r="N13" i="103" s="1"/>
  <c r="N17" i="103" s="1"/>
  <c r="N26" i="103" s="1"/>
  <c r="L14" i="103"/>
  <c r="L13" i="103" s="1"/>
  <c r="L17" i="103" s="1"/>
  <c r="V48" i="103"/>
  <c r="E48" i="103"/>
  <c r="AG51" i="103"/>
  <c r="S48" i="103"/>
  <c r="G48" i="103"/>
  <c r="X48" i="103"/>
  <c r="AG18" i="103"/>
  <c r="Y13" i="103"/>
  <c r="Y17" i="103" s="1"/>
  <c r="AE13" i="103"/>
  <c r="AE17" i="103" s="1"/>
  <c r="AE26" i="103" s="1"/>
  <c r="H26" i="103"/>
  <c r="J26" i="103"/>
  <c r="J27" i="103"/>
  <c r="R26" i="103"/>
  <c r="L26" i="103"/>
  <c r="E45" i="103"/>
  <c r="AB26" i="103"/>
  <c r="I26" i="103"/>
  <c r="I27" i="103" s="1"/>
  <c r="F45" i="103"/>
  <c r="AE48" i="103"/>
  <c r="X26" i="103"/>
  <c r="AG15" i="103"/>
  <c r="Z26" i="103"/>
  <c r="S13" i="103"/>
  <c r="S17" i="103" s="1"/>
  <c r="T13" i="103"/>
  <c r="T17" i="103" s="1"/>
  <c r="G13" i="103"/>
  <c r="AC15" i="103"/>
  <c r="AC14" i="103"/>
  <c r="C48" i="103"/>
  <c r="AG49" i="103"/>
  <c r="W26" i="103"/>
  <c r="AA26" i="103"/>
  <c r="V26" i="103"/>
  <c r="AD13" i="103"/>
  <c r="AD17" i="103" s="1"/>
  <c r="M48" i="103"/>
  <c r="O26" i="103"/>
  <c r="M26" i="103"/>
  <c r="AG52" i="103"/>
  <c r="AG9" i="103"/>
  <c r="C17" i="103"/>
  <c r="AF13" i="103"/>
  <c r="AF17" i="103" s="1"/>
  <c r="W48" i="103"/>
  <c r="K26" i="103"/>
  <c r="Z48" i="103"/>
  <c r="U26" i="103"/>
  <c r="D48" i="103"/>
  <c r="D45" i="103"/>
  <c r="P13" i="103"/>
  <c r="P17" i="103" s="1"/>
  <c r="Q13" i="103"/>
  <c r="Q17" i="103" s="1"/>
  <c r="J31" i="88"/>
  <c r="K48" i="102"/>
  <c r="G45" i="89"/>
  <c r="F45" i="102"/>
  <c r="H26" i="102"/>
  <c r="H27" i="102"/>
  <c r="D45" i="102"/>
  <c r="E45" i="102"/>
  <c r="AG53" i="102"/>
  <c r="U48" i="102"/>
  <c r="I13" i="102"/>
  <c r="I17" i="102" s="1"/>
  <c r="Z48" i="102"/>
  <c r="C27" i="102"/>
  <c r="AG49" i="102"/>
  <c r="C48" i="102"/>
  <c r="G13" i="102"/>
  <c r="J48" i="102"/>
  <c r="P48" i="102"/>
  <c r="R48" i="102"/>
  <c r="V48" i="102"/>
  <c r="S48" i="102"/>
  <c r="J13" i="102"/>
  <c r="J17" i="102" s="1"/>
  <c r="AG51" i="102"/>
  <c r="G46" i="89"/>
  <c r="K20" i="101"/>
  <c r="K22" i="101"/>
  <c r="K19" i="101"/>
  <c r="C39" i="89"/>
  <c r="AB48" i="101"/>
  <c r="X48" i="101"/>
  <c r="W48" i="101"/>
  <c r="K48" i="101"/>
  <c r="N48" i="101"/>
  <c r="J15" i="101"/>
  <c r="J13" i="101" s="1"/>
  <c r="J17" i="101" s="1"/>
  <c r="J26" i="101" s="1"/>
  <c r="J27" i="101" s="1"/>
  <c r="S48" i="101"/>
  <c r="AC48" i="101"/>
  <c r="M48" i="101"/>
  <c r="I27" i="101"/>
  <c r="H48" i="101"/>
  <c r="E27" i="101"/>
  <c r="I45" i="101"/>
  <c r="D26" i="101"/>
  <c r="D27" i="101" s="1"/>
  <c r="G15" i="101"/>
  <c r="G14" i="101"/>
  <c r="AG53" i="101"/>
  <c r="AG49" i="101"/>
  <c r="C48" i="101"/>
  <c r="H26" i="101"/>
  <c r="H27" i="101" s="1"/>
  <c r="F26" i="101"/>
  <c r="F27" i="101" s="1"/>
  <c r="AG51" i="101"/>
  <c r="F48" i="101"/>
  <c r="C26" i="101"/>
  <c r="L19" i="98"/>
  <c r="L19" i="100"/>
  <c r="B44" i="90"/>
  <c r="C44" i="90"/>
  <c r="C41" i="90"/>
  <c r="B41" i="90"/>
  <c r="C42" i="90"/>
  <c r="B42" i="90"/>
  <c r="B40" i="90"/>
  <c r="C40" i="90"/>
  <c r="C40" i="89"/>
  <c r="E40" i="89"/>
  <c r="D40" i="89"/>
  <c r="E41" i="89"/>
  <c r="C41" i="89"/>
  <c r="D41" i="89"/>
  <c r="E39" i="89"/>
  <c r="D39" i="89"/>
  <c r="G17" i="89"/>
  <c r="F18" i="89"/>
  <c r="B42" i="89" s="1"/>
  <c r="AG52" i="100"/>
  <c r="D26" i="100"/>
  <c r="D27" i="100" s="1"/>
  <c r="C27" i="100"/>
  <c r="C26" i="100"/>
  <c r="Q48" i="100"/>
  <c r="E48" i="100"/>
  <c r="H26" i="100"/>
  <c r="H27" i="100"/>
  <c r="F45" i="100"/>
  <c r="G13" i="100"/>
  <c r="O48" i="100"/>
  <c r="C48" i="100"/>
  <c r="AG49" i="100"/>
  <c r="AG51" i="100"/>
  <c r="D48" i="100"/>
  <c r="R48" i="100"/>
  <c r="Z48" i="100"/>
  <c r="J15" i="100"/>
  <c r="J14" i="100"/>
  <c r="J13" i="100" s="1"/>
  <c r="J17" i="100"/>
  <c r="I15" i="100"/>
  <c r="I14" i="100"/>
  <c r="I13" i="100" s="1"/>
  <c r="I17" i="100"/>
  <c r="E45" i="100"/>
  <c r="F27" i="98"/>
  <c r="G16" i="90"/>
  <c r="AG50" i="98"/>
  <c r="D27" i="98"/>
  <c r="F45" i="98"/>
  <c r="K26" i="98"/>
  <c r="K27" i="98"/>
  <c r="J26" i="98"/>
  <c r="J27" i="98" s="1"/>
  <c r="G13" i="98"/>
  <c r="H15" i="98"/>
  <c r="H14" i="98"/>
  <c r="AG49" i="98"/>
  <c r="I13" i="98"/>
  <c r="I17" i="98" s="1"/>
  <c r="E21" i="98"/>
  <c r="AG51" i="98"/>
  <c r="C26" i="98"/>
  <c r="AG52" i="98"/>
  <c r="B45" i="90"/>
  <c r="C45" i="90"/>
  <c r="C39" i="90"/>
  <c r="E35" i="90"/>
  <c r="D36" i="90"/>
  <c r="D37" i="90" s="1"/>
  <c r="D39" i="90" s="1"/>
  <c r="T41" i="91"/>
  <c r="AE14" i="97"/>
  <c r="AE13" i="97" s="1"/>
  <c r="AE17" i="97" s="1"/>
  <c r="AE26" i="97" s="1"/>
  <c r="R14" i="97"/>
  <c r="R13" i="97" s="1"/>
  <c r="R17" i="97" s="1"/>
  <c r="R26" i="97" s="1"/>
  <c r="N14" i="97"/>
  <c r="N13" i="97" s="1"/>
  <c r="N17" i="97" s="1"/>
  <c r="N26" i="97" s="1"/>
  <c r="T15" i="97"/>
  <c r="T13" i="97" s="1"/>
  <c r="T17" i="97" s="1"/>
  <c r="AF14" i="97"/>
  <c r="AF13" i="97" s="1"/>
  <c r="AF17" i="97" s="1"/>
  <c r="AF26" i="97" s="1"/>
  <c r="P14" i="97"/>
  <c r="P13" i="97" s="1"/>
  <c r="P17" i="97" s="1"/>
  <c r="W15" i="97"/>
  <c r="W13" i="97" s="1"/>
  <c r="W17" i="97" s="1"/>
  <c r="AA15" i="97"/>
  <c r="AA13" i="97" s="1"/>
  <c r="AA17" i="97" s="1"/>
  <c r="AA26" i="97" s="1"/>
  <c r="O15" i="97"/>
  <c r="O13" i="97" s="1"/>
  <c r="O17" i="97" s="1"/>
  <c r="O26" i="97" s="1"/>
  <c r="K14" i="97"/>
  <c r="K13" i="97" s="1"/>
  <c r="K17" i="97" s="1"/>
  <c r="Q14" i="97"/>
  <c r="Q13" i="97" s="1"/>
  <c r="Q17" i="97" s="1"/>
  <c r="AB15" i="97"/>
  <c r="AB13" i="97" s="1"/>
  <c r="AB17" i="97" s="1"/>
  <c r="AB26" i="97" s="1"/>
  <c r="V15" i="97"/>
  <c r="V13" i="97" s="1"/>
  <c r="V17" i="97" s="1"/>
  <c r="V26" i="97" s="1"/>
  <c r="AD15" i="97"/>
  <c r="AD13" i="97" s="1"/>
  <c r="AD17" i="97" s="1"/>
  <c r="L14" i="97"/>
  <c r="L13" i="97" s="1"/>
  <c r="L17" i="97" s="1"/>
  <c r="L26" i="97" s="1"/>
  <c r="AC15" i="97"/>
  <c r="AC13" i="97" s="1"/>
  <c r="AC17" i="97" s="1"/>
  <c r="S14" i="97"/>
  <c r="S13" i="97" s="1"/>
  <c r="S17" i="97" s="1"/>
  <c r="S26" i="97" s="1"/>
  <c r="X15" i="97"/>
  <c r="X13" i="97" s="1"/>
  <c r="X17" i="97" s="1"/>
  <c r="C17" i="97"/>
  <c r="AG9" i="97"/>
  <c r="AG51" i="97"/>
  <c r="AE48" i="97"/>
  <c r="X48" i="97"/>
  <c r="AG50" i="97"/>
  <c r="W48" i="97"/>
  <c r="H48" i="97"/>
  <c r="G15" i="97"/>
  <c r="G14" i="97"/>
  <c r="I14" i="97"/>
  <c r="I15" i="97"/>
  <c r="G48" i="97"/>
  <c r="C48" i="97"/>
  <c r="AG49" i="97"/>
  <c r="J13" i="97"/>
  <c r="J17" i="97" s="1"/>
  <c r="M48" i="97"/>
  <c r="T48" i="97"/>
  <c r="H26" i="97"/>
  <c r="Y15" i="97"/>
  <c r="Y14" i="97"/>
  <c r="M15" i="97"/>
  <c r="M14" i="97"/>
  <c r="R48" i="97"/>
  <c r="Y48" i="97"/>
  <c r="AG18" i="94"/>
  <c r="K48" i="94"/>
  <c r="R48" i="94"/>
  <c r="J48" i="94"/>
  <c r="J14" i="94"/>
  <c r="L48" i="94"/>
  <c r="Y48" i="94"/>
  <c r="AD48" i="94"/>
  <c r="X48" i="94"/>
  <c r="I48" i="94"/>
  <c r="AG48" i="94" s="1"/>
  <c r="AG50" i="94"/>
  <c r="AG49" i="94"/>
  <c r="M48" i="94"/>
  <c r="AG51" i="94"/>
  <c r="P48" i="94"/>
  <c r="Z48" i="94"/>
  <c r="W48" i="94"/>
  <c r="J13" i="94"/>
  <c r="J17" i="94" s="1"/>
  <c r="J26" i="94" s="1"/>
  <c r="H14" i="94"/>
  <c r="H13" i="94" s="1"/>
  <c r="H17" i="94" s="1"/>
  <c r="H26" i="94" s="1"/>
  <c r="I13" i="94"/>
  <c r="I17" i="94" s="1"/>
  <c r="I26" i="94" s="1"/>
  <c r="F48" i="94"/>
  <c r="C47" i="94"/>
  <c r="G13" i="94"/>
  <c r="C26" i="94"/>
  <c r="B17" i="91"/>
  <c r="B18" i="91" s="1"/>
  <c r="B25" i="91" s="1"/>
  <c r="B26" i="91" s="1"/>
  <c r="B27" i="91" s="1"/>
  <c r="B31" i="91" s="1"/>
  <c r="T4" i="91"/>
  <c r="V4" i="91" s="1"/>
  <c r="W4" i="91" s="1"/>
  <c r="T29" i="91"/>
  <c r="V29" i="91" s="1"/>
  <c r="W29" i="91" s="1"/>
  <c r="T16" i="91"/>
  <c r="V16" i="91" s="1"/>
  <c r="W16" i="91" s="1"/>
  <c r="D28" i="83"/>
  <c r="F28" i="83" s="1"/>
  <c r="D27" i="83"/>
  <c r="D18" i="83"/>
  <c r="E18" i="83" s="1"/>
  <c r="F18" i="83" s="1"/>
  <c r="AF10" i="83"/>
  <c r="AE10" i="83"/>
  <c r="AD10" i="83"/>
  <c r="AC10" i="83"/>
  <c r="AB10" i="83"/>
  <c r="AA10" i="83"/>
  <c r="AA7" i="83" s="1"/>
  <c r="Z10" i="83"/>
  <c r="Z7" i="83" s="1"/>
  <c r="Y10" i="83"/>
  <c r="X10" i="83"/>
  <c r="W10" i="83"/>
  <c r="V10" i="83"/>
  <c r="U10" i="83"/>
  <c r="T10" i="83"/>
  <c r="S10" i="83"/>
  <c r="R10" i="83"/>
  <c r="Q10" i="83"/>
  <c r="P10" i="83"/>
  <c r="O10" i="83"/>
  <c r="O7" i="83" s="1"/>
  <c r="N10" i="83"/>
  <c r="N7" i="83" s="1"/>
  <c r="M10" i="83"/>
  <c r="L10" i="83"/>
  <c r="K10" i="83"/>
  <c r="J10" i="83"/>
  <c r="I10" i="83"/>
  <c r="H10" i="83"/>
  <c r="G10" i="83"/>
  <c r="F10" i="83"/>
  <c r="E10" i="83"/>
  <c r="D10" i="83"/>
  <c r="C10" i="83"/>
  <c r="C7" i="83" s="1"/>
  <c r="AF9" i="83"/>
  <c r="AE9" i="83"/>
  <c r="AD9" i="83"/>
  <c r="AC9" i="83"/>
  <c r="AB9" i="83"/>
  <c r="AA9" i="83"/>
  <c r="Z9" i="83"/>
  <c r="Y9" i="83"/>
  <c r="X9" i="83"/>
  <c r="W9" i="83"/>
  <c r="V9" i="83"/>
  <c r="U9" i="83"/>
  <c r="T9" i="83"/>
  <c r="S9" i="83"/>
  <c r="R9" i="83"/>
  <c r="Q9" i="83"/>
  <c r="P9" i="83"/>
  <c r="O9" i="83"/>
  <c r="N9" i="83"/>
  <c r="M9" i="83"/>
  <c r="L9" i="83"/>
  <c r="K9" i="83"/>
  <c r="J9" i="83"/>
  <c r="I9" i="83"/>
  <c r="AG9" i="83" s="1"/>
  <c r="H9" i="83"/>
  <c r="G9" i="83"/>
  <c r="F9" i="83"/>
  <c r="E9" i="83"/>
  <c r="D9" i="83"/>
  <c r="C9" i="83"/>
  <c r="AF8" i="83"/>
  <c r="AF7" i="83" s="1"/>
  <c r="AE8" i="83"/>
  <c r="AE7" i="83" s="1"/>
  <c r="AD8" i="83"/>
  <c r="AD7" i="83" s="1"/>
  <c r="AC8" i="83"/>
  <c r="AC7" i="83" s="1"/>
  <c r="AB8" i="83"/>
  <c r="AB7" i="83" s="1"/>
  <c r="AA8" i="83"/>
  <c r="Z8" i="83"/>
  <c r="Y8" i="83"/>
  <c r="X8" i="83"/>
  <c r="W8" i="83"/>
  <c r="V8" i="83"/>
  <c r="V7" i="83" s="1"/>
  <c r="U8" i="83"/>
  <c r="U7" i="83" s="1"/>
  <c r="T8" i="83"/>
  <c r="T7" i="83" s="1"/>
  <c r="S8" i="83"/>
  <c r="S7" i="83" s="1"/>
  <c r="R8" i="83"/>
  <c r="R7" i="83" s="1"/>
  <c r="Q8" i="83"/>
  <c r="Q7" i="83" s="1"/>
  <c r="P8" i="83"/>
  <c r="P7" i="83" s="1"/>
  <c r="O8" i="83"/>
  <c r="N8" i="83"/>
  <c r="M8" i="83"/>
  <c r="L8" i="83"/>
  <c r="K8" i="83"/>
  <c r="J8" i="83"/>
  <c r="J7" i="83" s="1"/>
  <c r="I8" i="83"/>
  <c r="I7" i="83" s="1"/>
  <c r="H8" i="83"/>
  <c r="H7" i="83" s="1"/>
  <c r="G8" i="83"/>
  <c r="G7" i="83" s="1"/>
  <c r="F8" i="83"/>
  <c r="F7" i="83" s="1"/>
  <c r="E8" i="83"/>
  <c r="E7" i="83" s="1"/>
  <c r="D8" i="83"/>
  <c r="AG8" i="83" s="1"/>
  <c r="C8" i="83"/>
  <c r="Y7" i="83"/>
  <c r="X7" i="83"/>
  <c r="W7" i="83"/>
  <c r="M7" i="83"/>
  <c r="L7" i="83"/>
  <c r="K7" i="83"/>
  <c r="AG5" i="83"/>
  <c r="AF58" i="82"/>
  <c r="S38" i="82"/>
  <c r="S39" i="82" s="1"/>
  <c r="C25" i="82"/>
  <c r="AF23" i="82"/>
  <c r="AE23" i="82"/>
  <c r="AD23" i="82"/>
  <c r="AC23" i="82"/>
  <c r="AB23" i="82"/>
  <c r="AA23" i="82"/>
  <c r="Z23" i="82"/>
  <c r="Y23" i="82"/>
  <c r="X23" i="82"/>
  <c r="W23" i="82"/>
  <c r="V23" i="82"/>
  <c r="U23" i="82"/>
  <c r="T23" i="82"/>
  <c r="S23" i="82"/>
  <c r="R23" i="82"/>
  <c r="Q23" i="82"/>
  <c r="P23" i="82"/>
  <c r="O23" i="82"/>
  <c r="N23" i="82"/>
  <c r="M23" i="82"/>
  <c r="L23" i="82"/>
  <c r="K23" i="82"/>
  <c r="J23" i="82"/>
  <c r="I23" i="82"/>
  <c r="H23" i="82"/>
  <c r="G23" i="82"/>
  <c r="F23" i="82"/>
  <c r="E23" i="82"/>
  <c r="D23" i="82"/>
  <c r="AF19" i="82"/>
  <c r="AE19" i="82"/>
  <c r="AD19" i="82"/>
  <c r="AC19" i="82"/>
  <c r="AB19" i="82"/>
  <c r="AA19" i="82"/>
  <c r="Z19" i="82"/>
  <c r="Y19" i="82"/>
  <c r="X19" i="82"/>
  <c r="W19" i="82"/>
  <c r="V19" i="82"/>
  <c r="U19" i="82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AF18" i="82"/>
  <c r="AE18" i="82"/>
  <c r="AD18" i="82"/>
  <c r="AC18" i="82"/>
  <c r="AB18" i="82"/>
  <c r="AA18" i="82"/>
  <c r="Z18" i="82"/>
  <c r="Y18" i="82"/>
  <c r="X18" i="82"/>
  <c r="W18" i="82"/>
  <c r="V18" i="82"/>
  <c r="U18" i="82"/>
  <c r="T18" i="82"/>
  <c r="S18" i="82"/>
  <c r="R18" i="82"/>
  <c r="Q18" i="82"/>
  <c r="P18" i="82"/>
  <c r="O18" i="82"/>
  <c r="N18" i="82"/>
  <c r="M18" i="82"/>
  <c r="L18" i="82"/>
  <c r="K18" i="82"/>
  <c r="J18" i="82"/>
  <c r="I18" i="82"/>
  <c r="H18" i="82"/>
  <c r="G18" i="82"/>
  <c r="F18" i="82"/>
  <c r="E18" i="82"/>
  <c r="D18" i="82"/>
  <c r="C18" i="82"/>
  <c r="AF14" i="82"/>
  <c r="AE14" i="82"/>
  <c r="AD14" i="82"/>
  <c r="AC14" i="82"/>
  <c r="AB14" i="82"/>
  <c r="AA14" i="82"/>
  <c r="Z14" i="82"/>
  <c r="Y14" i="82"/>
  <c r="X14" i="82"/>
  <c r="W14" i="82"/>
  <c r="V14" i="82"/>
  <c r="U14" i="82"/>
  <c r="T14" i="82"/>
  <c r="S14" i="82"/>
  <c r="R14" i="82"/>
  <c r="Q14" i="82"/>
  <c r="P14" i="82"/>
  <c r="O14" i="82"/>
  <c r="N14" i="82"/>
  <c r="M14" i="82"/>
  <c r="L14" i="82"/>
  <c r="K14" i="82"/>
  <c r="J14" i="82"/>
  <c r="I14" i="82"/>
  <c r="H14" i="82"/>
  <c r="G14" i="82"/>
  <c r="F14" i="82"/>
  <c r="E14" i="82"/>
  <c r="D14" i="82"/>
  <c r="C14" i="82"/>
  <c r="F8" i="82"/>
  <c r="E8" i="82"/>
  <c r="D8" i="82"/>
  <c r="C8" i="82"/>
  <c r="F7" i="82"/>
  <c r="E7" i="82"/>
  <c r="D7" i="82"/>
  <c r="C7" i="82"/>
  <c r="F6" i="82"/>
  <c r="E6" i="82"/>
  <c r="D6" i="82"/>
  <c r="C6" i="82"/>
  <c r="G5" i="82"/>
  <c r="F5" i="82"/>
  <c r="E5" i="82"/>
  <c r="D5" i="82"/>
  <c r="C5" i="82"/>
  <c r="F4" i="82"/>
  <c r="F12" i="82" s="1"/>
  <c r="F21" i="82" s="1"/>
  <c r="R4" i="121" l="1"/>
  <c r="I50" i="135"/>
  <c r="I50" i="110"/>
  <c r="H50" i="135"/>
  <c r="H50" i="110"/>
  <c r="B46" i="109"/>
  <c r="G49" i="105"/>
  <c r="J51" i="135"/>
  <c r="J51" i="110"/>
  <c r="J50" i="110"/>
  <c r="J50" i="135"/>
  <c r="K49" i="110"/>
  <c r="K49" i="135"/>
  <c r="K50" i="110"/>
  <c r="K48" i="110" s="1"/>
  <c r="L7" i="121" s="1"/>
  <c r="K50" i="135"/>
  <c r="M48" i="135"/>
  <c r="J17" i="135"/>
  <c r="V41" i="91"/>
  <c r="T58" i="91"/>
  <c r="B33" i="91"/>
  <c r="B32" i="91"/>
  <c r="C51" i="86"/>
  <c r="C52" i="86" s="1"/>
  <c r="C15" i="109"/>
  <c r="C14" i="109" s="1"/>
  <c r="H9" i="135" s="1"/>
  <c r="H9" i="107"/>
  <c r="H9" i="108"/>
  <c r="D51" i="86"/>
  <c r="D52" i="86" s="1"/>
  <c r="D15" i="109"/>
  <c r="D14" i="109" s="1"/>
  <c r="I9" i="135" s="1"/>
  <c r="I9" i="107"/>
  <c r="I9" i="108"/>
  <c r="B51" i="86"/>
  <c r="B52" i="86" s="1"/>
  <c r="J23" i="110"/>
  <c r="Q4" i="121"/>
  <c r="Q24" i="121"/>
  <c r="Q25" i="121" s="1"/>
  <c r="Q26" i="121" s="1"/>
  <c r="Q27" i="121" s="1"/>
  <c r="Q28" i="121" s="1"/>
  <c r="Q29" i="121" s="1"/>
  <c r="Q30" i="121" s="1"/>
  <c r="Q31" i="121" s="1"/>
  <c r="Q32" i="121" s="1"/>
  <c r="Q33" i="121" s="1"/>
  <c r="Q34" i="121" s="1"/>
  <c r="Q35" i="121" s="1"/>
  <c r="Q36" i="121" s="1"/>
  <c r="Q37" i="121" s="1"/>
  <c r="Q38" i="121" s="1"/>
  <c r="Q39" i="121" s="1"/>
  <c r="AA4" i="121"/>
  <c r="AA34" i="121"/>
  <c r="AA35" i="121" s="1"/>
  <c r="AA36" i="121" s="1"/>
  <c r="AA37" i="121" s="1"/>
  <c r="AA38" i="121" s="1"/>
  <c r="AA39" i="121" s="1"/>
  <c r="P23" i="121"/>
  <c r="P24" i="121" s="1"/>
  <c r="P25" i="121" s="1"/>
  <c r="P26" i="121" s="1"/>
  <c r="P27" i="121" s="1"/>
  <c r="P28" i="121" s="1"/>
  <c r="P29" i="121" s="1"/>
  <c r="P30" i="121" s="1"/>
  <c r="P31" i="121" s="1"/>
  <c r="P32" i="121" s="1"/>
  <c r="P33" i="121" s="1"/>
  <c r="P34" i="121" s="1"/>
  <c r="P35" i="121" s="1"/>
  <c r="P36" i="121" s="1"/>
  <c r="P37" i="121" s="1"/>
  <c r="P38" i="121" s="1"/>
  <c r="P39" i="121" s="1"/>
  <c r="P4" i="121"/>
  <c r="Z4" i="121"/>
  <c r="Z33" i="121"/>
  <c r="Z34" i="121" s="1"/>
  <c r="Z35" i="121" s="1"/>
  <c r="Z36" i="121" s="1"/>
  <c r="Z37" i="121" s="1"/>
  <c r="Z38" i="121" s="1"/>
  <c r="Z39" i="121" s="1"/>
  <c r="N21" i="121"/>
  <c r="N22" i="121" s="1"/>
  <c r="N23" i="121" s="1"/>
  <c r="N24" i="121" s="1"/>
  <c r="N25" i="121" s="1"/>
  <c r="N26" i="121" s="1"/>
  <c r="N27" i="121" s="1"/>
  <c r="N28" i="121" s="1"/>
  <c r="N29" i="121" s="1"/>
  <c r="N30" i="121" s="1"/>
  <c r="N31" i="121" s="1"/>
  <c r="N32" i="121" s="1"/>
  <c r="N33" i="121" s="1"/>
  <c r="N34" i="121" s="1"/>
  <c r="N35" i="121" s="1"/>
  <c r="N36" i="121" s="1"/>
  <c r="N37" i="121" s="1"/>
  <c r="N38" i="121" s="1"/>
  <c r="N39" i="121" s="1"/>
  <c r="N4" i="121"/>
  <c r="O22" i="121"/>
  <c r="O23" i="121" s="1"/>
  <c r="O24" i="121" s="1"/>
  <c r="O25" i="121" s="1"/>
  <c r="O26" i="121" s="1"/>
  <c r="O27" i="121" s="1"/>
  <c r="O28" i="121" s="1"/>
  <c r="O29" i="121" s="1"/>
  <c r="O30" i="121" s="1"/>
  <c r="O31" i="121" s="1"/>
  <c r="O32" i="121" s="1"/>
  <c r="O33" i="121" s="1"/>
  <c r="O34" i="121" s="1"/>
  <c r="O35" i="121" s="1"/>
  <c r="O36" i="121" s="1"/>
  <c r="O37" i="121" s="1"/>
  <c r="O38" i="121" s="1"/>
  <c r="O39" i="121" s="1"/>
  <c r="O4" i="121"/>
  <c r="V4" i="121"/>
  <c r="V29" i="121"/>
  <c r="V30" i="121" s="1"/>
  <c r="V31" i="121" s="1"/>
  <c r="V32" i="121" s="1"/>
  <c r="V33" i="121" s="1"/>
  <c r="V34" i="121" s="1"/>
  <c r="V35" i="121" s="1"/>
  <c r="V36" i="121" s="1"/>
  <c r="V37" i="121" s="1"/>
  <c r="V38" i="121" s="1"/>
  <c r="V39" i="121" s="1"/>
  <c r="X4" i="121"/>
  <c r="X31" i="121"/>
  <c r="X32" i="121" s="1"/>
  <c r="X33" i="121" s="1"/>
  <c r="X34" i="121" s="1"/>
  <c r="X35" i="121" s="1"/>
  <c r="X36" i="121" s="1"/>
  <c r="X37" i="121" s="1"/>
  <c r="X38" i="121" s="1"/>
  <c r="X39" i="121" s="1"/>
  <c r="AB4" i="121"/>
  <c r="AB35" i="121"/>
  <c r="AB36" i="121" s="1"/>
  <c r="AB37" i="121" s="1"/>
  <c r="AB38" i="121" s="1"/>
  <c r="AB39" i="121" s="1"/>
  <c r="S4" i="121"/>
  <c r="S26" i="121"/>
  <c r="S27" i="121" s="1"/>
  <c r="S28" i="121" s="1"/>
  <c r="S29" i="121" s="1"/>
  <c r="S30" i="121" s="1"/>
  <c r="S31" i="121" s="1"/>
  <c r="S32" i="121" s="1"/>
  <c r="S33" i="121" s="1"/>
  <c r="S34" i="121" s="1"/>
  <c r="S35" i="121" s="1"/>
  <c r="S36" i="121" s="1"/>
  <c r="S37" i="121" s="1"/>
  <c r="S38" i="121" s="1"/>
  <c r="S39" i="121" s="1"/>
  <c r="M20" i="121"/>
  <c r="M21" i="121" s="1"/>
  <c r="M22" i="121" s="1"/>
  <c r="M23" i="121" s="1"/>
  <c r="M24" i="121" s="1"/>
  <c r="M25" i="121" s="1"/>
  <c r="M26" i="121" s="1"/>
  <c r="M27" i="121" s="1"/>
  <c r="M28" i="121" s="1"/>
  <c r="M29" i="121" s="1"/>
  <c r="M30" i="121" s="1"/>
  <c r="M31" i="121" s="1"/>
  <c r="M32" i="121" s="1"/>
  <c r="M33" i="121" s="1"/>
  <c r="M34" i="121" s="1"/>
  <c r="M35" i="121" s="1"/>
  <c r="M36" i="121" s="1"/>
  <c r="M37" i="121" s="1"/>
  <c r="M38" i="121" s="1"/>
  <c r="M39" i="121" s="1"/>
  <c r="M4" i="121"/>
  <c r="AG4" i="121"/>
  <c r="AG39" i="121"/>
  <c r="AF39" i="121"/>
  <c r="AF4" i="121"/>
  <c r="Y32" i="121"/>
  <c r="Y33" i="121" s="1"/>
  <c r="Y34" i="121" s="1"/>
  <c r="Y35" i="121" s="1"/>
  <c r="Y36" i="121" s="1"/>
  <c r="Y37" i="121" s="1"/>
  <c r="Y38" i="121" s="1"/>
  <c r="Y39" i="121" s="1"/>
  <c r="Y4" i="121"/>
  <c r="T4" i="121"/>
  <c r="T27" i="121"/>
  <c r="T28" i="121" s="1"/>
  <c r="T29" i="121" s="1"/>
  <c r="T30" i="121" s="1"/>
  <c r="T31" i="121" s="1"/>
  <c r="T32" i="121" s="1"/>
  <c r="T33" i="121" s="1"/>
  <c r="T34" i="121" s="1"/>
  <c r="T35" i="121" s="1"/>
  <c r="T36" i="121" s="1"/>
  <c r="T37" i="121" s="1"/>
  <c r="T38" i="121" s="1"/>
  <c r="T39" i="121" s="1"/>
  <c r="W4" i="121"/>
  <c r="W30" i="121"/>
  <c r="W31" i="121" s="1"/>
  <c r="W32" i="121" s="1"/>
  <c r="W33" i="121" s="1"/>
  <c r="W34" i="121" s="1"/>
  <c r="W35" i="121" s="1"/>
  <c r="W36" i="121" s="1"/>
  <c r="W37" i="121" s="1"/>
  <c r="W38" i="121" s="1"/>
  <c r="W39" i="121" s="1"/>
  <c r="AE38" i="121"/>
  <c r="AE39" i="121" s="1"/>
  <c r="AE4" i="121"/>
  <c r="U4" i="121"/>
  <c r="U28" i="121"/>
  <c r="U29" i="121" s="1"/>
  <c r="U30" i="121" s="1"/>
  <c r="U31" i="121" s="1"/>
  <c r="U32" i="121" s="1"/>
  <c r="U33" i="121" s="1"/>
  <c r="U34" i="121" s="1"/>
  <c r="U35" i="121" s="1"/>
  <c r="U36" i="121" s="1"/>
  <c r="U37" i="121" s="1"/>
  <c r="U38" i="121" s="1"/>
  <c r="U39" i="121" s="1"/>
  <c r="AC4" i="121"/>
  <c r="AC36" i="121"/>
  <c r="AC37" i="121" s="1"/>
  <c r="AC38" i="121" s="1"/>
  <c r="AC39" i="121" s="1"/>
  <c r="AD4" i="121"/>
  <c r="AD37" i="121"/>
  <c r="AD38" i="121" s="1"/>
  <c r="AD39" i="121" s="1"/>
  <c r="K18" i="102"/>
  <c r="D35" i="129"/>
  <c r="AC9" i="129"/>
  <c r="AD8" i="129"/>
  <c r="AC10" i="129"/>
  <c r="AB40" i="129"/>
  <c r="C33" i="129"/>
  <c r="C366" i="129"/>
  <c r="H39" i="109"/>
  <c r="H26" i="109"/>
  <c r="H17" i="109"/>
  <c r="G39" i="109"/>
  <c r="H21" i="109"/>
  <c r="G21" i="109"/>
  <c r="G30" i="109"/>
  <c r="H30" i="109"/>
  <c r="I17" i="109"/>
  <c r="G26" i="109"/>
  <c r="H8" i="109"/>
  <c r="H7" i="109" s="1"/>
  <c r="G8" i="109"/>
  <c r="J12" i="109"/>
  <c r="K9" i="109"/>
  <c r="K12" i="109"/>
  <c r="I27" i="109"/>
  <c r="H22" i="109"/>
  <c r="I22" i="109"/>
  <c r="H18" i="109"/>
  <c r="I18" i="109"/>
  <c r="H27" i="109"/>
  <c r="G18" i="109"/>
  <c r="K23" i="102"/>
  <c r="F31" i="109"/>
  <c r="F7" i="109"/>
  <c r="G22" i="109"/>
  <c r="G27" i="109"/>
  <c r="H48" i="104"/>
  <c r="AG48" i="104" s="1"/>
  <c r="I16" i="120"/>
  <c r="I17" i="120" s="1"/>
  <c r="I18" i="120" s="1"/>
  <c r="I19" i="120" s="1"/>
  <c r="I20" i="120" s="1"/>
  <c r="I21" i="120" s="1"/>
  <c r="I22" i="120" s="1"/>
  <c r="I23" i="120" s="1"/>
  <c r="I24" i="120" s="1"/>
  <c r="I25" i="120" s="1"/>
  <c r="I26" i="120" s="1"/>
  <c r="I27" i="120" s="1"/>
  <c r="I28" i="120" s="1"/>
  <c r="I29" i="120" s="1"/>
  <c r="I30" i="120" s="1"/>
  <c r="I31" i="120" s="1"/>
  <c r="I32" i="120" s="1"/>
  <c r="I33" i="120" s="1"/>
  <c r="I34" i="120" s="1"/>
  <c r="I35" i="120" s="1"/>
  <c r="I36" i="120" s="1"/>
  <c r="I37" i="120" s="1"/>
  <c r="I38" i="120" s="1"/>
  <c r="I39" i="120" s="1"/>
  <c r="AH7" i="120"/>
  <c r="B7" i="120" s="1"/>
  <c r="I4" i="120"/>
  <c r="C32" i="109"/>
  <c r="H23" i="104"/>
  <c r="H23" i="103"/>
  <c r="H48" i="103"/>
  <c r="AG48" i="103" s="1"/>
  <c r="I38" i="88"/>
  <c r="U38" i="88"/>
  <c r="J38" i="88"/>
  <c r="V38" i="88"/>
  <c r="K38" i="88"/>
  <c r="W38" i="88"/>
  <c r="L38" i="88"/>
  <c r="AA38" i="88"/>
  <c r="N38" i="88"/>
  <c r="M38" i="88"/>
  <c r="F38" i="88"/>
  <c r="S38" i="88"/>
  <c r="X38" i="88"/>
  <c r="Y38" i="88"/>
  <c r="T38" i="88"/>
  <c r="G38" i="88"/>
  <c r="H38" i="88"/>
  <c r="O38" i="88"/>
  <c r="P38" i="88"/>
  <c r="Z38" i="88"/>
  <c r="Q38" i="88"/>
  <c r="R38" i="88"/>
  <c r="AH234" i="121"/>
  <c r="D235" i="121"/>
  <c r="AH202" i="121"/>
  <c r="D203" i="121"/>
  <c r="AH161" i="121"/>
  <c r="D162" i="121"/>
  <c r="D127" i="121"/>
  <c r="AH126" i="121"/>
  <c r="D14" i="121"/>
  <c r="AH13" i="121"/>
  <c r="C13" i="121"/>
  <c r="D273" i="121"/>
  <c r="AH272" i="121"/>
  <c r="I8" i="121"/>
  <c r="H9" i="121"/>
  <c r="H10" i="121"/>
  <c r="AH51" i="121"/>
  <c r="D52" i="121"/>
  <c r="G40" i="121"/>
  <c r="C345" i="121"/>
  <c r="AH89" i="121"/>
  <c r="D90" i="121"/>
  <c r="AH88" i="120"/>
  <c r="D89" i="120"/>
  <c r="D54" i="120"/>
  <c r="AH53" i="120"/>
  <c r="D163" i="120"/>
  <c r="AH162" i="120"/>
  <c r="AH12" i="120"/>
  <c r="D13" i="120"/>
  <c r="I9" i="120"/>
  <c r="J8" i="120"/>
  <c r="I10" i="120"/>
  <c r="D274" i="120"/>
  <c r="AH274" i="120" s="1"/>
  <c r="AH273" i="120"/>
  <c r="C13" i="120"/>
  <c r="C345" i="120"/>
  <c r="D125" i="120"/>
  <c r="AH124" i="120"/>
  <c r="D235" i="120"/>
  <c r="AH234" i="120"/>
  <c r="D199" i="120"/>
  <c r="AH198" i="120"/>
  <c r="H40" i="120"/>
  <c r="F40" i="119"/>
  <c r="AH200" i="119"/>
  <c r="D201" i="119"/>
  <c r="AH50" i="119"/>
  <c r="D51" i="119"/>
  <c r="C346" i="119"/>
  <c r="G9" i="119"/>
  <c r="H8" i="119"/>
  <c r="G10" i="119"/>
  <c r="D238" i="119"/>
  <c r="AH238" i="119" s="1"/>
  <c r="AH237" i="119"/>
  <c r="AH272" i="119"/>
  <c r="D273" i="119"/>
  <c r="AH124" i="119"/>
  <c r="D125" i="119"/>
  <c r="C13" i="119"/>
  <c r="D18" i="119"/>
  <c r="AH161" i="119"/>
  <c r="D162" i="119"/>
  <c r="E14" i="119"/>
  <c r="AH13" i="119"/>
  <c r="D89" i="119"/>
  <c r="AH88" i="119"/>
  <c r="D201" i="118"/>
  <c r="AH200" i="118"/>
  <c r="D125" i="118"/>
  <c r="AH124" i="118"/>
  <c r="C346" i="118"/>
  <c r="D16" i="118"/>
  <c r="AH15" i="118"/>
  <c r="D163" i="118"/>
  <c r="AH162" i="118"/>
  <c r="D88" i="118"/>
  <c r="AH87" i="118"/>
  <c r="D235" i="118"/>
  <c r="AH234" i="118"/>
  <c r="I9" i="118"/>
  <c r="J8" i="118"/>
  <c r="I10" i="118"/>
  <c r="C14" i="118"/>
  <c r="D51" i="118"/>
  <c r="AH50" i="118"/>
  <c r="C51" i="109"/>
  <c r="AB52" i="109"/>
  <c r="L98" i="87"/>
  <c r="L106" i="87"/>
  <c r="L120" i="87" s="1"/>
  <c r="G49" i="106"/>
  <c r="J109" i="87"/>
  <c r="J123" i="87" s="1"/>
  <c r="M98" i="87"/>
  <c r="M106" i="87"/>
  <c r="M120" i="87" s="1"/>
  <c r="AB47" i="109"/>
  <c r="AB49" i="109"/>
  <c r="I109" i="87"/>
  <c r="I123" i="87" s="1"/>
  <c r="AG50" i="106"/>
  <c r="K98" i="87"/>
  <c r="N98" i="87" s="1"/>
  <c r="K106" i="87"/>
  <c r="K120" i="87" s="1"/>
  <c r="AG50" i="105"/>
  <c r="C26" i="110"/>
  <c r="C27" i="110" s="1"/>
  <c r="AC27" i="108"/>
  <c r="AC45" i="108" s="1"/>
  <c r="N26" i="108"/>
  <c r="N27" i="108" s="1"/>
  <c r="X26" i="108"/>
  <c r="X27" i="108" s="1"/>
  <c r="X29" i="108" s="1"/>
  <c r="W29" i="108"/>
  <c r="W45" i="108"/>
  <c r="S29" i="108"/>
  <c r="S45" i="108"/>
  <c r="U29" i="108"/>
  <c r="U45" i="108"/>
  <c r="Y29" i="108"/>
  <c r="Y45" i="108"/>
  <c r="AF29" i="108"/>
  <c r="AF45" i="108"/>
  <c r="M29" i="108"/>
  <c r="M45" i="108"/>
  <c r="AB13" i="108"/>
  <c r="AB17" i="108" s="1"/>
  <c r="F45" i="108"/>
  <c r="F29" i="108"/>
  <c r="P13" i="108"/>
  <c r="P17" i="108" s="1"/>
  <c r="D54" i="108"/>
  <c r="K29" i="108"/>
  <c r="K45" i="108"/>
  <c r="D37" i="108"/>
  <c r="AE26" i="108"/>
  <c r="AE27" i="108" s="1"/>
  <c r="L26" i="108"/>
  <c r="L27" i="108" s="1"/>
  <c r="C26" i="108"/>
  <c r="C27" i="108" s="1"/>
  <c r="AD29" i="108"/>
  <c r="AD45" i="108"/>
  <c r="Z26" i="108"/>
  <c r="Z27" i="108" s="1"/>
  <c r="J29" i="108"/>
  <c r="J45" i="108"/>
  <c r="R29" i="108"/>
  <c r="R45" i="108"/>
  <c r="D53" i="108"/>
  <c r="D30" i="108"/>
  <c r="E35" i="108"/>
  <c r="E32" i="108"/>
  <c r="E54" i="108" s="1"/>
  <c r="E39" i="108"/>
  <c r="E36" i="108"/>
  <c r="E31" i="108"/>
  <c r="T26" i="108"/>
  <c r="T27" i="108" s="1"/>
  <c r="Q26" i="108"/>
  <c r="Q27" i="108" s="1"/>
  <c r="O45" i="108"/>
  <c r="O29" i="108"/>
  <c r="V26" i="108"/>
  <c r="V27" i="108" s="1"/>
  <c r="AA45" i="108"/>
  <c r="AA29" i="108"/>
  <c r="Z29" i="107"/>
  <c r="Z45" i="107"/>
  <c r="Y29" i="107"/>
  <c r="Y45" i="107"/>
  <c r="AE29" i="107"/>
  <c r="AE45" i="107"/>
  <c r="K29" i="107"/>
  <c r="K45" i="107"/>
  <c r="L29" i="107"/>
  <c r="L45" i="107"/>
  <c r="O45" i="107"/>
  <c r="O29" i="107"/>
  <c r="T29" i="107"/>
  <c r="T45" i="107"/>
  <c r="V29" i="107"/>
  <c r="V45" i="107"/>
  <c r="W29" i="107"/>
  <c r="W45" i="107"/>
  <c r="AA27" i="107"/>
  <c r="AA26" i="107"/>
  <c r="M26" i="107"/>
  <c r="M27" i="107" s="1"/>
  <c r="X29" i="107"/>
  <c r="X45" i="107"/>
  <c r="U29" i="107"/>
  <c r="U45" i="107"/>
  <c r="AC45" i="107"/>
  <c r="AC29" i="107"/>
  <c r="P45" i="107"/>
  <c r="P29" i="107"/>
  <c r="N26" i="107"/>
  <c r="N27" i="107" s="1"/>
  <c r="F32" i="107"/>
  <c r="F54" i="107" s="1"/>
  <c r="F39" i="107"/>
  <c r="F36" i="107"/>
  <c r="F31" i="107"/>
  <c r="F35" i="107"/>
  <c r="F37" i="107" s="1"/>
  <c r="AF26" i="107"/>
  <c r="AF27" i="107"/>
  <c r="D54" i="107"/>
  <c r="E35" i="107"/>
  <c r="E32" i="107"/>
  <c r="E54" i="107" s="1"/>
  <c r="E39" i="107"/>
  <c r="E36" i="107"/>
  <c r="E31" i="107"/>
  <c r="AB45" i="107"/>
  <c r="AB29" i="107"/>
  <c r="R45" i="107"/>
  <c r="R29" i="107"/>
  <c r="D37" i="107"/>
  <c r="Q29" i="107"/>
  <c r="Q45" i="107"/>
  <c r="C26" i="107"/>
  <c r="C27" i="107" s="1"/>
  <c r="S29" i="107"/>
  <c r="S45" i="107"/>
  <c r="AD29" i="107"/>
  <c r="AD45" i="107"/>
  <c r="D53" i="107"/>
  <c r="D30" i="107"/>
  <c r="J26" i="107"/>
  <c r="J27" i="107" s="1"/>
  <c r="AG15" i="106"/>
  <c r="AG14" i="106"/>
  <c r="T26" i="106"/>
  <c r="T27" i="106" s="1"/>
  <c r="L27" i="106"/>
  <c r="L45" i="106" s="1"/>
  <c r="S26" i="106"/>
  <c r="S27" i="106" s="1"/>
  <c r="M13" i="106"/>
  <c r="M17" i="106" s="1"/>
  <c r="M26" i="106" s="1"/>
  <c r="M27" i="106" s="1"/>
  <c r="Q45" i="106"/>
  <c r="AA45" i="106"/>
  <c r="P45" i="106"/>
  <c r="K45" i="106"/>
  <c r="F45" i="106"/>
  <c r="U45" i="106"/>
  <c r="AC45" i="106"/>
  <c r="R26" i="106"/>
  <c r="R27" i="106" s="1"/>
  <c r="Z26" i="106"/>
  <c r="Z27" i="106" s="1"/>
  <c r="AB45" i="106"/>
  <c r="Y26" i="106"/>
  <c r="Y27" i="106" s="1"/>
  <c r="W45" i="106"/>
  <c r="J45" i="106"/>
  <c r="N26" i="106"/>
  <c r="N27" i="106" s="1"/>
  <c r="X26" i="106"/>
  <c r="X27" i="106" s="1"/>
  <c r="C27" i="106"/>
  <c r="C26" i="106"/>
  <c r="I26" i="106"/>
  <c r="I27" i="106"/>
  <c r="AE26" i="106"/>
  <c r="AE27" i="106" s="1"/>
  <c r="AD26" i="106"/>
  <c r="AD27" i="106" s="1"/>
  <c r="V26" i="106"/>
  <c r="V27" i="106" s="1"/>
  <c r="AF45" i="106"/>
  <c r="O26" i="106"/>
  <c r="O27" i="106" s="1"/>
  <c r="H26" i="106"/>
  <c r="H27" i="106"/>
  <c r="G17" i="106"/>
  <c r="R45" i="105"/>
  <c r="Y45" i="105"/>
  <c r="U45" i="105"/>
  <c r="AF45" i="105"/>
  <c r="I45" i="105"/>
  <c r="O45" i="105"/>
  <c r="AD45" i="105"/>
  <c r="Z45" i="105"/>
  <c r="M45" i="105"/>
  <c r="N45" i="105"/>
  <c r="P45" i="105"/>
  <c r="AE13" i="105"/>
  <c r="AE17" i="105" s="1"/>
  <c r="X45" i="105"/>
  <c r="K45" i="105"/>
  <c r="L45" i="105"/>
  <c r="C29" i="105"/>
  <c r="C45" i="105"/>
  <c r="G13" i="105"/>
  <c r="AG14" i="105"/>
  <c r="AA26" i="105"/>
  <c r="AA27" i="105"/>
  <c r="C47" i="105"/>
  <c r="W26" i="105"/>
  <c r="W27" i="105" s="1"/>
  <c r="AB45" i="105"/>
  <c r="V45" i="105"/>
  <c r="J45" i="105"/>
  <c r="T26" i="105"/>
  <c r="T27" i="105" s="1"/>
  <c r="S13" i="105"/>
  <c r="S17" i="105" s="1"/>
  <c r="AC26" i="105"/>
  <c r="AC27" i="105" s="1"/>
  <c r="Q26" i="105"/>
  <c r="Q27" i="105" s="1"/>
  <c r="H26" i="105"/>
  <c r="H27" i="105" s="1"/>
  <c r="Z26" i="104"/>
  <c r="AA26" i="104"/>
  <c r="M13" i="104"/>
  <c r="M17" i="104" s="1"/>
  <c r="M26" i="104" s="1"/>
  <c r="AG15" i="104"/>
  <c r="AG14" i="104"/>
  <c r="E45" i="104"/>
  <c r="I45" i="104"/>
  <c r="G17" i="104"/>
  <c r="X13" i="104"/>
  <c r="X17" i="104" s="1"/>
  <c r="C26" i="104"/>
  <c r="C27" i="104"/>
  <c r="J45" i="104"/>
  <c r="S26" i="104"/>
  <c r="T26" i="104"/>
  <c r="F45" i="104"/>
  <c r="C47" i="104"/>
  <c r="L13" i="104"/>
  <c r="L17" i="104" s="1"/>
  <c r="Y13" i="104"/>
  <c r="Y17" i="104" s="1"/>
  <c r="AC13" i="103"/>
  <c r="AC17" i="103" s="1"/>
  <c r="AC26" i="103" s="1"/>
  <c r="Y26" i="103"/>
  <c r="I45" i="103"/>
  <c r="C26" i="103"/>
  <c r="C27" i="103"/>
  <c r="S26" i="103"/>
  <c r="C47" i="103"/>
  <c r="Q26" i="103"/>
  <c r="AD26" i="103"/>
  <c r="J45" i="103"/>
  <c r="P26" i="103"/>
  <c r="AG13" i="103"/>
  <c r="G17" i="103"/>
  <c r="AG14" i="103"/>
  <c r="AF26" i="103"/>
  <c r="T26" i="103"/>
  <c r="L9" i="102"/>
  <c r="L14" i="102" s="1"/>
  <c r="O9" i="101"/>
  <c r="O14" i="101" s="1"/>
  <c r="O9" i="102"/>
  <c r="P9" i="102"/>
  <c r="N19" i="101"/>
  <c r="N19" i="102"/>
  <c r="N22" i="101"/>
  <c r="N22" i="102"/>
  <c r="N9" i="101"/>
  <c r="N15" i="101" s="1"/>
  <c r="N9" i="102"/>
  <c r="N20" i="101"/>
  <c r="N20" i="102"/>
  <c r="M9" i="101"/>
  <c r="M15" i="101" s="1"/>
  <c r="M9" i="102"/>
  <c r="M19" i="101"/>
  <c r="M19" i="102"/>
  <c r="M22" i="101"/>
  <c r="M22" i="102"/>
  <c r="M20" i="101"/>
  <c r="M20" i="102"/>
  <c r="L20" i="101"/>
  <c r="L20" i="102"/>
  <c r="K9" i="101"/>
  <c r="K9" i="102"/>
  <c r="L22" i="101"/>
  <c r="L22" i="102"/>
  <c r="L19" i="101"/>
  <c r="L19" i="102"/>
  <c r="G17" i="102"/>
  <c r="H45" i="102"/>
  <c r="C45" i="102"/>
  <c r="I26" i="102"/>
  <c r="I27" i="102" s="1"/>
  <c r="J26" i="102"/>
  <c r="J27" i="102"/>
  <c r="AG48" i="102"/>
  <c r="C47" i="102"/>
  <c r="K18" i="101"/>
  <c r="L9" i="101"/>
  <c r="K23" i="101"/>
  <c r="E45" i="101"/>
  <c r="D45" i="101"/>
  <c r="F45" i="101"/>
  <c r="J45" i="101"/>
  <c r="AG48" i="101"/>
  <c r="C47" i="101"/>
  <c r="G13" i="101"/>
  <c r="H45" i="101"/>
  <c r="C27" i="101"/>
  <c r="D40" i="90"/>
  <c r="M22" i="98"/>
  <c r="M22" i="100"/>
  <c r="L20" i="98"/>
  <c r="L20" i="100"/>
  <c r="L23" i="100"/>
  <c r="L23" i="98"/>
  <c r="L22" i="98"/>
  <c r="L22" i="100"/>
  <c r="M9" i="98"/>
  <c r="M14" i="98" s="1"/>
  <c r="M9" i="100"/>
  <c r="L9" i="98"/>
  <c r="M25" i="98"/>
  <c r="M25" i="100"/>
  <c r="D44" i="90"/>
  <c r="L25" i="98"/>
  <c r="L25" i="100"/>
  <c r="D42" i="90"/>
  <c r="N19" i="100"/>
  <c r="N19" i="98"/>
  <c r="D43" i="90"/>
  <c r="B43" i="90"/>
  <c r="C43" i="90"/>
  <c r="M23" i="100"/>
  <c r="M23" i="98"/>
  <c r="D41" i="90"/>
  <c r="M20" i="100"/>
  <c r="M20" i="98"/>
  <c r="M19" i="100"/>
  <c r="M19" i="98"/>
  <c r="D42" i="89"/>
  <c r="C42" i="89"/>
  <c r="F42" i="89"/>
  <c r="E42" i="89"/>
  <c r="H17" i="89"/>
  <c r="H18" i="89" s="1"/>
  <c r="B44" i="89" s="1"/>
  <c r="G18" i="89"/>
  <c r="B43" i="89" s="1"/>
  <c r="F41" i="89"/>
  <c r="F39" i="89"/>
  <c r="F40" i="89"/>
  <c r="D45" i="100"/>
  <c r="I26" i="100"/>
  <c r="I27" i="100"/>
  <c r="K26" i="100"/>
  <c r="K27" i="100" s="1"/>
  <c r="G17" i="100"/>
  <c r="C47" i="100"/>
  <c r="AG48" i="100"/>
  <c r="H45" i="100"/>
  <c r="C45" i="100"/>
  <c r="J26" i="100"/>
  <c r="J27" i="100" s="1"/>
  <c r="D45" i="98"/>
  <c r="AG48" i="98"/>
  <c r="C47" i="98"/>
  <c r="J45" i="98"/>
  <c r="K45" i="98"/>
  <c r="E27" i="98"/>
  <c r="H13" i="98"/>
  <c r="H17" i="98" s="1"/>
  <c r="G17" i="98"/>
  <c r="I26" i="98"/>
  <c r="I27" i="98" s="1"/>
  <c r="C27" i="98"/>
  <c r="D45" i="90"/>
  <c r="F35" i="90"/>
  <c r="E36" i="90"/>
  <c r="E37" i="90" s="1"/>
  <c r="M13" i="97"/>
  <c r="M17" i="97" s="1"/>
  <c r="M26" i="97" s="1"/>
  <c r="Y13" i="97"/>
  <c r="Y17" i="97" s="1"/>
  <c r="Y26" i="97" s="1"/>
  <c r="W26" i="97"/>
  <c r="I13" i="97"/>
  <c r="I17" i="97" s="1"/>
  <c r="AD26" i="97"/>
  <c r="X26" i="97"/>
  <c r="Q26" i="97"/>
  <c r="J26" i="97"/>
  <c r="G13" i="97"/>
  <c r="AG14" i="97"/>
  <c r="C26" i="97"/>
  <c r="AG48" i="97"/>
  <c r="C47" i="97"/>
  <c r="K26" i="97"/>
  <c r="U26" i="97"/>
  <c r="T26" i="97"/>
  <c r="P26" i="97"/>
  <c r="Z26" i="97"/>
  <c r="AG15" i="97"/>
  <c r="AC26" i="97"/>
  <c r="AG18" i="82"/>
  <c r="D4" i="82"/>
  <c r="D12" i="82" s="1"/>
  <c r="E4" i="82"/>
  <c r="E12" i="82" s="1"/>
  <c r="E21" i="82" s="1"/>
  <c r="G17" i="94"/>
  <c r="C11" i="83"/>
  <c r="D7" i="83"/>
  <c r="AG10" i="83"/>
  <c r="D21" i="82"/>
  <c r="AG14" i="82"/>
  <c r="C4" i="82"/>
  <c r="AG23" i="82"/>
  <c r="AG19" i="82"/>
  <c r="D46" i="109" l="1"/>
  <c r="I49" i="105"/>
  <c r="C46" i="109"/>
  <c r="H49" i="105"/>
  <c r="H51" i="135"/>
  <c r="H51" i="110"/>
  <c r="E46" i="109"/>
  <c r="J49" i="105"/>
  <c r="AG49" i="105" s="1"/>
  <c r="AG50" i="135"/>
  <c r="K48" i="135"/>
  <c r="AG51" i="135"/>
  <c r="E37" i="107"/>
  <c r="H15" i="135"/>
  <c r="H14" i="135"/>
  <c r="H13" i="135" s="1"/>
  <c r="H17" i="135" s="1"/>
  <c r="H26" i="135" s="1"/>
  <c r="I15" i="135"/>
  <c r="I14" i="135"/>
  <c r="J26" i="135"/>
  <c r="W41" i="91"/>
  <c r="W58" i="91" s="1"/>
  <c r="V58" i="91"/>
  <c r="AB51" i="109"/>
  <c r="AG51" i="110"/>
  <c r="AG50" i="110"/>
  <c r="M18" i="100"/>
  <c r="I14" i="108"/>
  <c r="I15" i="108"/>
  <c r="I15" i="107"/>
  <c r="I14" i="107"/>
  <c r="I9" i="110"/>
  <c r="H14" i="108"/>
  <c r="H15" i="108"/>
  <c r="H15" i="107"/>
  <c r="H14" i="107"/>
  <c r="AB15" i="109"/>
  <c r="H9" i="110"/>
  <c r="G15" i="107"/>
  <c r="G14" i="107"/>
  <c r="AG9" i="107"/>
  <c r="G15" i="108"/>
  <c r="G14" i="108"/>
  <c r="AG9" i="108"/>
  <c r="F44" i="88"/>
  <c r="D50" i="88"/>
  <c r="I44" i="88"/>
  <c r="H44" i="88"/>
  <c r="C44" i="88"/>
  <c r="G44" i="88"/>
  <c r="D44" i="88"/>
  <c r="F50" i="88"/>
  <c r="G50" i="88"/>
  <c r="B44" i="88"/>
  <c r="C50" i="88"/>
  <c r="E44" i="88"/>
  <c r="B50" i="88"/>
  <c r="J44" i="88"/>
  <c r="E50" i="88"/>
  <c r="K44" i="88"/>
  <c r="P9" i="101"/>
  <c r="P15" i="101" s="1"/>
  <c r="L19" i="121"/>
  <c r="L20" i="121" s="1"/>
  <c r="L21" i="121" s="1"/>
  <c r="L22" i="121" s="1"/>
  <c r="L23" i="121" s="1"/>
  <c r="L24" i="121" s="1"/>
  <c r="L25" i="121" s="1"/>
  <c r="L26" i="121" s="1"/>
  <c r="L27" i="121" s="1"/>
  <c r="L28" i="121" s="1"/>
  <c r="L29" i="121" s="1"/>
  <c r="L30" i="121" s="1"/>
  <c r="L31" i="121" s="1"/>
  <c r="L32" i="121" s="1"/>
  <c r="L33" i="121" s="1"/>
  <c r="L34" i="121" s="1"/>
  <c r="L35" i="121" s="1"/>
  <c r="L36" i="121" s="1"/>
  <c r="L37" i="121" s="1"/>
  <c r="L38" i="121" s="1"/>
  <c r="L39" i="121" s="1"/>
  <c r="L4" i="121"/>
  <c r="P3" i="93"/>
  <c r="C367" i="129"/>
  <c r="C34" i="129"/>
  <c r="AD9" i="129"/>
  <c r="AE8" i="129"/>
  <c r="AD10" i="129"/>
  <c r="AC40" i="129"/>
  <c r="D36" i="129"/>
  <c r="I39" i="109"/>
  <c r="G35" i="109"/>
  <c r="I26" i="109"/>
  <c r="I35" i="109"/>
  <c r="I30" i="109"/>
  <c r="I21" i="109"/>
  <c r="H35" i="109"/>
  <c r="M14" i="110"/>
  <c r="G7" i="109"/>
  <c r="I8" i="109"/>
  <c r="I7" i="109" s="1"/>
  <c r="N106" i="87"/>
  <c r="J18" i="109"/>
  <c r="O22" i="102"/>
  <c r="J27" i="109"/>
  <c r="J31" i="109"/>
  <c r="O20" i="102"/>
  <c r="J22" i="109"/>
  <c r="H31" i="109"/>
  <c r="I31" i="109"/>
  <c r="M18" i="101"/>
  <c r="M14" i="101"/>
  <c r="M13" i="101" s="1"/>
  <c r="M17" i="101" s="1"/>
  <c r="M26" i="101" s="1"/>
  <c r="K20" i="110"/>
  <c r="K19" i="110"/>
  <c r="K24" i="102"/>
  <c r="F36" i="109"/>
  <c r="K25" i="102"/>
  <c r="F40" i="109"/>
  <c r="G31" i="109"/>
  <c r="L19" i="110"/>
  <c r="S32" i="109"/>
  <c r="S29" i="109" s="1"/>
  <c r="X23" i="135" s="1"/>
  <c r="X23" i="104"/>
  <c r="X21" i="104" s="1"/>
  <c r="X23" i="103"/>
  <c r="X21" i="103" s="1"/>
  <c r="X27" i="103" s="1"/>
  <c r="K23" i="103"/>
  <c r="K21" i="103" s="1"/>
  <c r="K27" i="103" s="1"/>
  <c r="F32" i="109"/>
  <c r="F29" i="109" s="1"/>
  <c r="K23" i="135" s="1"/>
  <c r="K23" i="104"/>
  <c r="K21" i="104" s="1"/>
  <c r="K27" i="104" s="1"/>
  <c r="AB38" i="88"/>
  <c r="W23" i="103"/>
  <c r="W21" i="103" s="1"/>
  <c r="W27" i="103" s="1"/>
  <c r="R32" i="109"/>
  <c r="R29" i="109" s="1"/>
  <c r="W23" i="135" s="1"/>
  <c r="W23" i="104"/>
  <c r="W21" i="104" s="1"/>
  <c r="W27" i="104" s="1"/>
  <c r="R23" i="104"/>
  <c r="R21" i="104" s="1"/>
  <c r="R27" i="104" s="1"/>
  <c r="M32" i="109"/>
  <c r="M29" i="109" s="1"/>
  <c r="R23" i="135" s="1"/>
  <c r="R23" i="103"/>
  <c r="R21" i="103" s="1"/>
  <c r="R27" i="103" s="1"/>
  <c r="X32" i="109"/>
  <c r="X29" i="109" s="1"/>
  <c r="AC23" i="135" s="1"/>
  <c r="AC23" i="104"/>
  <c r="AC21" i="104" s="1"/>
  <c r="AC27" i="104" s="1"/>
  <c r="AC23" i="103"/>
  <c r="AC21" i="103" s="1"/>
  <c r="AC27" i="103" s="1"/>
  <c r="N23" i="104"/>
  <c r="N21" i="104" s="1"/>
  <c r="N27" i="104" s="1"/>
  <c r="N23" i="103"/>
  <c r="N21" i="103" s="1"/>
  <c r="N27" i="103" s="1"/>
  <c r="I32" i="109"/>
  <c r="I29" i="109" s="1"/>
  <c r="N23" i="135" s="1"/>
  <c r="AE23" i="103"/>
  <c r="AE21" i="103" s="1"/>
  <c r="AE27" i="103" s="1"/>
  <c r="Z32" i="109"/>
  <c r="Z29" i="109" s="1"/>
  <c r="AE23" i="135" s="1"/>
  <c r="AE23" i="104"/>
  <c r="AE21" i="104" s="1"/>
  <c r="AE27" i="104" s="1"/>
  <c r="AF23" i="104"/>
  <c r="AF21" i="104" s="1"/>
  <c r="AF27" i="104" s="1"/>
  <c r="AF23" i="103"/>
  <c r="AF21" i="103" s="1"/>
  <c r="AF27" i="103" s="1"/>
  <c r="AF45" i="103" s="1"/>
  <c r="AA32" i="109"/>
  <c r="AA29" i="109" s="1"/>
  <c r="AF23" i="135" s="1"/>
  <c r="L32" i="109"/>
  <c r="L29" i="109" s="1"/>
  <c r="Q23" i="135" s="1"/>
  <c r="Q23" i="104"/>
  <c r="Q21" i="104" s="1"/>
  <c r="Q27" i="104" s="1"/>
  <c r="Q23" i="103"/>
  <c r="Q21" i="103" s="1"/>
  <c r="Q27" i="103" s="1"/>
  <c r="Q45" i="103" s="1"/>
  <c r="T23" i="103"/>
  <c r="T21" i="103" s="1"/>
  <c r="T27" i="103" s="1"/>
  <c r="T45" i="103" s="1"/>
  <c r="T23" i="104"/>
  <c r="T21" i="104" s="1"/>
  <c r="T27" i="104" s="1"/>
  <c r="T45" i="104" s="1"/>
  <c r="O32" i="109"/>
  <c r="O29" i="109" s="1"/>
  <c r="T23" i="135" s="1"/>
  <c r="M23" i="103"/>
  <c r="M21" i="103" s="1"/>
  <c r="M27" i="103" s="1"/>
  <c r="H32" i="109"/>
  <c r="H29" i="109" s="1"/>
  <c r="M23" i="135" s="1"/>
  <c r="M23" i="104"/>
  <c r="M21" i="104" s="1"/>
  <c r="M27" i="104" s="1"/>
  <c r="M45" i="104" s="1"/>
  <c r="K32" i="109"/>
  <c r="K29" i="109" s="1"/>
  <c r="P23" i="135" s="1"/>
  <c r="P23" i="104"/>
  <c r="P21" i="104" s="1"/>
  <c r="P27" i="104" s="1"/>
  <c r="P23" i="103"/>
  <c r="P21" i="103" s="1"/>
  <c r="P27" i="103" s="1"/>
  <c r="H21" i="103"/>
  <c r="V23" i="103"/>
  <c r="V21" i="103" s="1"/>
  <c r="V27" i="103" s="1"/>
  <c r="Q32" i="109"/>
  <c r="Q29" i="109" s="1"/>
  <c r="V23" i="135" s="1"/>
  <c r="V23" i="104"/>
  <c r="V21" i="104" s="1"/>
  <c r="V27" i="104" s="1"/>
  <c r="S23" i="104"/>
  <c r="S21" i="104" s="1"/>
  <c r="S27" i="104" s="1"/>
  <c r="S45" i="104" s="1"/>
  <c r="S23" i="103"/>
  <c r="S21" i="103" s="1"/>
  <c r="S27" i="103" s="1"/>
  <c r="S45" i="103" s="1"/>
  <c r="N32" i="109"/>
  <c r="N29" i="109" s="1"/>
  <c r="S23" i="135" s="1"/>
  <c r="U23" i="103"/>
  <c r="U21" i="103" s="1"/>
  <c r="U27" i="103" s="1"/>
  <c r="P32" i="109"/>
  <c r="P29" i="109" s="1"/>
  <c r="U23" i="135" s="1"/>
  <c r="U23" i="104"/>
  <c r="U21" i="104" s="1"/>
  <c r="U27" i="104" s="1"/>
  <c r="W32" i="109"/>
  <c r="W29" i="109" s="1"/>
  <c r="AB23" i="135" s="1"/>
  <c r="AB23" i="104"/>
  <c r="AB21" i="104" s="1"/>
  <c r="AB27" i="104" s="1"/>
  <c r="AB23" i="103"/>
  <c r="AB21" i="103" s="1"/>
  <c r="AB27" i="103" s="1"/>
  <c r="L23" i="104"/>
  <c r="L21" i="104" s="1"/>
  <c r="G32" i="109"/>
  <c r="G29" i="109" s="1"/>
  <c r="L23" i="135" s="1"/>
  <c r="L23" i="103"/>
  <c r="L21" i="103" s="1"/>
  <c r="L27" i="103" s="1"/>
  <c r="V32" i="109"/>
  <c r="V29" i="109" s="1"/>
  <c r="AA23" i="135" s="1"/>
  <c r="AA23" i="103"/>
  <c r="AA21" i="103" s="1"/>
  <c r="AA27" i="103" s="1"/>
  <c r="AA23" i="104"/>
  <c r="AA21" i="104" s="1"/>
  <c r="AA27" i="104" s="1"/>
  <c r="AA45" i="104" s="1"/>
  <c r="O23" i="103"/>
  <c r="O21" i="103" s="1"/>
  <c r="O27" i="103" s="1"/>
  <c r="O23" i="104"/>
  <c r="O21" i="104" s="1"/>
  <c r="O27" i="104" s="1"/>
  <c r="O45" i="104" s="1"/>
  <c r="J32" i="109"/>
  <c r="J29" i="109" s="1"/>
  <c r="O23" i="135" s="1"/>
  <c r="H21" i="104"/>
  <c r="Y23" i="103"/>
  <c r="Y21" i="103" s="1"/>
  <c r="Y27" i="103" s="1"/>
  <c r="Y45" i="103" s="1"/>
  <c r="T32" i="109"/>
  <c r="T29" i="109" s="1"/>
  <c r="Y23" i="135" s="1"/>
  <c r="Y23" i="104"/>
  <c r="Y21" i="104" s="1"/>
  <c r="AD23" i="104"/>
  <c r="AD21" i="104" s="1"/>
  <c r="AD27" i="104" s="1"/>
  <c r="Y32" i="109"/>
  <c r="Y29" i="109" s="1"/>
  <c r="AD23" i="135" s="1"/>
  <c r="AD23" i="103"/>
  <c r="AD21" i="103" s="1"/>
  <c r="AD27" i="103" s="1"/>
  <c r="AD45" i="103" s="1"/>
  <c r="U32" i="109"/>
  <c r="U29" i="109" s="1"/>
  <c r="Z23" i="135" s="1"/>
  <c r="Z23" i="103"/>
  <c r="Z21" i="103" s="1"/>
  <c r="Z27" i="103" s="1"/>
  <c r="Z23" i="104"/>
  <c r="Z21" i="104" s="1"/>
  <c r="Z27" i="104" s="1"/>
  <c r="D128" i="121"/>
  <c r="AH127" i="121"/>
  <c r="AH162" i="121"/>
  <c r="D163" i="121"/>
  <c r="C14" i="121"/>
  <c r="D53" i="121"/>
  <c r="AH52" i="121"/>
  <c r="AH14" i="121"/>
  <c r="D15" i="121"/>
  <c r="D204" i="121"/>
  <c r="AH203" i="121"/>
  <c r="AH90" i="121"/>
  <c r="D91" i="121"/>
  <c r="I9" i="121"/>
  <c r="I10" i="121"/>
  <c r="J8" i="121"/>
  <c r="D236" i="121"/>
  <c r="AH235" i="121"/>
  <c r="C346" i="121"/>
  <c r="D274" i="121"/>
  <c r="AH274" i="121" s="1"/>
  <c r="AH273" i="121"/>
  <c r="AH199" i="120"/>
  <c r="D200" i="120"/>
  <c r="I40" i="120"/>
  <c r="AH13" i="120"/>
  <c r="D14" i="120"/>
  <c r="AH125" i="120"/>
  <c r="D126" i="120"/>
  <c r="K8" i="120"/>
  <c r="J9" i="120"/>
  <c r="J10" i="120"/>
  <c r="D236" i="120"/>
  <c r="AH235" i="120"/>
  <c r="C346" i="120"/>
  <c r="AH163" i="120"/>
  <c r="D164" i="120"/>
  <c r="C14" i="120"/>
  <c r="AH54" i="120"/>
  <c r="D55" i="120"/>
  <c r="D90" i="120"/>
  <c r="AH89" i="120"/>
  <c r="AH162" i="119"/>
  <c r="D163" i="119"/>
  <c r="E15" i="119"/>
  <c r="AH14" i="119"/>
  <c r="H9" i="119"/>
  <c r="I8" i="119"/>
  <c r="H10" i="119"/>
  <c r="D19" i="119"/>
  <c r="G40" i="119"/>
  <c r="AH51" i="119"/>
  <c r="D52" i="119"/>
  <c r="D126" i="119"/>
  <c r="AH125" i="119"/>
  <c r="AH201" i="119"/>
  <c r="D202" i="119"/>
  <c r="D274" i="119"/>
  <c r="AH274" i="119" s="1"/>
  <c r="AH273" i="119"/>
  <c r="C14" i="119"/>
  <c r="D90" i="119"/>
  <c r="AH89" i="119"/>
  <c r="C347" i="119"/>
  <c r="AH16" i="118"/>
  <c r="D17" i="118"/>
  <c r="D89" i="118"/>
  <c r="AH88" i="118"/>
  <c r="D52" i="118"/>
  <c r="AH51" i="118"/>
  <c r="C15" i="118"/>
  <c r="J9" i="118"/>
  <c r="K8" i="118"/>
  <c r="J10" i="118"/>
  <c r="C347" i="118"/>
  <c r="I40" i="118"/>
  <c r="D164" i="118"/>
  <c r="AH163" i="118"/>
  <c r="D126" i="118"/>
  <c r="AH125" i="118"/>
  <c r="AH235" i="118"/>
  <c r="D236" i="118"/>
  <c r="AH201" i="118"/>
  <c r="D202" i="118"/>
  <c r="H49" i="106"/>
  <c r="H48" i="106" s="1"/>
  <c r="K109" i="87"/>
  <c r="K123" i="87" s="1"/>
  <c r="G48" i="106"/>
  <c r="G48" i="105"/>
  <c r="I49" i="106"/>
  <c r="I48" i="106" s="1"/>
  <c r="L109" i="87"/>
  <c r="L123" i="87" s="1"/>
  <c r="J49" i="106"/>
  <c r="J48" i="106" s="1"/>
  <c r="M109" i="87"/>
  <c r="M123" i="87" s="1"/>
  <c r="C45" i="110"/>
  <c r="AC29" i="108"/>
  <c r="AC35" i="108" s="1"/>
  <c r="N29" i="108"/>
  <c r="N32" i="108" s="1"/>
  <c r="N54" i="108" s="1"/>
  <c r="N45" i="108"/>
  <c r="X45" i="108"/>
  <c r="C45" i="108"/>
  <c r="C29" i="108"/>
  <c r="L29" i="108"/>
  <c r="L45" i="108"/>
  <c r="D33" i="108"/>
  <c r="T29" i="108"/>
  <c r="T45" i="108"/>
  <c r="Z29" i="108"/>
  <c r="Z45" i="108"/>
  <c r="V29" i="108"/>
  <c r="V45" i="108"/>
  <c r="M31" i="108"/>
  <c r="M35" i="108"/>
  <c r="M32" i="108"/>
  <c r="M54" i="108" s="1"/>
  <c r="M36" i="108"/>
  <c r="M39" i="108"/>
  <c r="D52" i="108"/>
  <c r="E30" i="108"/>
  <c r="E33" i="108" s="1"/>
  <c r="E53" i="108"/>
  <c r="E52" i="108" s="1"/>
  <c r="E47" i="108" s="1"/>
  <c r="E55" i="108" s="1"/>
  <c r="AD32" i="108"/>
  <c r="AD54" i="108" s="1"/>
  <c r="AD39" i="108"/>
  <c r="AD36" i="108"/>
  <c r="AD31" i="108"/>
  <c r="AD35" i="108"/>
  <c r="R32" i="108"/>
  <c r="R54" i="108" s="1"/>
  <c r="R39" i="108"/>
  <c r="R36" i="108"/>
  <c r="R31" i="108"/>
  <c r="R35" i="108"/>
  <c r="P26" i="108"/>
  <c r="P27" i="108" s="1"/>
  <c r="K36" i="108"/>
  <c r="K31" i="108"/>
  <c r="K35" i="108"/>
  <c r="K39" i="108"/>
  <c r="K32" i="108"/>
  <c r="K54" i="108" s="1"/>
  <c r="E37" i="108"/>
  <c r="U39" i="108"/>
  <c r="U36" i="108"/>
  <c r="U31" i="108"/>
  <c r="U35" i="108"/>
  <c r="U32" i="108"/>
  <c r="U54" i="108" s="1"/>
  <c r="AF39" i="108"/>
  <c r="AF36" i="108"/>
  <c r="AF31" i="108"/>
  <c r="AF35" i="108"/>
  <c r="AF32" i="108"/>
  <c r="AF54" i="108" s="1"/>
  <c r="Y31" i="108"/>
  <c r="Y35" i="108"/>
  <c r="Y32" i="108"/>
  <c r="Y54" i="108" s="1"/>
  <c r="Y36" i="108"/>
  <c r="Y39" i="108"/>
  <c r="O35" i="108"/>
  <c r="O32" i="108"/>
  <c r="O54" i="108" s="1"/>
  <c r="O39" i="108"/>
  <c r="O36" i="108"/>
  <c r="O31" i="108"/>
  <c r="X31" i="108"/>
  <c r="X35" i="108"/>
  <c r="X32" i="108"/>
  <c r="X54" i="108" s="1"/>
  <c r="X39" i="108"/>
  <c r="X36" i="108"/>
  <c r="AE29" i="108"/>
  <c r="AE45" i="108"/>
  <c r="F32" i="108"/>
  <c r="F39" i="108"/>
  <c r="F36" i="108"/>
  <c r="F31" i="108"/>
  <c r="F35" i="108"/>
  <c r="S32" i="108"/>
  <c r="S54" i="108" s="1"/>
  <c r="S39" i="108"/>
  <c r="S36" i="108"/>
  <c r="S31" i="108"/>
  <c r="S35" i="108"/>
  <c r="Q45" i="108"/>
  <c r="Q29" i="108"/>
  <c r="J39" i="108"/>
  <c r="J36" i="108"/>
  <c r="J31" i="108"/>
  <c r="J35" i="108"/>
  <c r="J32" i="108"/>
  <c r="J54" i="108" s="1"/>
  <c r="AA35" i="108"/>
  <c r="AA32" i="108"/>
  <c r="AA54" i="108" s="1"/>
  <c r="AA39" i="108"/>
  <c r="AA36" i="108"/>
  <c r="AA31" i="108"/>
  <c r="AB26" i="108"/>
  <c r="AB27" i="108" s="1"/>
  <c r="W36" i="108"/>
  <c r="W31" i="108"/>
  <c r="W35" i="108"/>
  <c r="W32" i="108"/>
  <c r="W54" i="108" s="1"/>
  <c r="W39" i="108"/>
  <c r="M29" i="107"/>
  <c r="M45" i="107"/>
  <c r="C45" i="107"/>
  <c r="C29" i="107"/>
  <c r="N29" i="107"/>
  <c r="N45" i="107"/>
  <c r="D52" i="107"/>
  <c r="O35" i="107"/>
  <c r="O37" i="107" s="1"/>
  <c r="O32" i="107"/>
  <c r="O54" i="107" s="1"/>
  <c r="O31" i="107"/>
  <c r="O39" i="107"/>
  <c r="O36" i="107"/>
  <c r="AD32" i="107"/>
  <c r="AD54" i="107" s="1"/>
  <c r="AD39" i="107"/>
  <c r="AD36" i="107"/>
  <c r="AD31" i="107"/>
  <c r="AD35" i="107"/>
  <c r="AD37" i="107" s="1"/>
  <c r="P35" i="107"/>
  <c r="P32" i="107"/>
  <c r="P54" i="107" s="1"/>
  <c r="P39" i="107"/>
  <c r="P36" i="107"/>
  <c r="P31" i="107"/>
  <c r="AA45" i="107"/>
  <c r="AA29" i="107"/>
  <c r="AF29" i="107"/>
  <c r="AF45" i="107"/>
  <c r="E30" i="107"/>
  <c r="E33" i="107" s="1"/>
  <c r="E53" i="107"/>
  <c r="E52" i="107" s="1"/>
  <c r="E47" i="107" s="1"/>
  <c r="E55" i="107" s="1"/>
  <c r="F30" i="107"/>
  <c r="F33" i="107" s="1"/>
  <c r="F53" i="107"/>
  <c r="F52" i="107" s="1"/>
  <c r="F47" i="107" s="1"/>
  <c r="F55" i="107" s="1"/>
  <c r="U39" i="107"/>
  <c r="U36" i="107"/>
  <c r="U31" i="107"/>
  <c r="U35" i="107"/>
  <c r="U32" i="107"/>
  <c r="U54" i="107" s="1"/>
  <c r="V39" i="107"/>
  <c r="V36" i="107"/>
  <c r="V31" i="107"/>
  <c r="V35" i="107"/>
  <c r="V37" i="107" s="1"/>
  <c r="V32" i="107"/>
  <c r="V54" i="107" s="1"/>
  <c r="AE32" i="107"/>
  <c r="AE54" i="107" s="1"/>
  <c r="AE39" i="107"/>
  <c r="AE36" i="107"/>
  <c r="AE31" i="107"/>
  <c r="AE35" i="107"/>
  <c r="R32" i="107"/>
  <c r="R54" i="107" s="1"/>
  <c r="R39" i="107"/>
  <c r="R36" i="107"/>
  <c r="R31" i="107"/>
  <c r="R35" i="107"/>
  <c r="R37" i="107" s="1"/>
  <c r="L31" i="107"/>
  <c r="L35" i="107"/>
  <c r="L37" i="107" s="1"/>
  <c r="L39" i="107"/>
  <c r="L32" i="107"/>
  <c r="L54" i="107" s="1"/>
  <c r="L36" i="107"/>
  <c r="AC35" i="107"/>
  <c r="AC32" i="107"/>
  <c r="AC54" i="107" s="1"/>
  <c r="AC39" i="107"/>
  <c r="AC36" i="107"/>
  <c r="AC31" i="107"/>
  <c r="AB35" i="107"/>
  <c r="AB37" i="107" s="1"/>
  <c r="AB32" i="107"/>
  <c r="AB54" i="107" s="1"/>
  <c r="AB39" i="107"/>
  <c r="AB36" i="107"/>
  <c r="AB31" i="107"/>
  <c r="J29" i="107"/>
  <c r="J45" i="107"/>
  <c r="W36" i="107"/>
  <c r="W31" i="107"/>
  <c r="W35" i="107"/>
  <c r="W37" i="107" s="1"/>
  <c r="W32" i="107"/>
  <c r="W54" i="107" s="1"/>
  <c r="W39" i="107"/>
  <c r="X31" i="107"/>
  <c r="X35" i="107"/>
  <c r="X37" i="107" s="1"/>
  <c r="X32" i="107"/>
  <c r="X54" i="107" s="1"/>
  <c r="X39" i="107"/>
  <c r="X36" i="107"/>
  <c r="T39" i="107"/>
  <c r="T36" i="107"/>
  <c r="T31" i="107"/>
  <c r="T35" i="107"/>
  <c r="T32" i="107"/>
  <c r="T54" i="107" s="1"/>
  <c r="Y31" i="107"/>
  <c r="Y35" i="107"/>
  <c r="Y32" i="107"/>
  <c r="Y54" i="107" s="1"/>
  <c r="Y36" i="107"/>
  <c r="Y39" i="107"/>
  <c r="S32" i="107"/>
  <c r="S54" i="107" s="1"/>
  <c r="S39" i="107"/>
  <c r="S36" i="107"/>
  <c r="S31" i="107"/>
  <c r="S35" i="107"/>
  <c r="S37" i="107" s="1"/>
  <c r="Q35" i="107"/>
  <c r="Q37" i="107" s="1"/>
  <c r="Q32" i="107"/>
  <c r="Q54" i="107" s="1"/>
  <c r="Q39" i="107"/>
  <c r="Q36" i="107"/>
  <c r="Q31" i="107"/>
  <c r="K36" i="107"/>
  <c r="K31" i="107"/>
  <c r="K35" i="107"/>
  <c r="K32" i="107"/>
  <c r="K54" i="107" s="1"/>
  <c r="K39" i="107"/>
  <c r="D33" i="107"/>
  <c r="Z35" i="107"/>
  <c r="Z37" i="107" s="1"/>
  <c r="Z32" i="107"/>
  <c r="Z54" i="107" s="1"/>
  <c r="Z39" i="107"/>
  <c r="Z36" i="107"/>
  <c r="Z31" i="107"/>
  <c r="AG13" i="106"/>
  <c r="S45" i="106"/>
  <c r="T45" i="106"/>
  <c r="M45" i="106"/>
  <c r="AG17" i="106"/>
  <c r="R45" i="106"/>
  <c r="Z45" i="106"/>
  <c r="V45" i="106"/>
  <c r="X45" i="106"/>
  <c r="N45" i="106"/>
  <c r="O45" i="106"/>
  <c r="AE45" i="106"/>
  <c r="I45" i="106"/>
  <c r="G26" i="106"/>
  <c r="G27" i="106" s="1"/>
  <c r="AG26" i="106"/>
  <c r="H45" i="106"/>
  <c r="C45" i="106"/>
  <c r="C29" i="106"/>
  <c r="Y45" i="106"/>
  <c r="AD45" i="106"/>
  <c r="H45" i="105"/>
  <c r="AC45" i="105"/>
  <c r="T45" i="105"/>
  <c r="S26" i="105"/>
  <c r="S27" i="105" s="1"/>
  <c r="AG13" i="105"/>
  <c r="G17" i="105"/>
  <c r="C39" i="105"/>
  <c r="C36" i="105"/>
  <c r="C33" i="105"/>
  <c r="C35" i="105"/>
  <c r="C55" i="105"/>
  <c r="AE26" i="105"/>
  <c r="AE27" i="105" s="1"/>
  <c r="W45" i="105"/>
  <c r="Q45" i="105"/>
  <c r="AA45" i="105"/>
  <c r="AG13" i="104"/>
  <c r="C45" i="104"/>
  <c r="G26" i="104"/>
  <c r="G27" i="104" s="1"/>
  <c r="X26" i="104"/>
  <c r="X27" i="104" s="1"/>
  <c r="Y26" i="104"/>
  <c r="AG17" i="104"/>
  <c r="L26" i="104"/>
  <c r="G26" i="103"/>
  <c r="G27" i="103"/>
  <c r="AG17" i="103"/>
  <c r="AG26" i="103"/>
  <c r="C45" i="103"/>
  <c r="O15" i="101"/>
  <c r="O13" i="101" s="1"/>
  <c r="O17" i="101" s="1"/>
  <c r="O26" i="101" s="1"/>
  <c r="H45" i="89"/>
  <c r="H46" i="89"/>
  <c r="N14" i="101"/>
  <c r="N13" i="101" s="1"/>
  <c r="N17" i="101" s="1"/>
  <c r="N26" i="101" s="1"/>
  <c r="L15" i="102"/>
  <c r="L13" i="102" s="1"/>
  <c r="L17" i="102" s="1"/>
  <c r="L26" i="102" s="1"/>
  <c r="P15" i="102"/>
  <c r="P14" i="102"/>
  <c r="O19" i="101"/>
  <c r="O19" i="102"/>
  <c r="O15" i="102"/>
  <c r="O14" i="102"/>
  <c r="O23" i="101"/>
  <c r="O23" i="102"/>
  <c r="N18" i="102"/>
  <c r="N23" i="101"/>
  <c r="N23" i="102"/>
  <c r="N15" i="102"/>
  <c r="N14" i="102"/>
  <c r="N18" i="101"/>
  <c r="M15" i="102"/>
  <c r="M14" i="102"/>
  <c r="M18" i="102"/>
  <c r="M23" i="101"/>
  <c r="M23" i="102"/>
  <c r="K15" i="102"/>
  <c r="K14" i="102"/>
  <c r="K15" i="101"/>
  <c r="K14" i="101"/>
  <c r="L23" i="101"/>
  <c r="L23" i="102"/>
  <c r="L18" i="102"/>
  <c r="L18" i="101"/>
  <c r="I45" i="102"/>
  <c r="C57" i="102"/>
  <c r="J45" i="102"/>
  <c r="G26" i="102"/>
  <c r="L15" i="101"/>
  <c r="L14" i="101"/>
  <c r="O22" i="101"/>
  <c r="K24" i="101"/>
  <c r="K25" i="101"/>
  <c r="O20" i="101"/>
  <c r="C45" i="101"/>
  <c r="G17" i="101"/>
  <c r="M15" i="98"/>
  <c r="M13" i="98" s="1"/>
  <c r="M17" i="98" s="1"/>
  <c r="L18" i="98"/>
  <c r="M18" i="98"/>
  <c r="M15" i="100"/>
  <c r="M14" i="100"/>
  <c r="N23" i="98"/>
  <c r="N23" i="100"/>
  <c r="M24" i="100"/>
  <c r="M21" i="100" s="1"/>
  <c r="M24" i="98"/>
  <c r="M21" i="98" s="1"/>
  <c r="E42" i="90"/>
  <c r="E41" i="90"/>
  <c r="E40" i="90"/>
  <c r="E44" i="90"/>
  <c r="N9" i="98"/>
  <c r="N14" i="98" s="1"/>
  <c r="N9" i="100"/>
  <c r="N25" i="98"/>
  <c r="N25" i="100"/>
  <c r="E43" i="90"/>
  <c r="L18" i="100"/>
  <c r="L9" i="100"/>
  <c r="N24" i="100"/>
  <c r="N24" i="98"/>
  <c r="N22" i="100"/>
  <c r="N22" i="98"/>
  <c r="L24" i="100"/>
  <c r="L24" i="98"/>
  <c r="L21" i="98" s="1"/>
  <c r="N20" i="100"/>
  <c r="N18" i="100" s="1"/>
  <c r="N20" i="98"/>
  <c r="H43" i="89"/>
  <c r="G40" i="89"/>
  <c r="G41" i="89"/>
  <c r="G39" i="89"/>
  <c r="G42" i="89"/>
  <c r="F43" i="89"/>
  <c r="E43" i="89"/>
  <c r="D43" i="89"/>
  <c r="G43" i="89"/>
  <c r="C43" i="89"/>
  <c r="G44" i="89"/>
  <c r="F44" i="89"/>
  <c r="E44" i="89"/>
  <c r="D44" i="89"/>
  <c r="C44" i="89"/>
  <c r="J45" i="100"/>
  <c r="G26" i="100"/>
  <c r="G27" i="100"/>
  <c r="C56" i="100"/>
  <c r="K45" i="100"/>
  <c r="I45" i="100"/>
  <c r="L15" i="98"/>
  <c r="L14" i="98"/>
  <c r="I45" i="98"/>
  <c r="H26" i="98"/>
  <c r="H27" i="98" s="1"/>
  <c r="C45" i="98"/>
  <c r="E45" i="98"/>
  <c r="G26" i="98"/>
  <c r="E39" i="90"/>
  <c r="E45" i="90"/>
  <c r="G35" i="90"/>
  <c r="F36" i="90"/>
  <c r="F37" i="90" s="1"/>
  <c r="N9" i="93"/>
  <c r="N7" i="93"/>
  <c r="P7" i="93" s="1"/>
  <c r="J20" i="93"/>
  <c r="J28" i="93"/>
  <c r="J24" i="93"/>
  <c r="AG13" i="97"/>
  <c r="G17" i="97"/>
  <c r="I26" i="97"/>
  <c r="G26" i="94"/>
  <c r="C6" i="83"/>
  <c r="AG7" i="83"/>
  <c r="C12" i="82"/>
  <c r="N30" i="93" l="1"/>
  <c r="N4" i="93"/>
  <c r="AG15" i="108"/>
  <c r="G15" i="135"/>
  <c r="G14" i="135"/>
  <c r="G13" i="135" s="1"/>
  <c r="G17" i="135" s="1"/>
  <c r="G26" i="135" s="1"/>
  <c r="AG9" i="135"/>
  <c r="AG15" i="135"/>
  <c r="I13" i="107"/>
  <c r="I17" i="107" s="1"/>
  <c r="I26" i="107" s="1"/>
  <c r="I27" i="107" s="1"/>
  <c r="I29" i="107" s="1"/>
  <c r="I13" i="108"/>
  <c r="I17" i="108" s="1"/>
  <c r="I26" i="108" s="1"/>
  <c r="I27" i="108" s="1"/>
  <c r="I13" i="135"/>
  <c r="AG14" i="135"/>
  <c r="AG23" i="135"/>
  <c r="J26" i="93"/>
  <c r="J12" i="93"/>
  <c r="N109" i="87"/>
  <c r="P14" i="101"/>
  <c r="P13" i="101" s="1"/>
  <c r="P17" i="101" s="1"/>
  <c r="P26" i="101" s="1"/>
  <c r="N15" i="98"/>
  <c r="N13" i="98" s="1"/>
  <c r="N17" i="98" s="1"/>
  <c r="N26" i="98" s="1"/>
  <c r="M19" i="110"/>
  <c r="H13" i="108"/>
  <c r="H17" i="108" s="1"/>
  <c r="G13" i="107"/>
  <c r="AG14" i="107"/>
  <c r="I15" i="110"/>
  <c r="I14" i="110"/>
  <c r="H15" i="110"/>
  <c r="H14" i="110"/>
  <c r="AB14" i="109"/>
  <c r="H13" i="107"/>
  <c r="H17" i="107" s="1"/>
  <c r="G13" i="108"/>
  <c r="AG14" i="108"/>
  <c r="AG15" i="107"/>
  <c r="M15" i="110"/>
  <c r="M13" i="110" s="1"/>
  <c r="M17" i="110" s="1"/>
  <c r="M26" i="110" s="1"/>
  <c r="M20" i="110"/>
  <c r="N19" i="110"/>
  <c r="K13" i="101"/>
  <c r="K17" i="101" s="1"/>
  <c r="K26" i="101" s="1"/>
  <c r="L20" i="110"/>
  <c r="L18" i="110" s="1"/>
  <c r="N28" i="93"/>
  <c r="N22" i="93"/>
  <c r="J22" i="93"/>
  <c r="P22" i="93" s="1"/>
  <c r="R22" i="93" s="1"/>
  <c r="J30" i="93"/>
  <c r="P30" i="93" s="1"/>
  <c r="R30" i="93" s="1"/>
  <c r="N33" i="93"/>
  <c r="N27" i="93"/>
  <c r="P27" i="93" s="1"/>
  <c r="R27" i="93" s="1"/>
  <c r="N15" i="93"/>
  <c r="N31" i="93"/>
  <c r="J11" i="93"/>
  <c r="N11" i="93"/>
  <c r="P4" i="93"/>
  <c r="J17" i="93"/>
  <c r="N8" i="93"/>
  <c r="N10" i="93"/>
  <c r="J16" i="93"/>
  <c r="N32" i="93"/>
  <c r="J14" i="93"/>
  <c r="N13" i="93"/>
  <c r="N26" i="93"/>
  <c r="P26" i="93" s="1"/>
  <c r="R26" i="93" s="1"/>
  <c r="J25" i="93"/>
  <c r="J21" i="93"/>
  <c r="J9" i="93"/>
  <c r="P9" i="93" s="1"/>
  <c r="R9" i="93" s="1"/>
  <c r="J10" i="93"/>
  <c r="J18" i="93"/>
  <c r="J8" i="93"/>
  <c r="P8" i="93" s="1"/>
  <c r="R8" i="93" s="1"/>
  <c r="J27" i="93"/>
  <c r="J32" i="93"/>
  <c r="P32" i="93" s="1"/>
  <c r="R32" i="93" s="1"/>
  <c r="J19" i="93"/>
  <c r="N24" i="93"/>
  <c r="P24" i="93" s="1"/>
  <c r="R24" i="93" s="1"/>
  <c r="N29" i="93"/>
  <c r="N25" i="93"/>
  <c r="N5" i="93"/>
  <c r="P5" i="93" s="1"/>
  <c r="J33" i="93"/>
  <c r="J23" i="93"/>
  <c r="N19" i="93"/>
  <c r="N18" i="93"/>
  <c r="N12" i="93"/>
  <c r="N23" i="93"/>
  <c r="N20" i="93"/>
  <c r="P20" i="93" s="1"/>
  <c r="R20" i="93" s="1"/>
  <c r="N21" i="93"/>
  <c r="J29" i="93"/>
  <c r="J15" i="93"/>
  <c r="J31" i="93"/>
  <c r="J13" i="93"/>
  <c r="N14" i="93"/>
  <c r="N17" i="93"/>
  <c r="N16" i="93"/>
  <c r="N6" i="93"/>
  <c r="P6" i="93" s="1"/>
  <c r="D37" i="129"/>
  <c r="AD40" i="129"/>
  <c r="AF8" i="129"/>
  <c r="AE9" i="129"/>
  <c r="AE40" i="129" s="1"/>
  <c r="AE10" i="129"/>
  <c r="C35" i="129"/>
  <c r="C368" i="129"/>
  <c r="N20" i="110"/>
  <c r="J39" i="109"/>
  <c r="J26" i="109"/>
  <c r="J21" i="109"/>
  <c r="J17" i="109"/>
  <c r="J30" i="109"/>
  <c r="J35" i="109"/>
  <c r="J8" i="109"/>
  <c r="K21" i="102"/>
  <c r="K18" i="109"/>
  <c r="K27" i="109"/>
  <c r="K22" i="109"/>
  <c r="L36" i="109"/>
  <c r="L12" i="109"/>
  <c r="L9" i="109"/>
  <c r="K40" i="109"/>
  <c r="K36" i="109"/>
  <c r="O18" i="102"/>
  <c r="J40" i="109"/>
  <c r="J36" i="109"/>
  <c r="P23" i="102"/>
  <c r="K31" i="109"/>
  <c r="H40" i="109"/>
  <c r="I40" i="109"/>
  <c r="H36" i="109"/>
  <c r="I36" i="109"/>
  <c r="G36" i="109"/>
  <c r="K18" i="110"/>
  <c r="G40" i="109"/>
  <c r="Y27" i="104"/>
  <c r="Y45" i="104" s="1"/>
  <c r="AE45" i="104"/>
  <c r="W45" i="104"/>
  <c r="O45" i="103"/>
  <c r="Q45" i="104"/>
  <c r="AG21" i="103"/>
  <c r="H27" i="103"/>
  <c r="AG27" i="103" s="1"/>
  <c r="AG23" i="103"/>
  <c r="H23" i="110"/>
  <c r="L45" i="103"/>
  <c r="Z45" i="104"/>
  <c r="M45" i="103"/>
  <c r="AB45" i="104"/>
  <c r="W45" i="103"/>
  <c r="AE45" i="103"/>
  <c r="X45" i="103"/>
  <c r="V45" i="104"/>
  <c r="K23" i="110"/>
  <c r="P45" i="103"/>
  <c r="AG23" i="104"/>
  <c r="AA45" i="103"/>
  <c r="V45" i="103"/>
  <c r="AF45" i="104"/>
  <c r="AC45" i="104"/>
  <c r="R45" i="103"/>
  <c r="AG21" i="104"/>
  <c r="H27" i="104"/>
  <c r="AB45" i="103"/>
  <c r="N45" i="104"/>
  <c r="R45" i="104"/>
  <c r="K45" i="103"/>
  <c r="AD45" i="104"/>
  <c r="U45" i="104"/>
  <c r="P45" i="104"/>
  <c r="N45" i="103"/>
  <c r="K45" i="104"/>
  <c r="U45" i="103"/>
  <c r="Z45" i="103"/>
  <c r="AB32" i="109"/>
  <c r="D92" i="121"/>
  <c r="AH91" i="121"/>
  <c r="D237" i="121"/>
  <c r="AH236" i="121"/>
  <c r="K8" i="121"/>
  <c r="J9" i="121"/>
  <c r="J10" i="121"/>
  <c r="AH53" i="121"/>
  <c r="D54" i="121"/>
  <c r="C15" i="121"/>
  <c r="D205" i="121"/>
  <c r="AH205" i="121" s="1"/>
  <c r="AH204" i="121"/>
  <c r="D164" i="121"/>
  <c r="AH163" i="121"/>
  <c r="D16" i="121"/>
  <c r="C347" i="121"/>
  <c r="D129" i="121"/>
  <c r="AH128" i="121"/>
  <c r="AH90" i="120"/>
  <c r="D91" i="120"/>
  <c r="J40" i="120"/>
  <c r="D237" i="120"/>
  <c r="AH236" i="120"/>
  <c r="D56" i="120"/>
  <c r="AH55" i="120"/>
  <c r="K9" i="120"/>
  <c r="K10" i="120"/>
  <c r="L8" i="120"/>
  <c r="D127" i="120"/>
  <c r="AH126" i="120"/>
  <c r="D165" i="120"/>
  <c r="AH164" i="120"/>
  <c r="AH14" i="120"/>
  <c r="D15" i="120"/>
  <c r="C15" i="120"/>
  <c r="C347" i="120"/>
  <c r="AH200" i="120"/>
  <c r="D201" i="120"/>
  <c r="N13" i="102"/>
  <c r="N17" i="102" s="1"/>
  <c r="N26" i="102" s="1"/>
  <c r="AH202" i="119"/>
  <c r="D203" i="119"/>
  <c r="C348" i="119"/>
  <c r="AH126" i="119"/>
  <c r="D127" i="119"/>
  <c r="H40" i="119"/>
  <c r="D53" i="119"/>
  <c r="AH52" i="119"/>
  <c r="AH90" i="119"/>
  <c r="D91" i="119"/>
  <c r="E16" i="119"/>
  <c r="AH15" i="119"/>
  <c r="D20" i="119"/>
  <c r="I9" i="119"/>
  <c r="J8" i="119"/>
  <c r="I10" i="119"/>
  <c r="AH163" i="119"/>
  <c r="D164" i="119"/>
  <c r="C15" i="119"/>
  <c r="M13" i="100"/>
  <c r="M17" i="100" s="1"/>
  <c r="M26" i="100" s="1"/>
  <c r="D127" i="118"/>
  <c r="AH126" i="118"/>
  <c r="C16" i="118"/>
  <c r="AH52" i="118"/>
  <c r="D53" i="118"/>
  <c r="D203" i="118"/>
  <c r="AH202" i="118"/>
  <c r="L8" i="118"/>
  <c r="K10" i="118"/>
  <c r="K9" i="118"/>
  <c r="D90" i="118"/>
  <c r="AH89" i="118"/>
  <c r="J40" i="118"/>
  <c r="D165" i="118"/>
  <c r="AH164" i="118"/>
  <c r="C348" i="118"/>
  <c r="D237" i="118"/>
  <c r="AH236" i="118"/>
  <c r="AH17" i="118"/>
  <c r="D18" i="118"/>
  <c r="E42" i="109"/>
  <c r="B42" i="109"/>
  <c r="J48" i="105"/>
  <c r="AG48" i="106"/>
  <c r="AG49" i="106"/>
  <c r="D42" i="109"/>
  <c r="C42" i="109"/>
  <c r="I48" i="105"/>
  <c r="H48" i="105"/>
  <c r="C55" i="110"/>
  <c r="AC39" i="108"/>
  <c r="AC32" i="108"/>
  <c r="AC54" i="108" s="1"/>
  <c r="AC31" i="108"/>
  <c r="AC36" i="108"/>
  <c r="AC37" i="108" s="1"/>
  <c r="X37" i="108"/>
  <c r="W37" i="108"/>
  <c r="N35" i="108"/>
  <c r="AA37" i="108"/>
  <c r="N31" i="108"/>
  <c r="N53" i="108" s="1"/>
  <c r="N52" i="108" s="1"/>
  <c r="N47" i="108" s="1"/>
  <c r="N55" i="108" s="1"/>
  <c r="N36" i="108"/>
  <c r="N39" i="108"/>
  <c r="S37" i="108"/>
  <c r="AD37" i="108"/>
  <c r="U37" i="108"/>
  <c r="P45" i="108"/>
  <c r="P29" i="108"/>
  <c r="V39" i="108"/>
  <c r="V36" i="108"/>
  <c r="V31" i="108"/>
  <c r="V35" i="108"/>
  <c r="V32" i="108"/>
  <c r="V54" i="108" s="1"/>
  <c r="AA30" i="108"/>
  <c r="AA33" i="108" s="1"/>
  <c r="AA53" i="108"/>
  <c r="AA52" i="108" s="1"/>
  <c r="AA47" i="108" s="1"/>
  <c r="AA55" i="108" s="1"/>
  <c r="J53" i="108"/>
  <c r="J52" i="108" s="1"/>
  <c r="J47" i="108" s="1"/>
  <c r="J55" i="108" s="1"/>
  <c r="J30" i="108"/>
  <c r="J33" i="108" s="1"/>
  <c r="D47" i="108"/>
  <c r="Z35" i="108"/>
  <c r="Z32" i="108"/>
  <c r="Z54" i="108" s="1"/>
  <c r="Z39" i="108"/>
  <c r="Z36" i="108"/>
  <c r="Z31" i="108"/>
  <c r="F37" i="108"/>
  <c r="K37" i="108"/>
  <c r="K53" i="108"/>
  <c r="K52" i="108" s="1"/>
  <c r="K47" i="108" s="1"/>
  <c r="K55" i="108" s="1"/>
  <c r="K30" i="108"/>
  <c r="K33" i="108" s="1"/>
  <c r="W53" i="108"/>
  <c r="W52" i="108" s="1"/>
  <c r="W47" i="108" s="1"/>
  <c r="W55" i="108" s="1"/>
  <c r="W30" i="108"/>
  <c r="W33" i="108" s="1"/>
  <c r="Q35" i="108"/>
  <c r="Q32" i="108"/>
  <c r="Q54" i="108" s="1"/>
  <c r="Q39" i="108"/>
  <c r="Q36" i="108"/>
  <c r="Q31" i="108"/>
  <c r="Y37" i="108"/>
  <c r="F54" i="108"/>
  <c r="O30" i="108"/>
  <c r="O33" i="108" s="1"/>
  <c r="O53" i="108"/>
  <c r="O52" i="108" s="1"/>
  <c r="O47" i="108" s="1"/>
  <c r="O55" i="108" s="1"/>
  <c r="Y53" i="108"/>
  <c r="Y52" i="108" s="1"/>
  <c r="Y47" i="108" s="1"/>
  <c r="Y55" i="108" s="1"/>
  <c r="Y30" i="108"/>
  <c r="Y33" i="108" s="1"/>
  <c r="X53" i="108"/>
  <c r="X52" i="108" s="1"/>
  <c r="X47" i="108" s="1"/>
  <c r="X55" i="108" s="1"/>
  <c r="X30" i="108"/>
  <c r="X33" i="108" s="1"/>
  <c r="AD30" i="108"/>
  <c r="AD33" i="108" s="1"/>
  <c r="AD53" i="108"/>
  <c r="AD52" i="108" s="1"/>
  <c r="AD47" i="108" s="1"/>
  <c r="AD55" i="108" s="1"/>
  <c r="L31" i="108"/>
  <c r="L35" i="108"/>
  <c r="L32" i="108"/>
  <c r="L54" i="108" s="1"/>
  <c r="L39" i="108"/>
  <c r="L36" i="108"/>
  <c r="AB45" i="108"/>
  <c r="AB29" i="108"/>
  <c r="S30" i="108"/>
  <c r="S33" i="108" s="1"/>
  <c r="S53" i="108"/>
  <c r="S52" i="108" s="1"/>
  <c r="S47" i="108" s="1"/>
  <c r="S55" i="108" s="1"/>
  <c r="AE32" i="108"/>
  <c r="AE54" i="108" s="1"/>
  <c r="AE39" i="108"/>
  <c r="AE36" i="108"/>
  <c r="AE31" i="108"/>
  <c r="AE35" i="108"/>
  <c r="R37" i="108"/>
  <c r="C35" i="108"/>
  <c r="C39" i="108"/>
  <c r="C36" i="108"/>
  <c r="C33" i="108"/>
  <c r="F30" i="108"/>
  <c r="F33" i="108" s="1"/>
  <c r="F53" i="108"/>
  <c r="T39" i="108"/>
  <c r="T36" i="108"/>
  <c r="T31" i="108"/>
  <c r="T35" i="108"/>
  <c r="T32" i="108"/>
  <c r="T54" i="108" s="1"/>
  <c r="U53" i="108"/>
  <c r="U52" i="108" s="1"/>
  <c r="U47" i="108" s="1"/>
  <c r="U55" i="108" s="1"/>
  <c r="U30" i="108"/>
  <c r="U33" i="108" s="1"/>
  <c r="AF37" i="108"/>
  <c r="R30" i="108"/>
  <c r="R33" i="108" s="1"/>
  <c r="R53" i="108"/>
  <c r="R52" i="108" s="1"/>
  <c r="R47" i="108" s="1"/>
  <c r="R55" i="108" s="1"/>
  <c r="M37" i="108"/>
  <c r="J37" i="108"/>
  <c r="O37" i="108"/>
  <c r="AF53" i="108"/>
  <c r="AF52" i="108" s="1"/>
  <c r="AF47" i="108" s="1"/>
  <c r="AF55" i="108" s="1"/>
  <c r="AF30" i="108"/>
  <c r="AF33" i="108" s="1"/>
  <c r="M53" i="108"/>
  <c r="M52" i="108" s="1"/>
  <c r="M47" i="108" s="1"/>
  <c r="M55" i="108" s="1"/>
  <c r="M30" i="108"/>
  <c r="M33" i="108" s="1"/>
  <c r="C55" i="108"/>
  <c r="W53" i="107"/>
  <c r="W52" i="107" s="1"/>
  <c r="W47" i="107" s="1"/>
  <c r="W55" i="107" s="1"/>
  <c r="W30" i="107"/>
  <c r="W33" i="107" s="1"/>
  <c r="AE37" i="107"/>
  <c r="AD30" i="107"/>
  <c r="AD33" i="107" s="1"/>
  <c r="AD53" i="107"/>
  <c r="AD52" i="107" s="1"/>
  <c r="AD47" i="107" s="1"/>
  <c r="AD55" i="107" s="1"/>
  <c r="O30" i="107"/>
  <c r="O33" i="107" s="1"/>
  <c r="O53" i="107"/>
  <c r="O52" i="107" s="1"/>
  <c r="O47" i="107" s="1"/>
  <c r="O55" i="107" s="1"/>
  <c r="L53" i="107"/>
  <c r="L52" i="107" s="1"/>
  <c r="L47" i="107" s="1"/>
  <c r="L55" i="107" s="1"/>
  <c r="L30" i="107"/>
  <c r="L33" i="107" s="1"/>
  <c r="M31" i="107"/>
  <c r="M35" i="107"/>
  <c r="M32" i="107"/>
  <c r="M54" i="107" s="1"/>
  <c r="M36" i="107"/>
  <c r="M39" i="107"/>
  <c r="AE30" i="107"/>
  <c r="AE33" i="107" s="1"/>
  <c r="AE53" i="107"/>
  <c r="AE52" i="107" s="1"/>
  <c r="AE47" i="107" s="1"/>
  <c r="AE55" i="107" s="1"/>
  <c r="U37" i="107"/>
  <c r="AF39" i="107"/>
  <c r="AF36" i="107"/>
  <c r="AF31" i="107"/>
  <c r="AF35" i="107"/>
  <c r="AF32" i="107"/>
  <c r="AF54" i="107" s="1"/>
  <c r="K53" i="107"/>
  <c r="K52" i="107" s="1"/>
  <c r="K47" i="107" s="1"/>
  <c r="K55" i="107" s="1"/>
  <c r="K30" i="107"/>
  <c r="K33" i="107" s="1"/>
  <c r="AB30" i="107"/>
  <c r="AB33" i="107" s="1"/>
  <c r="AB53" i="107"/>
  <c r="AB52" i="107" s="1"/>
  <c r="AB47" i="107" s="1"/>
  <c r="AB55" i="107" s="1"/>
  <c r="U53" i="107"/>
  <c r="U52" i="107" s="1"/>
  <c r="U47" i="107" s="1"/>
  <c r="U55" i="107" s="1"/>
  <c r="U30" i="107"/>
  <c r="U33" i="107" s="1"/>
  <c r="AA35" i="107"/>
  <c r="AA32" i="107"/>
  <c r="AA54" i="107" s="1"/>
  <c r="AA39" i="107"/>
  <c r="AA36" i="107"/>
  <c r="AA31" i="107"/>
  <c r="Y37" i="107"/>
  <c r="Q30" i="107"/>
  <c r="Q33" i="107" s="1"/>
  <c r="Q53" i="107"/>
  <c r="Q52" i="107" s="1"/>
  <c r="Q47" i="107" s="1"/>
  <c r="Q55" i="107" s="1"/>
  <c r="R30" i="107"/>
  <c r="R33" i="107" s="1"/>
  <c r="R53" i="107"/>
  <c r="R52" i="107" s="1"/>
  <c r="R47" i="107" s="1"/>
  <c r="R55" i="107" s="1"/>
  <c r="C35" i="107"/>
  <c r="C39" i="107"/>
  <c r="C36" i="107"/>
  <c r="C33" i="107"/>
  <c r="X53" i="107"/>
  <c r="X52" i="107" s="1"/>
  <c r="X47" i="107" s="1"/>
  <c r="X55" i="107" s="1"/>
  <c r="X30" i="107"/>
  <c r="X33" i="107" s="1"/>
  <c r="AC30" i="107"/>
  <c r="AC33" i="107" s="1"/>
  <c r="AC53" i="107"/>
  <c r="AC52" i="107" s="1"/>
  <c r="AC47" i="107" s="1"/>
  <c r="AC55" i="107" s="1"/>
  <c r="S30" i="107"/>
  <c r="S33" i="107" s="1"/>
  <c r="S53" i="107"/>
  <c r="S52" i="107" s="1"/>
  <c r="S47" i="107" s="1"/>
  <c r="S55" i="107" s="1"/>
  <c r="N35" i="107"/>
  <c r="N37" i="107" s="1"/>
  <c r="N32" i="107"/>
  <c r="N54" i="107" s="1"/>
  <c r="N39" i="107"/>
  <c r="N36" i="107"/>
  <c r="N31" i="107"/>
  <c r="T37" i="107"/>
  <c r="J39" i="107"/>
  <c r="J36" i="107"/>
  <c r="J31" i="107"/>
  <c r="J35" i="107"/>
  <c r="J32" i="107"/>
  <c r="J54" i="107" s="1"/>
  <c r="V53" i="107"/>
  <c r="V52" i="107" s="1"/>
  <c r="V47" i="107" s="1"/>
  <c r="V55" i="107" s="1"/>
  <c r="V30" i="107"/>
  <c r="V33" i="107" s="1"/>
  <c r="P30" i="107"/>
  <c r="P33" i="107" s="1"/>
  <c r="P53" i="107"/>
  <c r="P52" i="107" s="1"/>
  <c r="P47" i="107" s="1"/>
  <c r="P55" i="107" s="1"/>
  <c r="Z53" i="107"/>
  <c r="Z52" i="107" s="1"/>
  <c r="Z47" i="107" s="1"/>
  <c r="Z55" i="107" s="1"/>
  <c r="Z30" i="107"/>
  <c r="Z33" i="107" s="1"/>
  <c r="Y53" i="107"/>
  <c r="Y52" i="107" s="1"/>
  <c r="Y47" i="107" s="1"/>
  <c r="Y55" i="107" s="1"/>
  <c r="Y30" i="107"/>
  <c r="Y33" i="107" s="1"/>
  <c r="T53" i="107"/>
  <c r="T52" i="107" s="1"/>
  <c r="T47" i="107" s="1"/>
  <c r="T55" i="107" s="1"/>
  <c r="T30" i="107"/>
  <c r="T33" i="107" s="1"/>
  <c r="C55" i="107"/>
  <c r="D47" i="107"/>
  <c r="K37" i="107"/>
  <c r="AC37" i="107"/>
  <c r="P37" i="107"/>
  <c r="G45" i="106"/>
  <c r="AG45" i="106" s="1"/>
  <c r="AG27" i="106"/>
  <c r="C55" i="106"/>
  <c r="C35" i="106"/>
  <c r="C37" i="106" s="1"/>
  <c r="C39" i="106"/>
  <c r="C36" i="106"/>
  <c r="C33" i="106"/>
  <c r="S45" i="105"/>
  <c r="C37" i="105"/>
  <c r="G26" i="105"/>
  <c r="AG26" i="105" s="1"/>
  <c r="AG17" i="105"/>
  <c r="AE45" i="105"/>
  <c r="AG26" i="104"/>
  <c r="G45" i="104"/>
  <c r="L27" i="104"/>
  <c r="C56" i="104"/>
  <c r="X45" i="104"/>
  <c r="AC45" i="103"/>
  <c r="C56" i="103"/>
  <c r="G45" i="103"/>
  <c r="O13" i="102"/>
  <c r="O17" i="102" s="1"/>
  <c r="O26" i="102" s="1"/>
  <c r="M13" i="102"/>
  <c r="M17" i="102" s="1"/>
  <c r="M26" i="102" s="1"/>
  <c r="I45" i="89"/>
  <c r="I46" i="89"/>
  <c r="P19" i="101"/>
  <c r="P19" i="102"/>
  <c r="P22" i="101"/>
  <c r="P22" i="102"/>
  <c r="P24" i="101"/>
  <c r="P24" i="102"/>
  <c r="P20" i="101"/>
  <c r="P20" i="102"/>
  <c r="Q24" i="101"/>
  <c r="Q24" i="102"/>
  <c r="P25" i="101"/>
  <c r="P25" i="102"/>
  <c r="P13" i="102"/>
  <c r="P17" i="102" s="1"/>
  <c r="O25" i="101"/>
  <c r="O25" i="102"/>
  <c r="O24" i="101"/>
  <c r="O24" i="102"/>
  <c r="N24" i="101"/>
  <c r="N24" i="102"/>
  <c r="N25" i="101"/>
  <c r="N25" i="102"/>
  <c r="M25" i="101"/>
  <c r="M25" i="102"/>
  <c r="M24" i="101"/>
  <c r="M24" i="102"/>
  <c r="K13" i="102"/>
  <c r="L25" i="101"/>
  <c r="L25" i="102"/>
  <c r="L24" i="101"/>
  <c r="L24" i="102"/>
  <c r="G27" i="102"/>
  <c r="P23" i="101"/>
  <c r="O18" i="101"/>
  <c r="K21" i="101"/>
  <c r="L13" i="101"/>
  <c r="C57" i="101"/>
  <c r="G26" i="101"/>
  <c r="G27" i="101"/>
  <c r="H44" i="89"/>
  <c r="N21" i="100"/>
  <c r="O25" i="98"/>
  <c r="O25" i="100"/>
  <c r="O20" i="100"/>
  <c r="O20" i="98"/>
  <c r="O22" i="100"/>
  <c r="O22" i="98"/>
  <c r="N18" i="98"/>
  <c r="N21" i="98"/>
  <c r="L14" i="100"/>
  <c r="L15" i="100"/>
  <c r="O24" i="100"/>
  <c r="O24" i="98"/>
  <c r="F44" i="90"/>
  <c r="F40" i="90"/>
  <c r="F41" i="90"/>
  <c r="F42" i="90"/>
  <c r="F43" i="90"/>
  <c r="N14" i="100"/>
  <c r="N15" i="100"/>
  <c r="O23" i="98"/>
  <c r="O23" i="100"/>
  <c r="L21" i="100"/>
  <c r="O9" i="98"/>
  <c r="O14" i="98" s="1"/>
  <c r="O19" i="100"/>
  <c r="O19" i="98"/>
  <c r="H39" i="89"/>
  <c r="H40" i="89"/>
  <c r="H41" i="89"/>
  <c r="H42" i="89"/>
  <c r="G45" i="100"/>
  <c r="M26" i="98"/>
  <c r="M27" i="98" s="1"/>
  <c r="L13" i="98"/>
  <c r="G27" i="98"/>
  <c r="C56" i="98"/>
  <c r="H45" i="98"/>
  <c r="F39" i="90"/>
  <c r="F45" i="90"/>
  <c r="H35" i="90"/>
  <c r="G36" i="90"/>
  <c r="G37" i="90" s="1"/>
  <c r="P28" i="93"/>
  <c r="R28" i="93" s="1"/>
  <c r="G26" i="97"/>
  <c r="AG26" i="97" s="1"/>
  <c r="AG17" i="97"/>
  <c r="C21" i="82"/>
  <c r="I49" i="135" l="1"/>
  <c r="I48" i="135" s="1"/>
  <c r="I49" i="110"/>
  <c r="I48" i="110" s="1"/>
  <c r="J7" i="121" s="1"/>
  <c r="J7" i="129"/>
  <c r="I7" i="129"/>
  <c r="I4" i="129" s="1"/>
  <c r="H49" i="135"/>
  <c r="H48" i="135" s="1"/>
  <c r="H49" i="110"/>
  <c r="G49" i="110"/>
  <c r="G48" i="110" s="1"/>
  <c r="H7" i="121" s="1"/>
  <c r="H7" i="129"/>
  <c r="G49" i="135"/>
  <c r="K7" i="129"/>
  <c r="AH7" i="129" s="1"/>
  <c r="B7" i="129" s="1"/>
  <c r="J49" i="135"/>
  <c r="J48" i="135" s="1"/>
  <c r="J49" i="110"/>
  <c r="J48" i="110" s="1"/>
  <c r="K7" i="121" s="1"/>
  <c r="P12" i="93"/>
  <c r="R12" i="93" s="1"/>
  <c r="P16" i="93"/>
  <c r="R16" i="93" s="1"/>
  <c r="P10" i="93"/>
  <c r="R10" i="93" s="1"/>
  <c r="P33" i="93"/>
  <c r="R33" i="93" s="1"/>
  <c r="H13" i="110"/>
  <c r="H17" i="110" s="1"/>
  <c r="H26" i="110" s="1"/>
  <c r="I45" i="107"/>
  <c r="AG13" i="135"/>
  <c r="I17" i="135"/>
  <c r="P17" i="93"/>
  <c r="R17" i="93" s="1"/>
  <c r="P19" i="93"/>
  <c r="R19" i="93" s="1"/>
  <c r="I13" i="110"/>
  <c r="I17" i="110" s="1"/>
  <c r="I26" i="110" s="1"/>
  <c r="O18" i="98"/>
  <c r="M18" i="110"/>
  <c r="I45" i="108"/>
  <c r="I29" i="108"/>
  <c r="G17" i="108"/>
  <c r="AG13" i="108"/>
  <c r="I39" i="107"/>
  <c r="I36" i="107"/>
  <c r="I32" i="107"/>
  <c r="I54" i="107" s="1"/>
  <c r="I35" i="107"/>
  <c r="I31" i="107"/>
  <c r="H26" i="108"/>
  <c r="H27" i="108"/>
  <c r="H26" i="107"/>
  <c r="H27" i="107" s="1"/>
  <c r="G15" i="110"/>
  <c r="G14" i="110"/>
  <c r="AG13" i="107"/>
  <c r="G17" i="107"/>
  <c r="H48" i="110"/>
  <c r="I7" i="121" s="1"/>
  <c r="N18" i="110"/>
  <c r="M23" i="110"/>
  <c r="L23" i="110"/>
  <c r="N23" i="110"/>
  <c r="P31" i="93"/>
  <c r="R31" i="93" s="1"/>
  <c r="P14" i="93"/>
  <c r="R14" i="93" s="1"/>
  <c r="P18" i="93"/>
  <c r="R18" i="93" s="1"/>
  <c r="P15" i="93"/>
  <c r="R15" i="93" s="1"/>
  <c r="P23" i="93"/>
  <c r="R23" i="93" s="1"/>
  <c r="P11" i="93"/>
  <c r="R11" i="93" s="1"/>
  <c r="P13" i="93"/>
  <c r="R13" i="93" s="1"/>
  <c r="P25" i="93"/>
  <c r="R25" i="93" s="1"/>
  <c r="P29" i="93"/>
  <c r="R29" i="93" s="1"/>
  <c r="P21" i="93"/>
  <c r="R21" i="93" s="1"/>
  <c r="C36" i="129"/>
  <c r="C369" i="129"/>
  <c r="D38" i="129"/>
  <c r="AG8" i="129"/>
  <c r="AF9" i="129"/>
  <c r="AF10" i="129"/>
  <c r="O23" i="110"/>
  <c r="O19" i="110"/>
  <c r="K17" i="109"/>
  <c r="K39" i="109"/>
  <c r="K26" i="109"/>
  <c r="K35" i="109"/>
  <c r="K30" i="109"/>
  <c r="K21" i="109"/>
  <c r="O20" i="110"/>
  <c r="K8" i="109"/>
  <c r="K7" i="109" s="1"/>
  <c r="J7" i="109"/>
  <c r="N15" i="110"/>
  <c r="N14" i="110"/>
  <c r="L15" i="110"/>
  <c r="L14" i="110"/>
  <c r="L21" i="101"/>
  <c r="L21" i="102"/>
  <c r="L27" i="102" s="1"/>
  <c r="L45" i="102" s="1"/>
  <c r="M21" i="102"/>
  <c r="M27" i="102" s="1"/>
  <c r="Q25" i="102"/>
  <c r="L40" i="109"/>
  <c r="M12" i="109"/>
  <c r="Q22" i="102"/>
  <c r="L27" i="109"/>
  <c r="Q20" i="102"/>
  <c r="L22" i="109"/>
  <c r="Q19" i="102"/>
  <c r="L18" i="109"/>
  <c r="L31" i="109"/>
  <c r="M9" i="109"/>
  <c r="M24" i="110"/>
  <c r="M21" i="101"/>
  <c r="M27" i="101" s="1"/>
  <c r="N25" i="110"/>
  <c r="M25" i="110"/>
  <c r="N24" i="110"/>
  <c r="K25" i="110"/>
  <c r="L25" i="110"/>
  <c r="K15" i="110"/>
  <c r="K14" i="110"/>
  <c r="K24" i="110"/>
  <c r="L24" i="110"/>
  <c r="AG48" i="105"/>
  <c r="AG27" i="104"/>
  <c r="H45" i="103"/>
  <c r="AG45" i="103" s="1"/>
  <c r="H45" i="104"/>
  <c r="C348" i="121"/>
  <c r="AH54" i="121"/>
  <c r="D55" i="121"/>
  <c r="D17" i="121"/>
  <c r="AH164" i="121"/>
  <c r="D165" i="121"/>
  <c r="K9" i="121"/>
  <c r="L8" i="121"/>
  <c r="K10" i="121"/>
  <c r="D238" i="121"/>
  <c r="AH238" i="121" s="1"/>
  <c r="AH237" i="121"/>
  <c r="C16" i="121"/>
  <c r="D93" i="121"/>
  <c r="AH92" i="121"/>
  <c r="AH129" i="121"/>
  <c r="D130" i="121"/>
  <c r="K40" i="120"/>
  <c r="L9" i="120"/>
  <c r="L10" i="120"/>
  <c r="M8" i="120"/>
  <c r="AH56" i="120"/>
  <c r="D57" i="120"/>
  <c r="C16" i="120"/>
  <c r="D16" i="120"/>
  <c r="AH15" i="120"/>
  <c r="AH237" i="120"/>
  <c r="D238" i="120"/>
  <c r="AH238" i="120" s="1"/>
  <c r="D92" i="120"/>
  <c r="AH91" i="120"/>
  <c r="D202" i="120"/>
  <c r="AH201" i="120"/>
  <c r="D166" i="120"/>
  <c r="AH165" i="120"/>
  <c r="C348" i="120"/>
  <c r="AH127" i="120"/>
  <c r="D128" i="120"/>
  <c r="D92" i="119"/>
  <c r="AH91" i="119"/>
  <c r="C16" i="119"/>
  <c r="AH164" i="119"/>
  <c r="D165" i="119"/>
  <c r="AH53" i="119"/>
  <c r="D54" i="119"/>
  <c r="D128" i="119"/>
  <c r="AH127" i="119"/>
  <c r="D21" i="119"/>
  <c r="C349" i="119"/>
  <c r="D204" i="119"/>
  <c r="AH203" i="119"/>
  <c r="K8" i="119"/>
  <c r="J9" i="119"/>
  <c r="J40" i="119" s="1"/>
  <c r="J10" i="119"/>
  <c r="I40" i="119"/>
  <c r="E17" i="119"/>
  <c r="AH16" i="119"/>
  <c r="M27" i="100"/>
  <c r="M45" i="100" s="1"/>
  <c r="L10" i="118"/>
  <c r="L9" i="118"/>
  <c r="M8" i="118"/>
  <c r="D166" i="118"/>
  <c r="AH165" i="118"/>
  <c r="D238" i="118"/>
  <c r="AH238" i="118" s="1"/>
  <c r="AH237" i="118"/>
  <c r="D204" i="118"/>
  <c r="AH203" i="118"/>
  <c r="C349" i="118"/>
  <c r="D54" i="118"/>
  <c r="AH53" i="118"/>
  <c r="C17" i="118"/>
  <c r="AH90" i="118"/>
  <c r="D91" i="118"/>
  <c r="AH18" i="118"/>
  <c r="D19" i="118"/>
  <c r="K40" i="118"/>
  <c r="D128" i="118"/>
  <c r="AH127" i="118"/>
  <c r="AB46" i="109"/>
  <c r="AB42" i="109"/>
  <c r="AC30" i="108"/>
  <c r="AC33" i="108" s="1"/>
  <c r="AC53" i="108"/>
  <c r="AC52" i="108" s="1"/>
  <c r="AC47" i="108" s="1"/>
  <c r="AC55" i="108" s="1"/>
  <c r="N37" i="108"/>
  <c r="N30" i="108"/>
  <c r="N33" i="108" s="1"/>
  <c r="Z37" i="108"/>
  <c r="V37" i="108"/>
  <c r="L37" i="108"/>
  <c r="F52" i="108"/>
  <c r="L53" i="108"/>
  <c r="L52" i="108" s="1"/>
  <c r="L47" i="108" s="1"/>
  <c r="L55" i="108" s="1"/>
  <c r="L30" i="108"/>
  <c r="L33" i="108" s="1"/>
  <c r="Z53" i="108"/>
  <c r="Z52" i="108" s="1"/>
  <c r="Z47" i="108" s="1"/>
  <c r="Z55" i="108" s="1"/>
  <c r="Z30" i="108"/>
  <c r="Z33" i="108" s="1"/>
  <c r="Q37" i="108"/>
  <c r="C37" i="108"/>
  <c r="T37" i="108"/>
  <c r="AB35" i="108"/>
  <c r="AB32" i="108"/>
  <c r="AB54" i="108" s="1"/>
  <c r="AB39" i="108"/>
  <c r="AB36" i="108"/>
  <c r="AB31" i="108"/>
  <c r="V53" i="108"/>
  <c r="V52" i="108" s="1"/>
  <c r="V47" i="108" s="1"/>
  <c r="V55" i="108" s="1"/>
  <c r="V30" i="108"/>
  <c r="V33" i="108" s="1"/>
  <c r="T53" i="108"/>
  <c r="T52" i="108" s="1"/>
  <c r="T47" i="108" s="1"/>
  <c r="T55" i="108" s="1"/>
  <c r="T30" i="108"/>
  <c r="T33" i="108" s="1"/>
  <c r="AE37" i="108"/>
  <c r="D55" i="108"/>
  <c r="AE30" i="108"/>
  <c r="AE33" i="108" s="1"/>
  <c r="AE53" i="108"/>
  <c r="AE52" i="108" s="1"/>
  <c r="AE47" i="108" s="1"/>
  <c r="AE55" i="108" s="1"/>
  <c r="Q30" i="108"/>
  <c r="Q33" i="108" s="1"/>
  <c r="Q53" i="108"/>
  <c r="Q52" i="108" s="1"/>
  <c r="Q47" i="108" s="1"/>
  <c r="Q55" i="108" s="1"/>
  <c r="P35" i="108"/>
  <c r="P32" i="108"/>
  <c r="P54" i="108" s="1"/>
  <c r="P39" i="108"/>
  <c r="P36" i="108"/>
  <c r="P31" i="108"/>
  <c r="N53" i="107"/>
  <c r="N52" i="107" s="1"/>
  <c r="N47" i="107" s="1"/>
  <c r="N55" i="107" s="1"/>
  <c r="N30" i="107"/>
  <c r="N33" i="107" s="1"/>
  <c r="AA37" i="107"/>
  <c r="D55" i="107"/>
  <c r="J37" i="107"/>
  <c r="J53" i="107"/>
  <c r="J52" i="107" s="1"/>
  <c r="J47" i="107" s="1"/>
  <c r="J55" i="107" s="1"/>
  <c r="J30" i="107"/>
  <c r="J33" i="107" s="1"/>
  <c r="AA30" i="107"/>
  <c r="AA33" i="107" s="1"/>
  <c r="AA53" i="107"/>
  <c r="AA52" i="107" s="1"/>
  <c r="AA47" i="107" s="1"/>
  <c r="AA55" i="107" s="1"/>
  <c r="AF37" i="107"/>
  <c r="M37" i="107"/>
  <c r="C37" i="107"/>
  <c r="AF53" i="107"/>
  <c r="AF52" i="107" s="1"/>
  <c r="AF47" i="107" s="1"/>
  <c r="AF55" i="107" s="1"/>
  <c r="AF30" i="107"/>
  <c r="AF33" i="107" s="1"/>
  <c r="M53" i="107"/>
  <c r="M52" i="107" s="1"/>
  <c r="M47" i="107" s="1"/>
  <c r="M55" i="107" s="1"/>
  <c r="M30" i="107"/>
  <c r="M33" i="107" s="1"/>
  <c r="G27" i="105"/>
  <c r="L45" i="104"/>
  <c r="P21" i="101"/>
  <c r="N21" i="102"/>
  <c r="N27" i="102" s="1"/>
  <c r="N21" i="101"/>
  <c r="N27" i="101" s="1"/>
  <c r="N45" i="101" s="1"/>
  <c r="Q9" i="101"/>
  <c r="Q15" i="101" s="1"/>
  <c r="O21" i="102"/>
  <c r="O27" i="102" s="1"/>
  <c r="B61" i="89"/>
  <c r="B60" i="89"/>
  <c r="Q9" i="102"/>
  <c r="Q23" i="101"/>
  <c r="Q23" i="102"/>
  <c r="P21" i="102"/>
  <c r="P18" i="102"/>
  <c r="P18" i="101"/>
  <c r="P26" i="102"/>
  <c r="O21" i="101"/>
  <c r="O27" i="101" s="1"/>
  <c r="K17" i="102"/>
  <c r="G45" i="102"/>
  <c r="Q22" i="101"/>
  <c r="L17" i="101"/>
  <c r="Q20" i="101"/>
  <c r="Q19" i="101"/>
  <c r="Q25" i="101"/>
  <c r="K27" i="101"/>
  <c r="G45" i="101"/>
  <c r="N27" i="98"/>
  <c r="O15" i="98"/>
  <c r="O13" i="98" s="1"/>
  <c r="O17" i="98" s="1"/>
  <c r="O26" i="98" s="1"/>
  <c r="P19" i="100"/>
  <c r="P19" i="98"/>
  <c r="O21" i="100"/>
  <c r="G44" i="90"/>
  <c r="G40" i="90"/>
  <c r="G41" i="90"/>
  <c r="G42" i="90"/>
  <c r="G43" i="90"/>
  <c r="O18" i="100"/>
  <c r="P22" i="100"/>
  <c r="P22" i="98"/>
  <c r="L13" i="100"/>
  <c r="N13" i="100"/>
  <c r="N17" i="100" s="1"/>
  <c r="N26" i="100" s="1"/>
  <c r="N27" i="100" s="1"/>
  <c r="P24" i="100"/>
  <c r="P24" i="98"/>
  <c r="P23" i="98"/>
  <c r="P23" i="100"/>
  <c r="O9" i="100"/>
  <c r="P20" i="100"/>
  <c r="P20" i="98"/>
  <c r="O21" i="98"/>
  <c r="P9" i="98"/>
  <c r="P14" i="98" s="1"/>
  <c r="P9" i="100"/>
  <c r="P25" i="98"/>
  <c r="P25" i="100"/>
  <c r="I39" i="89"/>
  <c r="I40" i="89"/>
  <c r="I41" i="89"/>
  <c r="I42" i="89"/>
  <c r="I44" i="89"/>
  <c r="I43" i="89"/>
  <c r="M45" i="98"/>
  <c r="L17" i="98"/>
  <c r="G45" i="98"/>
  <c r="G45" i="90"/>
  <c r="G39" i="90"/>
  <c r="B52" i="90"/>
  <c r="H36" i="90"/>
  <c r="H37" i="90" s="1"/>
  <c r="I16" i="129" l="1"/>
  <c r="I17" i="129" s="1"/>
  <c r="I18" i="129" s="1"/>
  <c r="I19" i="129" s="1"/>
  <c r="I20" i="129" s="1"/>
  <c r="I21" i="129" s="1"/>
  <c r="I22" i="129" s="1"/>
  <c r="I23" i="129" s="1"/>
  <c r="I24" i="129" s="1"/>
  <c r="I25" i="129" s="1"/>
  <c r="I26" i="129" s="1"/>
  <c r="I27" i="129" s="1"/>
  <c r="I28" i="129" s="1"/>
  <c r="I29" i="129" s="1"/>
  <c r="I30" i="129" s="1"/>
  <c r="I31" i="129" s="1"/>
  <c r="I32" i="129" s="1"/>
  <c r="I33" i="129" s="1"/>
  <c r="I34" i="129" s="1"/>
  <c r="I35" i="129" s="1"/>
  <c r="I36" i="129" s="1"/>
  <c r="I37" i="129" s="1"/>
  <c r="I38" i="129" s="1"/>
  <c r="I39" i="129" s="1"/>
  <c r="J17" i="129"/>
  <c r="J18" i="129" s="1"/>
  <c r="J19" i="129" s="1"/>
  <c r="J20" i="129" s="1"/>
  <c r="J21" i="129" s="1"/>
  <c r="J22" i="129" s="1"/>
  <c r="J23" i="129" s="1"/>
  <c r="J24" i="129" s="1"/>
  <c r="J25" i="129" s="1"/>
  <c r="J26" i="129" s="1"/>
  <c r="J27" i="129" s="1"/>
  <c r="J28" i="129" s="1"/>
  <c r="J29" i="129" s="1"/>
  <c r="J30" i="129" s="1"/>
  <c r="J31" i="129" s="1"/>
  <c r="J32" i="129" s="1"/>
  <c r="J33" i="129" s="1"/>
  <c r="J34" i="129" s="1"/>
  <c r="J35" i="129" s="1"/>
  <c r="J36" i="129" s="1"/>
  <c r="J37" i="129" s="1"/>
  <c r="J38" i="129" s="1"/>
  <c r="J39" i="129" s="1"/>
  <c r="J4" i="129"/>
  <c r="H4" i="129"/>
  <c r="H15" i="129"/>
  <c r="K4" i="129"/>
  <c r="K18" i="129"/>
  <c r="K19" i="129" s="1"/>
  <c r="K20" i="129" s="1"/>
  <c r="K21" i="129" s="1"/>
  <c r="K22" i="129" s="1"/>
  <c r="K23" i="129" s="1"/>
  <c r="K24" i="129" s="1"/>
  <c r="K25" i="129" s="1"/>
  <c r="K26" i="129" s="1"/>
  <c r="K27" i="129" s="1"/>
  <c r="K28" i="129" s="1"/>
  <c r="K29" i="129" s="1"/>
  <c r="K30" i="129" s="1"/>
  <c r="K31" i="129" s="1"/>
  <c r="K32" i="129" s="1"/>
  <c r="K33" i="129" s="1"/>
  <c r="K34" i="129" s="1"/>
  <c r="K35" i="129" s="1"/>
  <c r="K36" i="129" s="1"/>
  <c r="K37" i="129" s="1"/>
  <c r="K38" i="129" s="1"/>
  <c r="K39" i="129" s="1"/>
  <c r="B25" i="109" a="1"/>
  <c r="B25" i="109" s="1"/>
  <c r="J40" i="129"/>
  <c r="G48" i="135"/>
  <c r="AG48" i="135" s="1"/>
  <c r="AG49" i="135"/>
  <c r="I37" i="107"/>
  <c r="I26" i="135"/>
  <c r="AG26" i="135" s="1"/>
  <c r="AG17" i="135"/>
  <c r="G13" i="110"/>
  <c r="G17" i="110" s="1"/>
  <c r="G26" i="110" s="1"/>
  <c r="AG48" i="110"/>
  <c r="AG49" i="110"/>
  <c r="O24" i="110"/>
  <c r="H29" i="107"/>
  <c r="H45" i="107"/>
  <c r="H45" i="108"/>
  <c r="H29" i="108"/>
  <c r="G26" i="107"/>
  <c r="AG26" i="107" s="1"/>
  <c r="AG17" i="107"/>
  <c r="AG17" i="108"/>
  <c r="G26" i="108"/>
  <c r="AG26" i="108" s="1"/>
  <c r="I30" i="107"/>
  <c r="I33" i="107" s="1"/>
  <c r="I53" i="107"/>
  <c r="I52" i="107" s="1"/>
  <c r="I47" i="107" s="1"/>
  <c r="I55" i="107" s="1"/>
  <c r="I39" i="108"/>
  <c r="I35" i="108"/>
  <c r="I36" i="108"/>
  <c r="I31" i="108"/>
  <c r="I32" i="108"/>
  <c r="I54" i="108" s="1"/>
  <c r="J17" i="121"/>
  <c r="J4" i="121"/>
  <c r="I16" i="121"/>
  <c r="I4" i="121"/>
  <c r="K18" i="121"/>
  <c r="K19" i="121" s="1"/>
  <c r="K20" i="121" s="1"/>
  <c r="K21" i="121" s="1"/>
  <c r="K22" i="121" s="1"/>
  <c r="K23" i="121" s="1"/>
  <c r="K24" i="121" s="1"/>
  <c r="K25" i="121" s="1"/>
  <c r="K26" i="121" s="1"/>
  <c r="K27" i="121" s="1"/>
  <c r="K28" i="121" s="1"/>
  <c r="K29" i="121" s="1"/>
  <c r="K30" i="121" s="1"/>
  <c r="K31" i="121" s="1"/>
  <c r="K32" i="121" s="1"/>
  <c r="K33" i="121" s="1"/>
  <c r="K34" i="121" s="1"/>
  <c r="K35" i="121" s="1"/>
  <c r="K36" i="121" s="1"/>
  <c r="K37" i="121" s="1"/>
  <c r="K38" i="121" s="1"/>
  <c r="K39" i="121" s="1"/>
  <c r="K4" i="121"/>
  <c r="H15" i="121"/>
  <c r="H4" i="121"/>
  <c r="AH7" i="121"/>
  <c r="B7" i="121" s="1"/>
  <c r="O25" i="110"/>
  <c r="C22" i="94" a="1"/>
  <c r="G22" i="94" s="1"/>
  <c r="G21" i="94" s="1"/>
  <c r="G27" i="94" s="1"/>
  <c r="G29" i="94" s="1"/>
  <c r="G31" i="94" s="1"/>
  <c r="G53" i="94" s="1"/>
  <c r="C22" i="97" a="1"/>
  <c r="AF40" i="129"/>
  <c r="C37" i="129"/>
  <c r="AG9" i="129"/>
  <c r="AG10" i="129"/>
  <c r="AH10" i="129" s="1"/>
  <c r="D39" i="129"/>
  <c r="C370" i="129"/>
  <c r="O18" i="110"/>
  <c r="P23" i="110"/>
  <c r="P24" i="110"/>
  <c r="P25" i="110"/>
  <c r="L39" i="109"/>
  <c r="P18" i="98"/>
  <c r="L35" i="109"/>
  <c r="L30" i="109"/>
  <c r="L26" i="109"/>
  <c r="L21" i="109"/>
  <c r="L17" i="109"/>
  <c r="O15" i="110"/>
  <c r="L8" i="109"/>
  <c r="N13" i="110"/>
  <c r="N17" i="110" s="1"/>
  <c r="N26" i="110" s="1"/>
  <c r="L13" i="110"/>
  <c r="L17" i="110" s="1"/>
  <c r="L26" i="110" s="1"/>
  <c r="Q18" i="102"/>
  <c r="M40" i="109"/>
  <c r="M18" i="109"/>
  <c r="P19" i="110"/>
  <c r="M27" i="109"/>
  <c r="N12" i="109"/>
  <c r="M31" i="109"/>
  <c r="M22" i="109"/>
  <c r="R24" i="102"/>
  <c r="M36" i="109"/>
  <c r="N9" i="109"/>
  <c r="M45" i="101"/>
  <c r="K13" i="110"/>
  <c r="AH165" i="121"/>
  <c r="D166" i="121"/>
  <c r="D94" i="121"/>
  <c r="AH93" i="121"/>
  <c r="M8" i="121"/>
  <c r="L9" i="121"/>
  <c r="L10" i="121"/>
  <c r="D18" i="121"/>
  <c r="AH55" i="121"/>
  <c r="D56" i="121"/>
  <c r="D131" i="121"/>
  <c r="AH130" i="121"/>
  <c r="C17" i="121"/>
  <c r="C349" i="121"/>
  <c r="D58" i="120"/>
  <c r="AH57" i="120"/>
  <c r="C17" i="120"/>
  <c r="AH166" i="120"/>
  <c r="D167" i="120"/>
  <c r="D203" i="120"/>
  <c r="AH202" i="120"/>
  <c r="C349" i="120"/>
  <c r="M9" i="120"/>
  <c r="M10" i="120"/>
  <c r="N8" i="120"/>
  <c r="AH92" i="120"/>
  <c r="D93" i="120"/>
  <c r="L40" i="120"/>
  <c r="AH128" i="120"/>
  <c r="D129" i="120"/>
  <c r="D17" i="120"/>
  <c r="AH16" i="120"/>
  <c r="L8" i="119"/>
  <c r="K9" i="119"/>
  <c r="K10" i="119"/>
  <c r="AH204" i="119"/>
  <c r="D205" i="119"/>
  <c r="AH205" i="119" s="1"/>
  <c r="E18" i="119"/>
  <c r="AH17" i="119"/>
  <c r="D129" i="119"/>
  <c r="AH128" i="119"/>
  <c r="D55" i="119"/>
  <c r="AH54" i="119"/>
  <c r="C350" i="119"/>
  <c r="C17" i="119"/>
  <c r="D22" i="119"/>
  <c r="AH165" i="119"/>
  <c r="D166" i="119"/>
  <c r="AH92" i="119"/>
  <c r="D93" i="119"/>
  <c r="D167" i="118"/>
  <c r="AH166" i="118"/>
  <c r="D129" i="118"/>
  <c r="AH128" i="118"/>
  <c r="D92" i="118"/>
  <c r="AH91" i="118"/>
  <c r="C350" i="118"/>
  <c r="D205" i="118"/>
  <c r="AH205" i="118" s="1"/>
  <c r="AH204" i="118"/>
  <c r="M9" i="118"/>
  <c r="N8" i="118"/>
  <c r="M10" i="118"/>
  <c r="C18" i="118"/>
  <c r="L40" i="118"/>
  <c r="D20" i="118"/>
  <c r="AH19" i="118"/>
  <c r="D55" i="118"/>
  <c r="AH54" i="118"/>
  <c r="P37" i="108"/>
  <c r="P30" i="108"/>
  <c r="P33" i="108" s="1"/>
  <c r="P53" i="108"/>
  <c r="P52" i="108" s="1"/>
  <c r="P47" i="108" s="1"/>
  <c r="P55" i="108" s="1"/>
  <c r="AB37" i="108"/>
  <c r="AB30" i="108"/>
  <c r="AB33" i="108" s="1"/>
  <c r="AB53" i="108"/>
  <c r="AB52" i="108" s="1"/>
  <c r="AB47" i="108" s="1"/>
  <c r="AB55" i="108" s="1"/>
  <c r="F47" i="108"/>
  <c r="G45" i="105"/>
  <c r="AG27" i="105"/>
  <c r="AG45" i="104"/>
  <c r="N45" i="102"/>
  <c r="O45" i="102"/>
  <c r="M45" i="102"/>
  <c r="P27" i="101"/>
  <c r="P45" i="101" s="1"/>
  <c r="Q14" i="101"/>
  <c r="Q13" i="101" s="1"/>
  <c r="Q17" i="101" s="1"/>
  <c r="Q26" i="101" s="1"/>
  <c r="P27" i="102"/>
  <c r="R9" i="101"/>
  <c r="C60" i="89"/>
  <c r="C61" i="89"/>
  <c r="Q15" i="102"/>
  <c r="Q14" i="102"/>
  <c r="R9" i="102"/>
  <c r="O45" i="101"/>
  <c r="R25" i="101"/>
  <c r="R25" i="102"/>
  <c r="R23" i="101"/>
  <c r="R23" i="102"/>
  <c r="R22" i="101"/>
  <c r="R22" i="102"/>
  <c r="Q21" i="102"/>
  <c r="R20" i="101"/>
  <c r="R20" i="102"/>
  <c r="R19" i="101"/>
  <c r="R19" i="102"/>
  <c r="K26" i="102"/>
  <c r="K27" i="102" s="1"/>
  <c r="R24" i="101"/>
  <c r="Q18" i="101"/>
  <c r="K45" i="101"/>
  <c r="L26" i="101"/>
  <c r="Q21" i="101"/>
  <c r="N45" i="98"/>
  <c r="P21" i="98"/>
  <c r="P21" i="100"/>
  <c r="O27" i="98"/>
  <c r="O45" i="98" s="1"/>
  <c r="P15" i="98"/>
  <c r="P13" i="98" s="1"/>
  <c r="Q22" i="100"/>
  <c r="Q22" i="98"/>
  <c r="Q19" i="98"/>
  <c r="Q18" i="98" s="1"/>
  <c r="Q19" i="100"/>
  <c r="Q9" i="98"/>
  <c r="Q15" i="98" s="1"/>
  <c r="P15" i="100"/>
  <c r="P14" i="100"/>
  <c r="P18" i="100"/>
  <c r="Q23" i="98"/>
  <c r="Q23" i="100"/>
  <c r="N45" i="100"/>
  <c r="Q20" i="100"/>
  <c r="Q20" i="98"/>
  <c r="O14" i="100"/>
  <c r="O15" i="100"/>
  <c r="Q24" i="100"/>
  <c r="Q24" i="98"/>
  <c r="H40" i="90"/>
  <c r="H44" i="90"/>
  <c r="H41" i="90"/>
  <c r="H42" i="90"/>
  <c r="H43" i="90"/>
  <c r="L17" i="100"/>
  <c r="Q25" i="100"/>
  <c r="Q25" i="98"/>
  <c r="B54" i="89"/>
  <c r="B55" i="89"/>
  <c r="B56" i="89"/>
  <c r="B57" i="89"/>
  <c r="B58" i="89"/>
  <c r="B59" i="89"/>
  <c r="L26" i="98"/>
  <c r="H45" i="90"/>
  <c r="H39" i="90"/>
  <c r="C52" i="90"/>
  <c r="B53" i="90"/>
  <c r="B54" i="90" s="1"/>
  <c r="U36" i="47"/>
  <c r="H16" i="129" l="1"/>
  <c r="AH15" i="129"/>
  <c r="K40" i="129"/>
  <c r="E25" i="109"/>
  <c r="U25" i="109"/>
  <c r="N25" i="109"/>
  <c r="J25" i="109"/>
  <c r="S25" i="109"/>
  <c r="H25" i="109"/>
  <c r="I25" i="109"/>
  <c r="I24" i="109" s="1"/>
  <c r="N22" i="135" s="1"/>
  <c r="N21" i="135" s="1"/>
  <c r="N27" i="135" s="1"/>
  <c r="N45" i="135" s="1"/>
  <c r="D25" i="109"/>
  <c r="D24" i="109" s="1"/>
  <c r="I22" i="135" s="1"/>
  <c r="I21" i="135" s="1"/>
  <c r="I27" i="135" s="1"/>
  <c r="I45" i="135" s="1"/>
  <c r="X25" i="109"/>
  <c r="X24" i="109" s="1"/>
  <c r="AC22" i="135" s="1"/>
  <c r="AC21" i="135" s="1"/>
  <c r="AC27" i="135" s="1"/>
  <c r="AC45" i="135" s="1"/>
  <c r="Y25" i="109"/>
  <c r="Y24" i="109" s="1"/>
  <c r="AD22" i="135" s="1"/>
  <c r="AD21" i="135" s="1"/>
  <c r="AD27" i="135" s="1"/>
  <c r="AD45" i="135" s="1"/>
  <c r="G25" i="109"/>
  <c r="G24" i="109" s="1"/>
  <c r="L22" i="135" s="1"/>
  <c r="L21" i="135" s="1"/>
  <c r="L27" i="135" s="1"/>
  <c r="L45" i="135" s="1"/>
  <c r="Q25" i="109"/>
  <c r="Q24" i="109" s="1"/>
  <c r="V22" i="135" s="1"/>
  <c r="V21" i="135" s="1"/>
  <c r="V27" i="135" s="1"/>
  <c r="V45" i="135" s="1"/>
  <c r="T25" i="109"/>
  <c r="Z25" i="109"/>
  <c r="Z24" i="109" s="1"/>
  <c r="AE22" i="135" s="1"/>
  <c r="AE21" i="135" s="1"/>
  <c r="AE27" i="135" s="1"/>
  <c r="AE45" i="135" s="1"/>
  <c r="C25" i="109"/>
  <c r="C24" i="109" s="1"/>
  <c r="H22" i="135" s="1"/>
  <c r="H21" i="135" s="1"/>
  <c r="H27" i="135" s="1"/>
  <c r="H45" i="135" s="1"/>
  <c r="R25" i="109"/>
  <c r="O25" i="109"/>
  <c r="W25" i="109"/>
  <c r="W24" i="109" s="1"/>
  <c r="AB22" i="135" s="1"/>
  <c r="AB21" i="135" s="1"/>
  <c r="AB27" i="135" s="1"/>
  <c r="AB45" i="135" s="1"/>
  <c r="F25" i="109"/>
  <c r="F24" i="109" s="1"/>
  <c r="K22" i="135" s="1"/>
  <c r="K21" i="135" s="1"/>
  <c r="K27" i="135" s="1"/>
  <c r="K45" i="135" s="1"/>
  <c r="L25" i="109"/>
  <c r="L24" i="109" s="1"/>
  <c r="Q22" i="135" s="1"/>
  <c r="Q21" i="135" s="1"/>
  <c r="Q27" i="135" s="1"/>
  <c r="Q45" i="135" s="1"/>
  <c r="V25" i="109"/>
  <c r="V24" i="109" s="1"/>
  <c r="AA22" i="135" s="1"/>
  <c r="AA21" i="135" s="1"/>
  <c r="AA27" i="135" s="1"/>
  <c r="AA45" i="135" s="1"/>
  <c r="K25" i="109"/>
  <c r="M25" i="109"/>
  <c r="M24" i="109" s="1"/>
  <c r="R22" i="135" s="1"/>
  <c r="R21" i="135" s="1"/>
  <c r="R27" i="135" s="1"/>
  <c r="R45" i="135" s="1"/>
  <c r="P25" i="109"/>
  <c r="P24" i="109" s="1"/>
  <c r="U22" i="135" s="1"/>
  <c r="U21" i="135" s="1"/>
  <c r="U27" i="135" s="1"/>
  <c r="U45" i="135" s="1"/>
  <c r="AA25" i="109"/>
  <c r="AA24" i="109" s="1"/>
  <c r="AF22" i="135" s="1"/>
  <c r="AF21" i="135" s="1"/>
  <c r="I40" i="129"/>
  <c r="G27" i="107"/>
  <c r="AG27" i="107" s="1"/>
  <c r="G27" i="108"/>
  <c r="G45" i="107"/>
  <c r="AG45" i="107" s="1"/>
  <c r="G29" i="107"/>
  <c r="I53" i="108"/>
  <c r="I52" i="108" s="1"/>
  <c r="I47" i="108" s="1"/>
  <c r="I55" i="108" s="1"/>
  <c r="I30" i="108"/>
  <c r="I33" i="108" s="1"/>
  <c r="H35" i="108"/>
  <c r="H39" i="108"/>
  <c r="H36" i="108"/>
  <c r="H31" i="108"/>
  <c r="H32" i="108"/>
  <c r="H54" i="108" s="1"/>
  <c r="I37" i="108"/>
  <c r="H39" i="107"/>
  <c r="H36" i="107"/>
  <c r="H35" i="107"/>
  <c r="H37" i="107" s="1"/>
  <c r="H31" i="107"/>
  <c r="H32" i="107"/>
  <c r="H54" i="107" s="1"/>
  <c r="H16" i="121"/>
  <c r="AH15" i="121"/>
  <c r="I17" i="121"/>
  <c r="I18" i="121" s="1"/>
  <c r="I19" i="121" s="1"/>
  <c r="I20" i="121" s="1"/>
  <c r="I21" i="121" s="1"/>
  <c r="I22" i="121" s="1"/>
  <c r="I23" i="121" s="1"/>
  <c r="I24" i="121" s="1"/>
  <c r="I25" i="121" s="1"/>
  <c r="I26" i="121" s="1"/>
  <c r="I27" i="121" s="1"/>
  <c r="I28" i="121" s="1"/>
  <c r="I29" i="121" s="1"/>
  <c r="I30" i="121" s="1"/>
  <c r="I31" i="121" s="1"/>
  <c r="I32" i="121" s="1"/>
  <c r="I33" i="121" s="1"/>
  <c r="I34" i="121" s="1"/>
  <c r="I35" i="121" s="1"/>
  <c r="I36" i="121" s="1"/>
  <c r="I37" i="121" s="1"/>
  <c r="I38" i="121" s="1"/>
  <c r="I39" i="121" s="1"/>
  <c r="K40" i="121"/>
  <c r="J18" i="121"/>
  <c r="J19" i="121" s="1"/>
  <c r="J20" i="121" s="1"/>
  <c r="J21" i="121" s="1"/>
  <c r="J22" i="121" s="1"/>
  <c r="J23" i="121" s="1"/>
  <c r="J24" i="121" s="1"/>
  <c r="J25" i="121" s="1"/>
  <c r="J26" i="121" s="1"/>
  <c r="J27" i="121" s="1"/>
  <c r="J28" i="121" s="1"/>
  <c r="J29" i="121" s="1"/>
  <c r="J30" i="121" s="1"/>
  <c r="J31" i="121" s="1"/>
  <c r="J32" i="121" s="1"/>
  <c r="J33" i="121" s="1"/>
  <c r="J34" i="121" s="1"/>
  <c r="J35" i="121" s="1"/>
  <c r="J36" i="121" s="1"/>
  <c r="J37" i="121" s="1"/>
  <c r="J38" i="121" s="1"/>
  <c r="J39" i="121" s="1"/>
  <c r="O14" i="110"/>
  <c r="O13" i="110" s="1"/>
  <c r="O17" i="110" s="1"/>
  <c r="O26" i="110" s="1"/>
  <c r="R24" i="109"/>
  <c r="W22" i="135" s="1"/>
  <c r="W21" i="135" s="1"/>
  <c r="W27" i="135" s="1"/>
  <c r="W45" i="135" s="1"/>
  <c r="Q22" i="94"/>
  <c r="Q21" i="94" s="1"/>
  <c r="U24" i="109"/>
  <c r="Z22" i="135" s="1"/>
  <c r="Z21" i="135" s="1"/>
  <c r="Z27" i="135" s="1"/>
  <c r="Z45" i="135" s="1"/>
  <c r="AF22" i="94"/>
  <c r="AF21" i="94" s="1"/>
  <c r="E22" i="94"/>
  <c r="E21" i="94" s="1"/>
  <c r="E27" i="94" s="1"/>
  <c r="E29" i="94" s="1"/>
  <c r="E31" i="94" s="1"/>
  <c r="G45" i="94"/>
  <c r="T24" i="109"/>
  <c r="Y22" i="135" s="1"/>
  <c r="Y21" i="135" s="1"/>
  <c r="Y27" i="135" s="1"/>
  <c r="Y45" i="135" s="1"/>
  <c r="T22" i="94"/>
  <c r="T21" i="94" s="1"/>
  <c r="O24" i="109"/>
  <c r="T22" i="135" s="1"/>
  <c r="T21" i="135" s="1"/>
  <c r="T27" i="135" s="1"/>
  <c r="T45" i="135" s="1"/>
  <c r="U22" i="94"/>
  <c r="U21" i="94" s="1"/>
  <c r="AE22" i="94"/>
  <c r="AE21" i="94" s="1"/>
  <c r="W22" i="94"/>
  <c r="W21" i="94" s="1"/>
  <c r="S22" i="94"/>
  <c r="S21" i="94" s="1"/>
  <c r="AD22" i="94"/>
  <c r="AD21" i="94" s="1"/>
  <c r="AC22" i="94"/>
  <c r="AC21" i="94" s="1"/>
  <c r="Z22" i="94"/>
  <c r="Z21" i="94" s="1"/>
  <c r="D22" i="94"/>
  <c r="D21" i="94" s="1"/>
  <c r="D27" i="94" s="1"/>
  <c r="D45" i="94" s="1"/>
  <c r="L22" i="94"/>
  <c r="L21" i="94" s="1"/>
  <c r="Y22" i="94"/>
  <c r="Y21" i="94" s="1"/>
  <c r="I22" i="94"/>
  <c r="I21" i="94" s="1"/>
  <c r="I27" i="94" s="1"/>
  <c r="I29" i="94" s="1"/>
  <c r="I36" i="94" s="1"/>
  <c r="X22" i="94"/>
  <c r="X21" i="94" s="1"/>
  <c r="M22" i="94"/>
  <c r="M21" i="94" s="1"/>
  <c r="AA22" i="94"/>
  <c r="AA21" i="94" s="1"/>
  <c r="AB22" i="94"/>
  <c r="AB21" i="94" s="1"/>
  <c r="N22" i="94"/>
  <c r="N21" i="94" s="1"/>
  <c r="E24" i="109"/>
  <c r="J22" i="135" s="1"/>
  <c r="J21" i="135" s="1"/>
  <c r="J27" i="135" s="1"/>
  <c r="J45" i="135" s="1"/>
  <c r="B24" i="109"/>
  <c r="G22" i="135" s="1"/>
  <c r="J22" i="94"/>
  <c r="J21" i="94" s="1"/>
  <c r="J27" i="94" s="1"/>
  <c r="C22" i="94"/>
  <c r="C21" i="94" s="1"/>
  <c r="O22" i="94"/>
  <c r="O21" i="94" s="1"/>
  <c r="S24" i="109"/>
  <c r="X22" i="135" s="1"/>
  <c r="X21" i="135" s="1"/>
  <c r="X27" i="135" s="1"/>
  <c r="X45" i="135" s="1"/>
  <c r="F22" i="94"/>
  <c r="F21" i="94" s="1"/>
  <c r="F27" i="94" s="1"/>
  <c r="F45" i="94" s="1"/>
  <c r="K22" i="94"/>
  <c r="K21" i="94" s="1"/>
  <c r="H22" i="94"/>
  <c r="H21" i="94" s="1"/>
  <c r="H27" i="94" s="1"/>
  <c r="H45" i="94" s="1"/>
  <c r="V22" i="94"/>
  <c r="V21" i="94" s="1"/>
  <c r="P22" i="94"/>
  <c r="P21" i="94" s="1"/>
  <c r="R22" i="94"/>
  <c r="R21" i="94" s="1"/>
  <c r="N24" i="109"/>
  <c r="S22" i="135" s="1"/>
  <c r="S21" i="135" s="1"/>
  <c r="S27" i="135" s="1"/>
  <c r="S45" i="135" s="1"/>
  <c r="H22" i="97"/>
  <c r="H21" i="97" s="1"/>
  <c r="H27" i="97" s="1"/>
  <c r="AB22" i="97"/>
  <c r="AB21" i="97" s="1"/>
  <c r="AB27" i="97" s="1"/>
  <c r="V22" i="97"/>
  <c r="V21" i="97" s="1"/>
  <c r="V27" i="97" s="1"/>
  <c r="J22" i="97"/>
  <c r="J21" i="97" s="1"/>
  <c r="J27" i="97" s="1"/>
  <c r="I22" i="97"/>
  <c r="I21" i="97" s="1"/>
  <c r="I27" i="97" s="1"/>
  <c r="N22" i="97"/>
  <c r="N21" i="97" s="1"/>
  <c r="N27" i="97" s="1"/>
  <c r="Y22" i="97"/>
  <c r="Y21" i="97" s="1"/>
  <c r="Y27" i="97" s="1"/>
  <c r="T22" i="97"/>
  <c r="T21" i="97" s="1"/>
  <c r="T27" i="97" s="1"/>
  <c r="AC22" i="97"/>
  <c r="AC21" i="97" s="1"/>
  <c r="AC27" i="97" s="1"/>
  <c r="L22" i="97"/>
  <c r="L21" i="97" s="1"/>
  <c r="L27" i="97" s="1"/>
  <c r="E22" i="97"/>
  <c r="E21" i="97" s="1"/>
  <c r="E27" i="97" s="1"/>
  <c r="M22" i="97"/>
  <c r="M21" i="97" s="1"/>
  <c r="M27" i="97" s="1"/>
  <c r="F22" i="97"/>
  <c r="F21" i="97" s="1"/>
  <c r="F27" i="97" s="1"/>
  <c r="P22" i="97"/>
  <c r="P21" i="97" s="1"/>
  <c r="P27" i="97" s="1"/>
  <c r="G22" i="97"/>
  <c r="G21" i="97" s="1"/>
  <c r="G27" i="97" s="1"/>
  <c r="S22" i="97"/>
  <c r="S21" i="97" s="1"/>
  <c r="S27" i="97" s="1"/>
  <c r="Q22" i="97"/>
  <c r="Q21" i="97" s="1"/>
  <c r="Q27" i="97" s="1"/>
  <c r="K22" i="97"/>
  <c r="K21" i="97" s="1"/>
  <c r="K27" i="97" s="1"/>
  <c r="C22" i="97"/>
  <c r="X22" i="97"/>
  <c r="X21" i="97" s="1"/>
  <c r="X27" i="97" s="1"/>
  <c r="AF22" i="97"/>
  <c r="AF21" i="97" s="1"/>
  <c r="AF27" i="97" s="1"/>
  <c r="AE22" i="97"/>
  <c r="AE21" i="97" s="1"/>
  <c r="AE27" i="97" s="1"/>
  <c r="D22" i="97"/>
  <c r="D21" i="97" s="1"/>
  <c r="D27" i="97" s="1"/>
  <c r="W22" i="97"/>
  <c r="W21" i="97" s="1"/>
  <c r="W27" i="97" s="1"/>
  <c r="AA22" i="97"/>
  <c r="AA21" i="97" s="1"/>
  <c r="AA27" i="97" s="1"/>
  <c r="AD22" i="97"/>
  <c r="AD21" i="97" s="1"/>
  <c r="AD27" i="97" s="1"/>
  <c r="U22" i="97"/>
  <c r="U21" i="97" s="1"/>
  <c r="U27" i="97" s="1"/>
  <c r="O22" i="97"/>
  <c r="O21" i="97" s="1"/>
  <c r="O27" i="97" s="1"/>
  <c r="Z22" i="97"/>
  <c r="Z21" i="97" s="1"/>
  <c r="Z27" i="97" s="1"/>
  <c r="R22" i="97"/>
  <c r="R21" i="97" s="1"/>
  <c r="R27" i="97" s="1"/>
  <c r="D40" i="129"/>
  <c r="C38" i="129"/>
  <c r="C371" i="129"/>
  <c r="AG40" i="129"/>
  <c r="AH9" i="129"/>
  <c r="Q25" i="110"/>
  <c r="Q23" i="110"/>
  <c r="M17" i="109"/>
  <c r="M21" i="109"/>
  <c r="M35" i="109"/>
  <c r="M39" i="109"/>
  <c r="Q19" i="110"/>
  <c r="P20" i="110"/>
  <c r="P18" i="110" s="1"/>
  <c r="M30" i="109"/>
  <c r="M26" i="109"/>
  <c r="M8" i="109"/>
  <c r="M7" i="109" s="1"/>
  <c r="P14" i="110"/>
  <c r="P15" i="110"/>
  <c r="L7" i="109"/>
  <c r="N36" i="109"/>
  <c r="N31" i="109"/>
  <c r="N27" i="109"/>
  <c r="N18" i="109"/>
  <c r="S20" i="102"/>
  <c r="N22" i="109"/>
  <c r="Q20" i="110"/>
  <c r="O12" i="109"/>
  <c r="O9" i="109"/>
  <c r="S25" i="102"/>
  <c r="N40" i="109"/>
  <c r="K17" i="110"/>
  <c r="C18" i="121"/>
  <c r="AH94" i="121"/>
  <c r="D95" i="121"/>
  <c r="AH166" i="121"/>
  <c r="D167" i="121"/>
  <c r="AH131" i="121"/>
  <c r="D132" i="121"/>
  <c r="D57" i="121"/>
  <c r="AH56" i="121"/>
  <c r="D19" i="121"/>
  <c r="L40" i="121"/>
  <c r="M9" i="121"/>
  <c r="M10" i="121"/>
  <c r="N8" i="121"/>
  <c r="C350" i="121"/>
  <c r="M40" i="120"/>
  <c r="D130" i="120"/>
  <c r="AH129" i="120"/>
  <c r="D204" i="120"/>
  <c r="AH203" i="120"/>
  <c r="AH167" i="120"/>
  <c r="D168" i="120"/>
  <c r="N9" i="120"/>
  <c r="N10" i="120"/>
  <c r="O8" i="120"/>
  <c r="AH93" i="120"/>
  <c r="D94" i="120"/>
  <c r="C18" i="120"/>
  <c r="D59" i="120"/>
  <c r="AH58" i="120"/>
  <c r="C350" i="120"/>
  <c r="D18" i="120"/>
  <c r="AH17" i="120"/>
  <c r="P45" i="102"/>
  <c r="M8" i="119"/>
  <c r="L9" i="119"/>
  <c r="L10" i="119"/>
  <c r="C351" i="119"/>
  <c r="D23" i="119"/>
  <c r="D56" i="119"/>
  <c r="AH55" i="119"/>
  <c r="E19" i="119"/>
  <c r="AH18" i="119"/>
  <c r="D130" i="119"/>
  <c r="AH129" i="119"/>
  <c r="D94" i="119"/>
  <c r="AH93" i="119"/>
  <c r="D167" i="119"/>
  <c r="AH166" i="119"/>
  <c r="C18" i="119"/>
  <c r="K40" i="119"/>
  <c r="M40" i="118"/>
  <c r="D21" i="118"/>
  <c r="AH20" i="118"/>
  <c r="C351" i="118"/>
  <c r="D93" i="118"/>
  <c r="AH92" i="118"/>
  <c r="C19" i="118"/>
  <c r="D130" i="118"/>
  <c r="AH129" i="118"/>
  <c r="D56" i="118"/>
  <c r="AH55" i="118"/>
  <c r="N9" i="118"/>
  <c r="O8" i="118"/>
  <c r="N10" i="118"/>
  <c r="AH167" i="118"/>
  <c r="D168" i="118"/>
  <c r="F55" i="108"/>
  <c r="AG45" i="105"/>
  <c r="Q13" i="102"/>
  <c r="Q17" i="102" s="1"/>
  <c r="Q26" i="102" s="1"/>
  <c r="R18" i="101"/>
  <c r="D60" i="89"/>
  <c r="D61" i="89"/>
  <c r="R15" i="101"/>
  <c r="R14" i="101"/>
  <c r="S9" i="102"/>
  <c r="S9" i="101"/>
  <c r="R15" i="102"/>
  <c r="R14" i="102"/>
  <c r="S22" i="101"/>
  <c r="S22" i="102"/>
  <c r="S23" i="101"/>
  <c r="S23" i="102"/>
  <c r="S24" i="101"/>
  <c r="S24" i="102"/>
  <c r="R18" i="102"/>
  <c r="S19" i="101"/>
  <c r="S19" i="102"/>
  <c r="R21" i="101"/>
  <c r="R21" i="102"/>
  <c r="K45" i="102"/>
  <c r="Q27" i="101"/>
  <c r="S25" i="101"/>
  <c r="L27" i="101"/>
  <c r="S20" i="101"/>
  <c r="P13" i="100"/>
  <c r="P17" i="100" s="1"/>
  <c r="P26" i="100" s="1"/>
  <c r="Q14" i="98"/>
  <c r="Q13" i="98" s="1"/>
  <c r="Q17" i="98" s="1"/>
  <c r="Q26" i="98" s="1"/>
  <c r="Q21" i="98"/>
  <c r="R9" i="98"/>
  <c r="R9" i="100"/>
  <c r="R20" i="100"/>
  <c r="R20" i="98"/>
  <c r="Q18" i="100"/>
  <c r="R23" i="100"/>
  <c r="R23" i="98"/>
  <c r="Q9" i="100"/>
  <c r="L26" i="100"/>
  <c r="L27" i="100" s="1"/>
  <c r="O13" i="100"/>
  <c r="B57" i="90"/>
  <c r="B61" i="90"/>
  <c r="B58" i="90"/>
  <c r="B59" i="90"/>
  <c r="B60" i="90"/>
  <c r="R24" i="98"/>
  <c r="R24" i="100"/>
  <c r="Q21" i="100"/>
  <c r="R19" i="98"/>
  <c r="R19" i="100"/>
  <c r="R22" i="98"/>
  <c r="R22" i="100"/>
  <c r="R25" i="100"/>
  <c r="R25" i="98"/>
  <c r="C55" i="89"/>
  <c r="C54" i="89"/>
  <c r="C56" i="89"/>
  <c r="C57" i="89"/>
  <c r="C58" i="89"/>
  <c r="C59" i="89"/>
  <c r="P17" i="98"/>
  <c r="L27" i="98"/>
  <c r="B56" i="90"/>
  <c r="B62" i="90"/>
  <c r="D52" i="90"/>
  <c r="C53" i="90"/>
  <c r="C54" i="90" s="1"/>
  <c r="G36" i="94"/>
  <c r="G39" i="94"/>
  <c r="G32" i="94"/>
  <c r="G54" i="94" s="1"/>
  <c r="G35" i="94"/>
  <c r="B125" i="71"/>
  <c r="B117" i="71"/>
  <c r="G107" i="71"/>
  <c r="F105" i="71"/>
  <c r="H17" i="129" l="1"/>
  <c r="AH16" i="129"/>
  <c r="D29" i="94"/>
  <c r="D36" i="94" s="1"/>
  <c r="K24" i="109"/>
  <c r="P22" i="135" s="1"/>
  <c r="P21" i="135" s="1"/>
  <c r="P27" i="135" s="1"/>
  <c r="P45" i="135" s="1"/>
  <c r="H24" i="109"/>
  <c r="M22" i="135" s="1"/>
  <c r="M21" i="135" s="1"/>
  <c r="M27" i="135" s="1"/>
  <c r="M45" i="135" s="1"/>
  <c r="AF27" i="135"/>
  <c r="AF45" i="135" s="1"/>
  <c r="G30" i="94"/>
  <c r="J24" i="109"/>
  <c r="O22" i="135" s="1"/>
  <c r="O21" i="135" s="1"/>
  <c r="O27" i="135" s="1"/>
  <c r="O45" i="135" s="1"/>
  <c r="G21" i="135"/>
  <c r="G27" i="135" s="1"/>
  <c r="J40" i="121"/>
  <c r="G31" i="107"/>
  <c r="G32" i="107"/>
  <c r="G35" i="107"/>
  <c r="G39" i="107"/>
  <c r="B39" i="107" s="1"/>
  <c r="G36" i="107"/>
  <c r="AG29" i="107"/>
  <c r="H53" i="108"/>
  <c r="H52" i="108" s="1"/>
  <c r="H47" i="108" s="1"/>
  <c r="H55" i="108" s="1"/>
  <c r="H30" i="108"/>
  <c r="H33" i="108" s="1"/>
  <c r="H30" i="107"/>
  <c r="H33" i="107" s="1"/>
  <c r="H53" i="107"/>
  <c r="H52" i="107" s="1"/>
  <c r="H47" i="107" s="1"/>
  <c r="H55" i="107" s="1"/>
  <c r="H37" i="108"/>
  <c r="AG27" i="108"/>
  <c r="G29" i="108"/>
  <c r="G45" i="108"/>
  <c r="AG45" i="108" s="1"/>
  <c r="I40" i="121"/>
  <c r="H17" i="121"/>
  <c r="AH16" i="121"/>
  <c r="L40" i="119"/>
  <c r="Q18" i="110"/>
  <c r="I32" i="94"/>
  <c r="I54" i="94" s="1"/>
  <c r="E35" i="94"/>
  <c r="K22" i="110"/>
  <c r="K21" i="110" s="1"/>
  <c r="I45" i="94"/>
  <c r="N22" i="110"/>
  <c r="N21" i="110" s="1"/>
  <c r="N27" i="110" s="1"/>
  <c r="N45" i="110" s="1"/>
  <c r="E32" i="94"/>
  <c r="E54" i="94" s="1"/>
  <c r="E36" i="94"/>
  <c r="E39" i="94"/>
  <c r="I31" i="94"/>
  <c r="I35" i="94"/>
  <c r="I37" i="94" s="1"/>
  <c r="I39" i="94"/>
  <c r="E45" i="94"/>
  <c r="H22" i="110"/>
  <c r="H21" i="110" s="1"/>
  <c r="H27" i="110" s="1"/>
  <c r="H45" i="110" s="1"/>
  <c r="F29" i="94"/>
  <c r="F32" i="94" s="1"/>
  <c r="F54" i="94" s="1"/>
  <c r="O29" i="97"/>
  <c r="O45" i="97"/>
  <c r="H45" i="97"/>
  <c r="H29" i="97"/>
  <c r="D31" i="94"/>
  <c r="J22" i="110"/>
  <c r="J21" i="110" s="1"/>
  <c r="J27" i="110" s="1"/>
  <c r="J45" i="110" s="1"/>
  <c r="W29" i="97"/>
  <c r="W45" i="97"/>
  <c r="M29" i="97"/>
  <c r="M45" i="97"/>
  <c r="Y29" i="97"/>
  <c r="Y45" i="97"/>
  <c r="K29" i="97"/>
  <c r="K45" i="97"/>
  <c r="N29" i="97"/>
  <c r="N45" i="97"/>
  <c r="Q45" i="97"/>
  <c r="Q29" i="97"/>
  <c r="I45" i="97"/>
  <c r="I29" i="97"/>
  <c r="U29" i="97"/>
  <c r="U45" i="97"/>
  <c r="G45" i="97"/>
  <c r="G29" i="97"/>
  <c r="V29" i="97"/>
  <c r="V45" i="97"/>
  <c r="AB25" i="109"/>
  <c r="P29" i="97"/>
  <c r="P45" i="97"/>
  <c r="D32" i="94"/>
  <c r="D54" i="94" s="1"/>
  <c r="AG22" i="94"/>
  <c r="D45" i="97"/>
  <c r="D29" i="97"/>
  <c r="E29" i="97"/>
  <c r="E45" i="97"/>
  <c r="S45" i="97"/>
  <c r="S29" i="97"/>
  <c r="AD45" i="97"/>
  <c r="AD29" i="97"/>
  <c r="AB45" i="97"/>
  <c r="AB29" i="97"/>
  <c r="AA29" i="97"/>
  <c r="AA45" i="97"/>
  <c r="F45" i="97"/>
  <c r="F29" i="97"/>
  <c r="H29" i="94"/>
  <c r="H36" i="94" s="1"/>
  <c r="L22" i="110"/>
  <c r="L21" i="110" s="1"/>
  <c r="L27" i="110" s="1"/>
  <c r="L45" i="110" s="1"/>
  <c r="I22" i="110"/>
  <c r="I21" i="110" s="1"/>
  <c r="I27" i="110" s="1"/>
  <c r="I45" i="110" s="1"/>
  <c r="AE29" i="97"/>
  <c r="AE45" i="97"/>
  <c r="L29" i="97"/>
  <c r="L45" i="97"/>
  <c r="AG22" i="97"/>
  <c r="C21" i="97"/>
  <c r="R29" i="97"/>
  <c r="R45" i="97"/>
  <c r="AF45" i="97"/>
  <c r="AF29" i="97"/>
  <c r="AC29" i="97"/>
  <c r="AC45" i="97"/>
  <c r="J45" i="94"/>
  <c r="J29" i="94"/>
  <c r="Z45" i="97"/>
  <c r="Z29" i="97"/>
  <c r="AG21" i="94"/>
  <c r="J45" i="97"/>
  <c r="J29" i="97"/>
  <c r="X29" i="97"/>
  <c r="X45" i="97"/>
  <c r="T29" i="97"/>
  <c r="T45" i="97"/>
  <c r="D35" i="94"/>
  <c r="D37" i="94" s="1"/>
  <c r="D39" i="94"/>
  <c r="Q22" i="110"/>
  <c r="C27" i="94"/>
  <c r="C29" i="94" s="1"/>
  <c r="G22" i="110"/>
  <c r="G21" i="110" s="1"/>
  <c r="G27" i="110" s="1"/>
  <c r="G45" i="110" s="1"/>
  <c r="AH341" i="129"/>
  <c r="AL13" i="129" s="1"/>
  <c r="AL9" i="129"/>
  <c r="AH345" i="129"/>
  <c r="AH344" i="129"/>
  <c r="AL16" i="129" s="1"/>
  <c r="AH342" i="129"/>
  <c r="AL14" i="129" s="1"/>
  <c r="C39" i="129"/>
  <c r="AH348" i="129"/>
  <c r="AL12" i="129"/>
  <c r="S18" i="102"/>
  <c r="T9" i="101"/>
  <c r="T15" i="101" s="1"/>
  <c r="R20" i="110"/>
  <c r="N30" i="109"/>
  <c r="N26" i="109"/>
  <c r="N35" i="109"/>
  <c r="N39" i="109"/>
  <c r="N21" i="109"/>
  <c r="N17" i="109"/>
  <c r="Q24" i="110"/>
  <c r="Q27" i="98"/>
  <c r="Q45" i="98" s="1"/>
  <c r="P13" i="110"/>
  <c r="P17" i="110" s="1"/>
  <c r="P26" i="110" s="1"/>
  <c r="Q14" i="110"/>
  <c r="N8" i="109"/>
  <c r="O18" i="109"/>
  <c r="O22" i="109"/>
  <c r="P9" i="109"/>
  <c r="O40" i="109"/>
  <c r="R19" i="110"/>
  <c r="R25" i="110"/>
  <c r="P12" i="109"/>
  <c r="O36" i="109"/>
  <c r="R24" i="110"/>
  <c r="R23" i="110"/>
  <c r="O31" i="109"/>
  <c r="O27" i="109"/>
  <c r="K26" i="110"/>
  <c r="M40" i="121"/>
  <c r="D58" i="121"/>
  <c r="AH57" i="121"/>
  <c r="C19" i="121"/>
  <c r="AH132" i="121"/>
  <c r="D133" i="121"/>
  <c r="D20" i="121"/>
  <c r="C351" i="121"/>
  <c r="D168" i="121"/>
  <c r="AH167" i="121"/>
  <c r="O8" i="121"/>
  <c r="N9" i="121"/>
  <c r="N10" i="121"/>
  <c r="D96" i="121"/>
  <c r="AH95" i="121"/>
  <c r="N40" i="120"/>
  <c r="D60" i="120"/>
  <c r="AH59" i="120"/>
  <c r="C19" i="120"/>
  <c r="P8" i="120"/>
  <c r="O9" i="120"/>
  <c r="O10" i="120"/>
  <c r="AH94" i="120"/>
  <c r="D95" i="120"/>
  <c r="D19" i="120"/>
  <c r="AH18" i="120"/>
  <c r="C351" i="120"/>
  <c r="D169" i="120"/>
  <c r="AH168" i="120"/>
  <c r="D205" i="120"/>
  <c r="AH205" i="120" s="1"/>
  <c r="AH204" i="120"/>
  <c r="D131" i="120"/>
  <c r="AH130" i="120"/>
  <c r="R13" i="102"/>
  <c r="R17" i="102" s="1"/>
  <c r="R26" i="102" s="1"/>
  <c r="T9" i="102"/>
  <c r="T14" i="102" s="1"/>
  <c r="E20" i="119"/>
  <c r="AH19" i="119"/>
  <c r="D57" i="119"/>
  <c r="AH56" i="119"/>
  <c r="C352" i="119"/>
  <c r="D24" i="119"/>
  <c r="D168" i="119"/>
  <c r="AH167" i="119"/>
  <c r="AH94" i="119"/>
  <c r="D95" i="119"/>
  <c r="C19" i="119"/>
  <c r="AH130" i="119"/>
  <c r="D131" i="119"/>
  <c r="M9" i="119"/>
  <c r="N8" i="119"/>
  <c r="M10" i="119"/>
  <c r="P27" i="100"/>
  <c r="P45" i="100" s="1"/>
  <c r="D57" i="118"/>
  <c r="AH56" i="118"/>
  <c r="C352" i="118"/>
  <c r="O9" i="118"/>
  <c r="P8" i="118"/>
  <c r="O10" i="118"/>
  <c r="N40" i="118"/>
  <c r="C20" i="118"/>
  <c r="D131" i="118"/>
  <c r="AH130" i="118"/>
  <c r="D94" i="118"/>
  <c r="AH93" i="118"/>
  <c r="D169" i="118"/>
  <c r="AH168" i="118"/>
  <c r="D22" i="118"/>
  <c r="AH21" i="118"/>
  <c r="Q27" i="102"/>
  <c r="S21" i="101"/>
  <c r="E60" i="89"/>
  <c r="E61" i="89"/>
  <c r="S14" i="101"/>
  <c r="S15" i="101"/>
  <c r="S18" i="101"/>
  <c r="S15" i="102"/>
  <c r="S14" i="102"/>
  <c r="R13" i="101"/>
  <c r="R17" i="101" s="1"/>
  <c r="R26" i="101" s="1"/>
  <c r="S21" i="102"/>
  <c r="T24" i="101"/>
  <c r="T24" i="102"/>
  <c r="T19" i="101"/>
  <c r="T19" i="102"/>
  <c r="T20" i="101"/>
  <c r="T20" i="102"/>
  <c r="T25" i="101"/>
  <c r="T25" i="102"/>
  <c r="T23" i="101"/>
  <c r="T23" i="102"/>
  <c r="T22" i="101"/>
  <c r="T22" i="102"/>
  <c r="L45" i="101"/>
  <c r="Q45" i="101"/>
  <c r="S22" i="100"/>
  <c r="S22" i="98"/>
  <c r="C57" i="90"/>
  <c r="C61" i="90"/>
  <c r="C59" i="90"/>
  <c r="C58" i="90"/>
  <c r="C60" i="90"/>
  <c r="S20" i="100"/>
  <c r="S20" i="98"/>
  <c r="S9" i="98"/>
  <c r="S15" i="98" s="1"/>
  <c r="S19" i="100"/>
  <c r="S19" i="98"/>
  <c r="R21" i="98"/>
  <c r="R15" i="100"/>
  <c r="R14" i="100"/>
  <c r="R18" i="100"/>
  <c r="O17" i="100"/>
  <c r="R18" i="98"/>
  <c r="L45" i="100"/>
  <c r="R21" i="100"/>
  <c r="Q15" i="100"/>
  <c r="Q14" i="100"/>
  <c r="S25" i="100"/>
  <c r="S25" i="98"/>
  <c r="S24" i="98"/>
  <c r="S24" i="100"/>
  <c r="S23" i="100"/>
  <c r="S23" i="98"/>
  <c r="D55" i="89"/>
  <c r="D56" i="89"/>
  <c r="D54" i="89"/>
  <c r="D57" i="89"/>
  <c r="D59" i="89"/>
  <c r="D58" i="89"/>
  <c r="L45" i="98"/>
  <c r="R14" i="98"/>
  <c r="R15" i="98"/>
  <c r="P26" i="98"/>
  <c r="C62" i="90"/>
  <c r="C56" i="90"/>
  <c r="E52" i="90"/>
  <c r="D53" i="90"/>
  <c r="D54" i="90" s="1"/>
  <c r="G37" i="94"/>
  <c r="E53" i="94"/>
  <c r="G52" i="94"/>
  <c r="G33" i="94"/>
  <c r="F109" i="71"/>
  <c r="H18" i="129" l="1"/>
  <c r="AH17" i="129"/>
  <c r="AH349" i="129" s="1"/>
  <c r="E30" i="94"/>
  <c r="E33" i="94" s="1"/>
  <c r="E52" i="94"/>
  <c r="E47" i="94" s="1"/>
  <c r="E37" i="94"/>
  <c r="AG21" i="135"/>
  <c r="AG22" i="135"/>
  <c r="G45" i="135"/>
  <c r="AG45" i="135" s="1"/>
  <c r="AG27" i="135"/>
  <c r="O22" i="110"/>
  <c r="O21" i="110" s="1"/>
  <c r="O27" i="110" s="1"/>
  <c r="O45" i="110" s="1"/>
  <c r="I30" i="94"/>
  <c r="I33" i="94" s="1"/>
  <c r="M22" i="110"/>
  <c r="M21" i="110" s="1"/>
  <c r="M27" i="110" s="1"/>
  <c r="M45" i="110" s="1"/>
  <c r="F35" i="94"/>
  <c r="F39" i="94"/>
  <c r="F36" i="94"/>
  <c r="P22" i="110"/>
  <c r="P21" i="110" s="1"/>
  <c r="P27" i="110" s="1"/>
  <c r="P45" i="110" s="1"/>
  <c r="R22" i="110"/>
  <c r="K27" i="110"/>
  <c r="K45" i="110" s="1"/>
  <c r="G37" i="107"/>
  <c r="G54" i="107"/>
  <c r="AG54" i="107" s="1"/>
  <c r="AG32" i="107"/>
  <c r="G32" i="108"/>
  <c r="G31" i="108"/>
  <c r="AG29" i="108"/>
  <c r="G39" i="108"/>
  <c r="B39" i="108" s="1"/>
  <c r="G36" i="108"/>
  <c r="G35" i="108"/>
  <c r="G30" i="107"/>
  <c r="G53" i="107"/>
  <c r="AG31" i="107"/>
  <c r="H18" i="121"/>
  <c r="AH17" i="121"/>
  <c r="M40" i="119"/>
  <c r="S20" i="110"/>
  <c r="I53" i="94"/>
  <c r="I52" i="94" s="1"/>
  <c r="I47" i="94" s="1"/>
  <c r="I55" i="94" s="1"/>
  <c r="E55" i="94"/>
  <c r="D30" i="94"/>
  <c r="D33" i="94" s="1"/>
  <c r="D53" i="94"/>
  <c r="D52" i="94" s="1"/>
  <c r="D47" i="94" s="1"/>
  <c r="D55" i="94" s="1"/>
  <c r="F31" i="94"/>
  <c r="F53" i="94" s="1"/>
  <c r="F52" i="94" s="1"/>
  <c r="F47" i="94" s="1"/>
  <c r="F55" i="94" s="1"/>
  <c r="Z35" i="97"/>
  <c r="Z32" i="97"/>
  <c r="Z54" i="97" s="1"/>
  <c r="Z39" i="97"/>
  <c r="Z36" i="97"/>
  <c r="Z31" i="97"/>
  <c r="P36" i="97"/>
  <c r="P39" i="97"/>
  <c r="P32" i="97"/>
  <c r="P54" i="97" s="1"/>
  <c r="P31" i="97"/>
  <c r="P35" i="97"/>
  <c r="X36" i="97"/>
  <c r="X35" i="97"/>
  <c r="X39" i="97"/>
  <c r="X31" i="97"/>
  <c r="X32" i="97"/>
  <c r="X54" i="97" s="1"/>
  <c r="W36" i="97"/>
  <c r="W32" i="97"/>
  <c r="W54" i="97" s="1"/>
  <c r="W35" i="97"/>
  <c r="W31" i="97"/>
  <c r="W39" i="97"/>
  <c r="L36" i="97"/>
  <c r="L39" i="97"/>
  <c r="L31" i="97"/>
  <c r="L32" i="97"/>
  <c r="L54" i="97" s="1"/>
  <c r="L35" i="97"/>
  <c r="AD35" i="97"/>
  <c r="AD39" i="97"/>
  <c r="AD36" i="97"/>
  <c r="AD31" i="97"/>
  <c r="AD32" i="97"/>
  <c r="AD54" i="97" s="1"/>
  <c r="H36" i="97"/>
  <c r="H35" i="97"/>
  <c r="H39" i="97"/>
  <c r="H31" i="97"/>
  <c r="H32" i="97"/>
  <c r="H54" i="97" s="1"/>
  <c r="T31" i="97"/>
  <c r="T36" i="97"/>
  <c r="T39" i="97"/>
  <c r="T32" i="97"/>
  <c r="T54" i="97" s="1"/>
  <c r="T35" i="97"/>
  <c r="AF36" i="97"/>
  <c r="AF31" i="97"/>
  <c r="AF35" i="97"/>
  <c r="AF32" i="97"/>
  <c r="AF54" i="97" s="1"/>
  <c r="AF39" i="97"/>
  <c r="H31" i="94"/>
  <c r="H32" i="94"/>
  <c r="H54" i="94" s="1"/>
  <c r="E32" i="97"/>
  <c r="E54" i="97" s="1"/>
  <c r="E36" i="97"/>
  <c r="E31" i="97"/>
  <c r="E35" i="97"/>
  <c r="E39" i="97"/>
  <c r="Y39" i="97"/>
  <c r="Y36" i="97"/>
  <c r="Y32" i="97"/>
  <c r="Y54" i="97" s="1"/>
  <c r="Y31" i="97"/>
  <c r="Y35" i="97"/>
  <c r="H35" i="94"/>
  <c r="H37" i="94" s="1"/>
  <c r="F35" i="97"/>
  <c r="F36" i="97"/>
  <c r="F31" i="97"/>
  <c r="F32" i="97"/>
  <c r="F54" i="97" s="1"/>
  <c r="F39" i="97"/>
  <c r="D32" i="97"/>
  <c r="D35" i="97"/>
  <c r="D39" i="97"/>
  <c r="D31" i="97"/>
  <c r="D36" i="97"/>
  <c r="U32" i="97"/>
  <c r="U54" i="97" s="1"/>
  <c r="U39" i="97"/>
  <c r="U31" i="97"/>
  <c r="U36" i="97"/>
  <c r="U35" i="97"/>
  <c r="M31" i="97"/>
  <c r="M32" i="97"/>
  <c r="M54" i="97" s="1"/>
  <c r="M36" i="97"/>
  <c r="M35" i="97"/>
  <c r="M39" i="97"/>
  <c r="J36" i="97"/>
  <c r="J31" i="97"/>
  <c r="J32" i="97"/>
  <c r="J54" i="97" s="1"/>
  <c r="J39" i="97"/>
  <c r="J35" i="97"/>
  <c r="R39" i="97"/>
  <c r="R36" i="97"/>
  <c r="R35" i="97"/>
  <c r="R32" i="97"/>
  <c r="R54" i="97" s="1"/>
  <c r="R31" i="97"/>
  <c r="I36" i="97"/>
  <c r="I39" i="97"/>
  <c r="I35" i="97"/>
  <c r="I32" i="97"/>
  <c r="I54" i="97" s="1"/>
  <c r="I31" i="97"/>
  <c r="J36" i="94"/>
  <c r="J35" i="94"/>
  <c r="J32" i="94"/>
  <c r="J54" i="94" s="1"/>
  <c r="J39" i="94"/>
  <c r="J31" i="94"/>
  <c r="N39" i="97"/>
  <c r="N32" i="97"/>
  <c r="N54" i="97" s="1"/>
  <c r="N35" i="97"/>
  <c r="N36" i="97"/>
  <c r="N31" i="97"/>
  <c r="AC35" i="97"/>
  <c r="AC39" i="97"/>
  <c r="AC31" i="97"/>
  <c r="AC32" i="97"/>
  <c r="AC54" i="97" s="1"/>
  <c r="AC36" i="97"/>
  <c r="AE36" i="97"/>
  <c r="AE35" i="97"/>
  <c r="AE39" i="97"/>
  <c r="AE31" i="97"/>
  <c r="AE32" i="97"/>
  <c r="AE54" i="97" s="1"/>
  <c r="S31" i="97"/>
  <c r="S39" i="97"/>
  <c r="S32" i="97"/>
  <c r="S54" i="97" s="1"/>
  <c r="S35" i="97"/>
  <c r="S36" i="97"/>
  <c r="V35" i="97"/>
  <c r="V36" i="97"/>
  <c r="V32" i="97"/>
  <c r="V54" i="97" s="1"/>
  <c r="V31" i="97"/>
  <c r="V39" i="97"/>
  <c r="AG21" i="97"/>
  <c r="C27" i="97"/>
  <c r="AA35" i="97"/>
  <c r="AA39" i="97"/>
  <c r="AA36" i="97"/>
  <c r="AA31" i="97"/>
  <c r="AA32" i="97"/>
  <c r="AA54" i="97" s="1"/>
  <c r="H39" i="94"/>
  <c r="AB31" i="97"/>
  <c r="AB32" i="97"/>
  <c r="AB54" i="97" s="1"/>
  <c r="AB39" i="97"/>
  <c r="AB35" i="97"/>
  <c r="AB36" i="97"/>
  <c r="Q32" i="97"/>
  <c r="Q54" i="97" s="1"/>
  <c r="Q31" i="97"/>
  <c r="Q39" i="97"/>
  <c r="Q36" i="97"/>
  <c r="Q35" i="97"/>
  <c r="G31" i="97"/>
  <c r="G35" i="97"/>
  <c r="G36" i="97"/>
  <c r="G32" i="97"/>
  <c r="G54" i="97" s="1"/>
  <c r="G39" i="97"/>
  <c r="K32" i="97"/>
  <c r="K54" i="97" s="1"/>
  <c r="K39" i="97"/>
  <c r="K36" i="97"/>
  <c r="K31" i="97"/>
  <c r="K35" i="97"/>
  <c r="O35" i="97"/>
  <c r="O36" i="97"/>
  <c r="O31" i="97"/>
  <c r="O32" i="97"/>
  <c r="O54" i="97" s="1"/>
  <c r="O39" i="97"/>
  <c r="C45" i="94"/>
  <c r="C55" i="94" s="1"/>
  <c r="Q21" i="110"/>
  <c r="AL10" i="129"/>
  <c r="AL11" i="129"/>
  <c r="AH347" i="129"/>
  <c r="AH343" i="129"/>
  <c r="AL15" i="129" s="1"/>
  <c r="AH346" i="129"/>
  <c r="S22" i="110"/>
  <c r="S24" i="110"/>
  <c r="T14" i="101"/>
  <c r="T13" i="101" s="1"/>
  <c r="T17" i="101" s="1"/>
  <c r="T26" i="101" s="1"/>
  <c r="S23" i="110"/>
  <c r="S19" i="110"/>
  <c r="S25" i="110"/>
  <c r="O17" i="109"/>
  <c r="O21" i="109"/>
  <c r="O35" i="109"/>
  <c r="O39" i="109"/>
  <c r="O26" i="109"/>
  <c r="O30" i="109"/>
  <c r="Q15" i="110"/>
  <c r="Q13" i="110" s="1"/>
  <c r="O8" i="109"/>
  <c r="O7" i="109" s="1"/>
  <c r="R15" i="110"/>
  <c r="R14" i="110"/>
  <c r="N7" i="109"/>
  <c r="S13" i="102"/>
  <c r="S17" i="102" s="1"/>
  <c r="S26" i="102" s="1"/>
  <c r="P18" i="109"/>
  <c r="U20" i="102"/>
  <c r="P22" i="109"/>
  <c r="Q9" i="109"/>
  <c r="R21" i="110"/>
  <c r="R18" i="110"/>
  <c r="P27" i="109"/>
  <c r="Q12" i="109"/>
  <c r="P36" i="109"/>
  <c r="P40" i="109"/>
  <c r="P31" i="109"/>
  <c r="D21" i="121"/>
  <c r="C20" i="121"/>
  <c r="D134" i="121"/>
  <c r="AH133" i="121"/>
  <c r="D59" i="121"/>
  <c r="AH58" i="121"/>
  <c r="AH96" i="121"/>
  <c r="D97" i="121"/>
  <c r="C352" i="121"/>
  <c r="N40" i="121"/>
  <c r="O9" i="121"/>
  <c r="P8" i="121"/>
  <c r="O10" i="121"/>
  <c r="D169" i="121"/>
  <c r="AH168" i="121"/>
  <c r="D20" i="120"/>
  <c r="AH19" i="120"/>
  <c r="C20" i="120"/>
  <c r="O40" i="120"/>
  <c r="P10" i="120"/>
  <c r="P9" i="120"/>
  <c r="Q8" i="120"/>
  <c r="D170" i="120"/>
  <c r="AH170" i="120" s="1"/>
  <c r="AH169" i="120"/>
  <c r="C352" i="120"/>
  <c r="AH95" i="120"/>
  <c r="D96" i="120"/>
  <c r="D132" i="120"/>
  <c r="AH131" i="120"/>
  <c r="D61" i="120"/>
  <c r="AH60" i="120"/>
  <c r="R27" i="102"/>
  <c r="T15" i="102"/>
  <c r="T13" i="102" s="1"/>
  <c r="T17" i="102" s="1"/>
  <c r="T26" i="102" s="1"/>
  <c r="E21" i="119"/>
  <c r="AH20" i="119"/>
  <c r="AH131" i="119"/>
  <c r="D132" i="119"/>
  <c r="D169" i="119"/>
  <c r="AH168" i="119"/>
  <c r="D25" i="119"/>
  <c r="C353" i="119"/>
  <c r="D58" i="119"/>
  <c r="AH57" i="119"/>
  <c r="C20" i="119"/>
  <c r="D96" i="119"/>
  <c r="AH95" i="119"/>
  <c r="O8" i="119"/>
  <c r="N9" i="119"/>
  <c r="N10" i="119"/>
  <c r="R13" i="100"/>
  <c r="R17" i="100" s="1"/>
  <c r="R26" i="100" s="1"/>
  <c r="AH131" i="118"/>
  <c r="D132" i="118"/>
  <c r="O40" i="118"/>
  <c r="C353" i="118"/>
  <c r="AH22" i="118"/>
  <c r="D23" i="118"/>
  <c r="P9" i="118"/>
  <c r="Q8" i="118"/>
  <c r="P10" i="118"/>
  <c r="AH57" i="118"/>
  <c r="D58" i="118"/>
  <c r="AH169" i="118"/>
  <c r="D170" i="118"/>
  <c r="AH170" i="118" s="1"/>
  <c r="C21" i="118"/>
  <c r="AH94" i="118"/>
  <c r="D95" i="118"/>
  <c r="Q45" i="102"/>
  <c r="U9" i="102"/>
  <c r="U15" i="102" s="1"/>
  <c r="T21" i="101"/>
  <c r="U9" i="101"/>
  <c r="U14" i="101" s="1"/>
  <c r="S13" i="101"/>
  <c r="S17" i="101" s="1"/>
  <c r="F60" i="89"/>
  <c r="F61" i="89"/>
  <c r="T18" i="101"/>
  <c r="R27" i="101"/>
  <c r="U23" i="101"/>
  <c r="U23" i="102"/>
  <c r="U19" i="101"/>
  <c r="U19" i="102"/>
  <c r="T21" i="102"/>
  <c r="U22" i="101"/>
  <c r="U22" i="102"/>
  <c r="T18" i="102"/>
  <c r="U24" i="101"/>
  <c r="U24" i="102"/>
  <c r="U25" i="101"/>
  <c r="U25" i="102"/>
  <c r="U20" i="101"/>
  <c r="S18" i="98"/>
  <c r="T25" i="100"/>
  <c r="T25" i="98"/>
  <c r="T20" i="98"/>
  <c r="T20" i="100"/>
  <c r="S14" i="98"/>
  <c r="S13" i="98" s="1"/>
  <c r="S17" i="98" s="1"/>
  <c r="S26" i="98" s="1"/>
  <c r="S18" i="100"/>
  <c r="S21" i="98"/>
  <c r="Q13" i="100"/>
  <c r="T9" i="98"/>
  <c r="T14" i="98" s="1"/>
  <c r="T9" i="100"/>
  <c r="T22" i="100"/>
  <c r="T22" i="98"/>
  <c r="S9" i="100"/>
  <c r="T19" i="100"/>
  <c r="T19" i="98"/>
  <c r="O26" i="100"/>
  <c r="T24" i="98"/>
  <c r="T24" i="100"/>
  <c r="T23" i="98"/>
  <c r="T23" i="100"/>
  <c r="S21" i="100"/>
  <c r="D58" i="90"/>
  <c r="D57" i="90"/>
  <c r="D61" i="90"/>
  <c r="D59" i="90"/>
  <c r="D60" i="90"/>
  <c r="E56" i="89"/>
  <c r="E55" i="89"/>
  <c r="E54" i="89"/>
  <c r="E57" i="89"/>
  <c r="E58" i="89"/>
  <c r="E59" i="89"/>
  <c r="R13" i="98"/>
  <c r="P27" i="98"/>
  <c r="D62" i="90"/>
  <c r="D56" i="90"/>
  <c r="F52" i="90"/>
  <c r="E53" i="90"/>
  <c r="E54" i="90" s="1"/>
  <c r="C35" i="94"/>
  <c r="C39" i="94"/>
  <c r="C36" i="94"/>
  <c r="C33" i="94"/>
  <c r="G47" i="94"/>
  <c r="G5" i="61"/>
  <c r="AL17" i="129" l="1"/>
  <c r="H19" i="129"/>
  <c r="AH18" i="129"/>
  <c r="AH350" i="129" s="1"/>
  <c r="F37" i="94"/>
  <c r="G37" i="108"/>
  <c r="X37" i="97"/>
  <c r="G53" i="108"/>
  <c r="AG31" i="108"/>
  <c r="G30" i="108"/>
  <c r="AG30" i="107"/>
  <c r="G33" i="107"/>
  <c r="AG33" i="107" s="1"/>
  <c r="G54" i="108"/>
  <c r="AG54" i="108" s="1"/>
  <c r="AG32" i="108"/>
  <c r="AG53" i="107"/>
  <c r="G52" i="107"/>
  <c r="H19" i="121"/>
  <c r="AH18" i="121"/>
  <c r="S18" i="110"/>
  <c r="T23" i="110"/>
  <c r="T19" i="110"/>
  <c r="S21" i="110"/>
  <c r="E37" i="97"/>
  <c r="F30" i="94"/>
  <c r="F33" i="94" s="1"/>
  <c r="H37" i="97"/>
  <c r="K37" i="97"/>
  <c r="I37" i="97"/>
  <c r="AF37" i="97"/>
  <c r="W37" i="97"/>
  <c r="M37" i="97"/>
  <c r="AB37" i="97"/>
  <c r="AD37" i="97"/>
  <c r="L37" i="97"/>
  <c r="Z37" i="97"/>
  <c r="O37" i="97"/>
  <c r="J37" i="94"/>
  <c r="J37" i="97"/>
  <c r="P37" i="97"/>
  <c r="O30" i="97"/>
  <c r="O33" i="97" s="1"/>
  <c r="O53" i="97"/>
  <c r="O52" i="97" s="1"/>
  <c r="O47" i="97" s="1"/>
  <c r="O55" i="97" s="1"/>
  <c r="G53" i="97"/>
  <c r="G52" i="97" s="1"/>
  <c r="G30" i="97"/>
  <c r="G33" i="97" s="1"/>
  <c r="AC53" i="97"/>
  <c r="AC52" i="97" s="1"/>
  <c r="AC47" i="97" s="1"/>
  <c r="AC55" i="97" s="1"/>
  <c r="AC30" i="97"/>
  <c r="AC33" i="97" s="1"/>
  <c r="H53" i="94"/>
  <c r="H52" i="94" s="1"/>
  <c r="H47" i="94" s="1"/>
  <c r="H55" i="94" s="1"/>
  <c r="H30" i="94"/>
  <c r="H33" i="94" s="1"/>
  <c r="H53" i="97"/>
  <c r="H52" i="97" s="1"/>
  <c r="H47" i="97" s="1"/>
  <c r="H55" i="97" s="1"/>
  <c r="H30" i="97"/>
  <c r="H33" i="97" s="1"/>
  <c r="Q37" i="97"/>
  <c r="AA53" i="97"/>
  <c r="AA52" i="97" s="1"/>
  <c r="AA47" i="97" s="1"/>
  <c r="AA55" i="97" s="1"/>
  <c r="AA30" i="97"/>
  <c r="AA33" i="97" s="1"/>
  <c r="S37" i="97"/>
  <c r="I30" i="97"/>
  <c r="I33" i="97" s="1"/>
  <c r="I53" i="97"/>
  <c r="I52" i="97" s="1"/>
  <c r="I47" i="97" s="1"/>
  <c r="I55" i="97" s="1"/>
  <c r="Y37" i="97"/>
  <c r="P30" i="97"/>
  <c r="P33" i="97" s="1"/>
  <c r="P53" i="97"/>
  <c r="P52" i="97" s="1"/>
  <c r="P47" i="97" s="1"/>
  <c r="P55" i="97" s="1"/>
  <c r="D30" i="97"/>
  <c r="AG31" i="97"/>
  <c r="D53" i="97"/>
  <c r="W30" i="97"/>
  <c r="W33" i="97" s="1"/>
  <c r="W53" i="97"/>
  <c r="W52" i="97" s="1"/>
  <c r="W47" i="97" s="1"/>
  <c r="W55" i="97" s="1"/>
  <c r="C29" i="97"/>
  <c r="C45" i="97"/>
  <c r="AG27" i="97"/>
  <c r="N37" i="97"/>
  <c r="D37" i="97"/>
  <c r="AD53" i="97"/>
  <c r="AD52" i="97" s="1"/>
  <c r="AD47" i="97" s="1"/>
  <c r="AD55" i="97" s="1"/>
  <c r="AD30" i="97"/>
  <c r="AD33" i="97" s="1"/>
  <c r="Z53" i="97"/>
  <c r="Z52" i="97" s="1"/>
  <c r="Z47" i="97" s="1"/>
  <c r="Z55" i="97" s="1"/>
  <c r="Z30" i="97"/>
  <c r="Z33" i="97" s="1"/>
  <c r="AE53" i="97"/>
  <c r="AE52" i="97" s="1"/>
  <c r="AE47" i="97" s="1"/>
  <c r="AE55" i="97" s="1"/>
  <c r="AE30" i="97"/>
  <c r="AE33" i="97" s="1"/>
  <c r="R53" i="97"/>
  <c r="R52" i="97" s="1"/>
  <c r="R47" i="97" s="1"/>
  <c r="R55" i="97" s="1"/>
  <c r="R30" i="97"/>
  <c r="R33" i="97" s="1"/>
  <c r="D54" i="97"/>
  <c r="AG54" i="97" s="1"/>
  <c r="AG32" i="97"/>
  <c r="T37" i="97"/>
  <c r="G37" i="97"/>
  <c r="U53" i="97"/>
  <c r="U52" i="97" s="1"/>
  <c r="U47" i="97" s="1"/>
  <c r="U55" i="97" s="1"/>
  <c r="U30" i="97"/>
  <c r="U33" i="97" s="1"/>
  <c r="J30" i="97"/>
  <c r="J33" i="97" s="1"/>
  <c r="J53" i="97"/>
  <c r="J52" i="97" s="1"/>
  <c r="J47" i="97" s="1"/>
  <c r="J55" i="97" s="1"/>
  <c r="Y53" i="97"/>
  <c r="Y52" i="97" s="1"/>
  <c r="Y47" i="97" s="1"/>
  <c r="Y55" i="97" s="1"/>
  <c r="Y30" i="97"/>
  <c r="Y33" i="97" s="1"/>
  <c r="Q30" i="97"/>
  <c r="Q33" i="97" s="1"/>
  <c r="Q53" i="97"/>
  <c r="Q52" i="97" s="1"/>
  <c r="Q47" i="97" s="1"/>
  <c r="Q55" i="97" s="1"/>
  <c r="S53" i="97"/>
  <c r="S52" i="97" s="1"/>
  <c r="S47" i="97" s="1"/>
  <c r="S55" i="97" s="1"/>
  <c r="S30" i="97"/>
  <c r="S33" i="97" s="1"/>
  <c r="AC37" i="97"/>
  <c r="N53" i="97"/>
  <c r="N52" i="97" s="1"/>
  <c r="N47" i="97" s="1"/>
  <c r="N55" i="97" s="1"/>
  <c r="N30" i="97"/>
  <c r="N33" i="97" s="1"/>
  <c r="V30" i="97"/>
  <c r="V33" i="97" s="1"/>
  <c r="V53" i="97"/>
  <c r="V52" i="97" s="1"/>
  <c r="V47" i="97" s="1"/>
  <c r="V55" i="97" s="1"/>
  <c r="AE37" i="97"/>
  <c r="J53" i="94"/>
  <c r="J52" i="94" s="1"/>
  <c r="J47" i="94" s="1"/>
  <c r="J55" i="94" s="1"/>
  <c r="J30" i="94"/>
  <c r="J33" i="94" s="1"/>
  <c r="R37" i="97"/>
  <c r="M30" i="97"/>
  <c r="M33" i="97" s="1"/>
  <c r="M53" i="97"/>
  <c r="M52" i="97" s="1"/>
  <c r="M47" i="97" s="1"/>
  <c r="M55" i="97" s="1"/>
  <c r="E53" i="97"/>
  <c r="E52" i="97" s="1"/>
  <c r="E47" i="97" s="1"/>
  <c r="E55" i="97" s="1"/>
  <c r="E30" i="97"/>
  <c r="E33" i="97" s="1"/>
  <c r="X30" i="97"/>
  <c r="X33" i="97" s="1"/>
  <c r="X53" i="97"/>
  <c r="X52" i="97" s="1"/>
  <c r="X47" i="97" s="1"/>
  <c r="X55" i="97" s="1"/>
  <c r="AB53" i="97"/>
  <c r="AB52" i="97" s="1"/>
  <c r="AB47" i="97" s="1"/>
  <c r="AB55" i="97" s="1"/>
  <c r="AB30" i="97"/>
  <c r="AB33" i="97" s="1"/>
  <c r="T30" i="97"/>
  <c r="T33" i="97" s="1"/>
  <c r="T53" i="97"/>
  <c r="T52" i="97" s="1"/>
  <c r="T47" i="97" s="1"/>
  <c r="T55" i="97" s="1"/>
  <c r="V37" i="97"/>
  <c r="F37" i="97"/>
  <c r="L30" i="97"/>
  <c r="L33" i="97" s="1"/>
  <c r="L53" i="97"/>
  <c r="L52" i="97" s="1"/>
  <c r="L47" i="97" s="1"/>
  <c r="L55" i="97" s="1"/>
  <c r="K53" i="97"/>
  <c r="K52" i="97" s="1"/>
  <c r="K47" i="97" s="1"/>
  <c r="K55" i="97" s="1"/>
  <c r="K30" i="97"/>
  <c r="K33" i="97" s="1"/>
  <c r="AA37" i="97"/>
  <c r="AF53" i="97"/>
  <c r="AF52" i="97" s="1"/>
  <c r="AF47" i="97" s="1"/>
  <c r="AF55" i="97" s="1"/>
  <c r="AF30" i="97"/>
  <c r="AF33" i="97" s="1"/>
  <c r="U37" i="97"/>
  <c r="F53" i="97"/>
  <c r="F52" i="97" s="1"/>
  <c r="F47" i="97" s="1"/>
  <c r="F55" i="97" s="1"/>
  <c r="F30" i="97"/>
  <c r="F33" i="97" s="1"/>
  <c r="U15" i="101"/>
  <c r="U13" i="101" s="1"/>
  <c r="U17" i="101" s="1"/>
  <c r="U26" i="101" s="1"/>
  <c r="T25" i="110"/>
  <c r="T24" i="110"/>
  <c r="P35" i="109"/>
  <c r="P30" i="109"/>
  <c r="S27" i="98"/>
  <c r="S45" i="98" s="1"/>
  <c r="P39" i="109"/>
  <c r="P17" i="109"/>
  <c r="P21" i="109"/>
  <c r="P26" i="109"/>
  <c r="T20" i="110"/>
  <c r="T15" i="110"/>
  <c r="P8" i="109"/>
  <c r="P7" i="109" s="1"/>
  <c r="R13" i="110"/>
  <c r="R17" i="110" s="1"/>
  <c r="R26" i="110" s="1"/>
  <c r="R27" i="100"/>
  <c r="R45" i="100" s="1"/>
  <c r="S27" i="102"/>
  <c r="S45" i="102" s="1"/>
  <c r="V25" i="102"/>
  <c r="Q40" i="109"/>
  <c r="Q36" i="109"/>
  <c r="Q31" i="109"/>
  <c r="Q27" i="109"/>
  <c r="T22" i="110"/>
  <c r="Q18" i="109"/>
  <c r="R9" i="109"/>
  <c r="Q17" i="110"/>
  <c r="R12" i="109"/>
  <c r="Q22" i="109"/>
  <c r="O40" i="121"/>
  <c r="C21" i="121"/>
  <c r="D60" i="121"/>
  <c r="AH59" i="121"/>
  <c r="D22" i="121"/>
  <c r="D170" i="121"/>
  <c r="AH170" i="121" s="1"/>
  <c r="AH169" i="121"/>
  <c r="D135" i="121"/>
  <c r="AH134" i="121"/>
  <c r="C353" i="121"/>
  <c r="AH97" i="121"/>
  <c r="D98" i="121"/>
  <c r="Q8" i="121"/>
  <c r="P9" i="121"/>
  <c r="P10" i="121"/>
  <c r="C21" i="120"/>
  <c r="C353" i="120"/>
  <c r="D62" i="120"/>
  <c r="AH61" i="120"/>
  <c r="D21" i="120"/>
  <c r="AH20" i="120"/>
  <c r="D133" i="120"/>
  <c r="AH132" i="120"/>
  <c r="D97" i="120"/>
  <c r="AH96" i="120"/>
  <c r="R8" i="120"/>
  <c r="Q9" i="120"/>
  <c r="Q10" i="120"/>
  <c r="P40" i="120"/>
  <c r="R45" i="102"/>
  <c r="C354" i="119"/>
  <c r="D26" i="119"/>
  <c r="O9" i="119"/>
  <c r="P8" i="119"/>
  <c r="O10" i="119"/>
  <c r="AH58" i="119"/>
  <c r="D59" i="119"/>
  <c r="N40" i="119"/>
  <c r="E22" i="119"/>
  <c r="AH21" i="119"/>
  <c r="D97" i="119"/>
  <c r="AH96" i="119"/>
  <c r="D170" i="119"/>
  <c r="AH170" i="119" s="1"/>
  <c r="AH169" i="119"/>
  <c r="C21" i="119"/>
  <c r="AH132" i="119"/>
  <c r="D133" i="119"/>
  <c r="P40" i="118"/>
  <c r="AH23" i="118"/>
  <c r="D24" i="118"/>
  <c r="D59" i="118"/>
  <c r="AH58" i="118"/>
  <c r="Q9" i="118"/>
  <c r="R8" i="118"/>
  <c r="Q10" i="118"/>
  <c r="C22" i="118"/>
  <c r="D96" i="118"/>
  <c r="AH95" i="118"/>
  <c r="C354" i="118"/>
  <c r="AH132" i="118"/>
  <c r="D133" i="118"/>
  <c r="U14" i="102"/>
  <c r="U13" i="102" s="1"/>
  <c r="U17" i="102" s="1"/>
  <c r="U26" i="102" s="1"/>
  <c r="T27" i="101"/>
  <c r="V9" i="101"/>
  <c r="U21" i="102"/>
  <c r="R45" i="101"/>
  <c r="U21" i="101"/>
  <c r="S26" i="101"/>
  <c r="S27" i="101" s="1"/>
  <c r="G61" i="89"/>
  <c r="G60" i="89"/>
  <c r="V9" i="102"/>
  <c r="V24" i="101"/>
  <c r="V24" i="102"/>
  <c r="V22" i="101"/>
  <c r="V22" i="102"/>
  <c r="U18" i="101"/>
  <c r="U18" i="102"/>
  <c r="V23" i="101"/>
  <c r="V23" i="102"/>
  <c r="T27" i="102"/>
  <c r="V20" i="101"/>
  <c r="V20" i="102"/>
  <c r="V19" i="101"/>
  <c r="V19" i="102"/>
  <c r="V25" i="101"/>
  <c r="T18" i="98"/>
  <c r="T21" i="100"/>
  <c r="T18" i="100"/>
  <c r="U24" i="98"/>
  <c r="U24" i="100"/>
  <c r="O27" i="100"/>
  <c r="U20" i="98"/>
  <c r="U20" i="100"/>
  <c r="U22" i="100"/>
  <c r="U22" i="98"/>
  <c r="Q17" i="100"/>
  <c r="U9" i="98"/>
  <c r="U15" i="98" s="1"/>
  <c r="U9" i="100"/>
  <c r="T15" i="98"/>
  <c r="T13" i="98" s="1"/>
  <c r="T17" i="98" s="1"/>
  <c r="T26" i="98" s="1"/>
  <c r="U23" i="100"/>
  <c r="U23" i="98"/>
  <c r="T14" i="100"/>
  <c r="T15" i="100"/>
  <c r="U25" i="100"/>
  <c r="U25" i="98"/>
  <c r="U19" i="98"/>
  <c r="U19" i="100"/>
  <c r="S14" i="100"/>
  <c r="S15" i="100"/>
  <c r="E57" i="90"/>
  <c r="E58" i="90"/>
  <c r="E61" i="90"/>
  <c r="E59" i="90"/>
  <c r="E60" i="90"/>
  <c r="T21" i="98"/>
  <c r="F56" i="89"/>
  <c r="F54" i="89"/>
  <c r="F55" i="89"/>
  <c r="F57" i="89"/>
  <c r="F59" i="89"/>
  <c r="F58" i="89"/>
  <c r="P45" i="98"/>
  <c r="R17" i="98"/>
  <c r="E62" i="90"/>
  <c r="E56" i="90"/>
  <c r="G52" i="90"/>
  <c r="F53" i="90"/>
  <c r="F54" i="90" s="1"/>
  <c r="C37" i="94"/>
  <c r="G47" i="97"/>
  <c r="G55" i="94"/>
  <c r="G67" i="61"/>
  <c r="G28" i="61"/>
  <c r="AL18" i="129" l="1"/>
  <c r="H20" i="129"/>
  <c r="AH19" i="129"/>
  <c r="G47" i="107"/>
  <c r="AG52" i="107"/>
  <c r="AG30" i="108"/>
  <c r="G33" i="108"/>
  <c r="AG33" i="108" s="1"/>
  <c r="AG53" i="108"/>
  <c r="G52" i="108"/>
  <c r="H20" i="121"/>
  <c r="AH19" i="121"/>
  <c r="T18" i="110"/>
  <c r="O40" i="119"/>
  <c r="D52" i="97"/>
  <c r="AG53" i="97"/>
  <c r="D33" i="97"/>
  <c r="AG30" i="97"/>
  <c r="C55" i="97"/>
  <c r="AG45" i="97"/>
  <c r="C33" i="97"/>
  <c r="C36" i="97"/>
  <c r="C39" i="97"/>
  <c r="B39" i="97" s="1"/>
  <c r="C35" i="97"/>
  <c r="AG29" i="97"/>
  <c r="U25" i="110"/>
  <c r="U22" i="110"/>
  <c r="U23" i="110"/>
  <c r="U24" i="110"/>
  <c r="Q21" i="109"/>
  <c r="Q17" i="109"/>
  <c r="Q30" i="109"/>
  <c r="Q35" i="109"/>
  <c r="Q39" i="109"/>
  <c r="Q26" i="109"/>
  <c r="T27" i="98"/>
  <c r="T45" i="98" s="1"/>
  <c r="Q8" i="109"/>
  <c r="Q7" i="109" s="1"/>
  <c r="S15" i="110"/>
  <c r="S14" i="110"/>
  <c r="S13" i="100"/>
  <c r="S17" i="100" s="1"/>
  <c r="S26" i="100" s="1"/>
  <c r="S27" i="100" s="1"/>
  <c r="S45" i="100" s="1"/>
  <c r="T14" i="110"/>
  <c r="T13" i="110" s="1"/>
  <c r="U15" i="110"/>
  <c r="R27" i="110"/>
  <c r="R45" i="110" s="1"/>
  <c r="T45" i="101"/>
  <c r="U20" i="110"/>
  <c r="R31" i="109"/>
  <c r="Q26" i="110"/>
  <c r="Q27" i="110" s="1"/>
  <c r="V21" i="101"/>
  <c r="R22" i="109"/>
  <c r="R18" i="109"/>
  <c r="R27" i="109"/>
  <c r="U19" i="110"/>
  <c r="V21" i="102"/>
  <c r="T21" i="110"/>
  <c r="R36" i="109"/>
  <c r="S9" i="109"/>
  <c r="R40" i="109"/>
  <c r="V18" i="102"/>
  <c r="S12" i="109"/>
  <c r="AH135" i="121"/>
  <c r="D136" i="121"/>
  <c r="AH136" i="121" s="1"/>
  <c r="P40" i="121"/>
  <c r="C22" i="121"/>
  <c r="D23" i="121"/>
  <c r="Q9" i="121"/>
  <c r="R8" i="121"/>
  <c r="Q10" i="121"/>
  <c r="D61" i="121"/>
  <c r="AH60" i="121"/>
  <c r="AH98" i="121"/>
  <c r="D99" i="121"/>
  <c r="C354" i="121"/>
  <c r="AH97" i="120"/>
  <c r="D98" i="120"/>
  <c r="D22" i="120"/>
  <c r="AH21" i="120"/>
  <c r="AH62" i="120"/>
  <c r="D63" i="120"/>
  <c r="R9" i="120"/>
  <c r="S8" i="120"/>
  <c r="R10" i="120"/>
  <c r="C354" i="120"/>
  <c r="Q40" i="120"/>
  <c r="AH133" i="120"/>
  <c r="D134" i="120"/>
  <c r="C22" i="120"/>
  <c r="D134" i="119"/>
  <c r="AH133" i="119"/>
  <c r="D27" i="119"/>
  <c r="D60" i="119"/>
  <c r="AH59" i="119"/>
  <c r="C22" i="119"/>
  <c r="P9" i="119"/>
  <c r="Q8" i="119"/>
  <c r="P10" i="119"/>
  <c r="AH97" i="119"/>
  <c r="D98" i="119"/>
  <c r="C355" i="119"/>
  <c r="E23" i="119"/>
  <c r="AH22" i="119"/>
  <c r="S8" i="118"/>
  <c r="R9" i="118"/>
  <c r="R10" i="118"/>
  <c r="Q40" i="118"/>
  <c r="D97" i="118"/>
  <c r="AH96" i="118"/>
  <c r="AH133" i="118"/>
  <c r="D134" i="118"/>
  <c r="C355" i="118"/>
  <c r="C23" i="118"/>
  <c r="D60" i="118"/>
  <c r="AH59" i="118"/>
  <c r="AH24" i="118"/>
  <c r="D25" i="118"/>
  <c r="U27" i="101"/>
  <c r="U45" i="101" s="1"/>
  <c r="W9" i="102"/>
  <c r="W15" i="102" s="1"/>
  <c r="S45" i="101"/>
  <c r="W9" i="101"/>
  <c r="V14" i="102"/>
  <c r="V15" i="102"/>
  <c r="H60" i="89"/>
  <c r="H61" i="89"/>
  <c r="V14" i="101"/>
  <c r="V15" i="101"/>
  <c r="W20" i="101"/>
  <c r="W20" i="102"/>
  <c r="U27" i="102"/>
  <c r="W24" i="101"/>
  <c r="W24" i="102"/>
  <c r="W25" i="101"/>
  <c r="W25" i="102"/>
  <c r="W23" i="101"/>
  <c r="W23" i="102"/>
  <c r="W19" i="101"/>
  <c r="W19" i="102"/>
  <c r="W22" i="101"/>
  <c r="W22" i="102"/>
  <c r="V18" i="101"/>
  <c r="T45" i="102"/>
  <c r="U18" i="98"/>
  <c r="V22" i="100"/>
  <c r="V22" i="98"/>
  <c r="U14" i="98"/>
  <c r="U13" i="98" s="1"/>
  <c r="U21" i="100"/>
  <c r="V20" i="98"/>
  <c r="V20" i="100"/>
  <c r="Q26" i="100"/>
  <c r="U21" i="98"/>
  <c r="T13" i="100"/>
  <c r="F59" i="90"/>
  <c r="F61" i="90"/>
  <c r="F58" i="90"/>
  <c r="F57" i="90"/>
  <c r="F60" i="90"/>
  <c r="O45" i="100"/>
  <c r="V19" i="98"/>
  <c r="V19" i="100"/>
  <c r="V24" i="98"/>
  <c r="V24" i="100"/>
  <c r="V9" i="98"/>
  <c r="V15" i="98" s="1"/>
  <c r="V9" i="100"/>
  <c r="V23" i="100"/>
  <c r="V23" i="98"/>
  <c r="V25" i="100"/>
  <c r="V25" i="98"/>
  <c r="U18" i="100"/>
  <c r="U14" i="100"/>
  <c r="U15" i="100"/>
  <c r="G55" i="89"/>
  <c r="G54" i="89"/>
  <c r="G56" i="89"/>
  <c r="G57" i="89"/>
  <c r="G59" i="89"/>
  <c r="G58" i="89"/>
  <c r="R26" i="98"/>
  <c r="F56" i="90"/>
  <c r="F62" i="90"/>
  <c r="H52" i="90"/>
  <c r="G53" i="90"/>
  <c r="G54" i="90" s="1"/>
  <c r="G55" i="97"/>
  <c r="M38" i="61"/>
  <c r="AH351" i="129" l="1"/>
  <c r="AL19" i="129"/>
  <c r="H21" i="129"/>
  <c r="AH20" i="129"/>
  <c r="C37" i="97"/>
  <c r="V19" i="110"/>
  <c r="G47" i="108"/>
  <c r="AG52" i="108"/>
  <c r="AG47" i="107"/>
  <c r="G55" i="107"/>
  <c r="H21" i="121"/>
  <c r="AH20" i="121"/>
  <c r="U14" i="110"/>
  <c r="U13" i="110" s="1"/>
  <c r="U17" i="110" s="1"/>
  <c r="AG33" i="97"/>
  <c r="D47" i="97"/>
  <c r="AG52" i="97"/>
  <c r="U21" i="110"/>
  <c r="R21" i="109"/>
  <c r="R26" i="109"/>
  <c r="V20" i="110"/>
  <c r="R30" i="109"/>
  <c r="R39" i="109"/>
  <c r="V22" i="110"/>
  <c r="R17" i="109"/>
  <c r="R35" i="109"/>
  <c r="V15" i="110"/>
  <c r="R8" i="109"/>
  <c r="R7" i="109" s="1"/>
  <c r="S13" i="110"/>
  <c r="S17" i="110" s="1"/>
  <c r="T12" i="109"/>
  <c r="V23" i="110"/>
  <c r="S36" i="109"/>
  <c r="S27" i="109"/>
  <c r="U18" i="110"/>
  <c r="Q45" i="110"/>
  <c r="V24" i="110"/>
  <c r="X25" i="102"/>
  <c r="S40" i="109"/>
  <c r="S31" i="109"/>
  <c r="S18" i="109"/>
  <c r="S22" i="109"/>
  <c r="T9" i="109"/>
  <c r="V25" i="110"/>
  <c r="T17" i="110"/>
  <c r="R10" i="121"/>
  <c r="R9" i="121"/>
  <c r="S8" i="121"/>
  <c r="C23" i="121"/>
  <c r="D62" i="121"/>
  <c r="AH61" i="121"/>
  <c r="Q40" i="121"/>
  <c r="D24" i="121"/>
  <c r="C355" i="121"/>
  <c r="D100" i="121"/>
  <c r="AH99" i="121"/>
  <c r="R40" i="120"/>
  <c r="C23" i="120"/>
  <c r="AH22" i="120"/>
  <c r="D23" i="120"/>
  <c r="D135" i="120"/>
  <c r="AH134" i="120"/>
  <c r="D99" i="120"/>
  <c r="AH98" i="120"/>
  <c r="C355" i="120"/>
  <c r="T8" i="120"/>
  <c r="S10" i="120"/>
  <c r="S9" i="120"/>
  <c r="D64" i="120"/>
  <c r="AH63" i="120"/>
  <c r="C23" i="119"/>
  <c r="D99" i="119"/>
  <c r="AH98" i="119"/>
  <c r="D61" i="119"/>
  <c r="AH60" i="119"/>
  <c r="E24" i="119"/>
  <c r="AH23" i="119"/>
  <c r="C356" i="119"/>
  <c r="Q9" i="119"/>
  <c r="R8" i="119"/>
  <c r="Q10" i="119"/>
  <c r="D28" i="119"/>
  <c r="P40" i="119"/>
  <c r="D135" i="119"/>
  <c r="AH134" i="119"/>
  <c r="S9" i="118"/>
  <c r="T8" i="118"/>
  <c r="S10" i="118"/>
  <c r="C24" i="118"/>
  <c r="D26" i="118"/>
  <c r="AH25" i="118"/>
  <c r="C356" i="118"/>
  <c r="D98" i="118"/>
  <c r="AH97" i="118"/>
  <c r="D135" i="118"/>
  <c r="AH134" i="118"/>
  <c r="AH60" i="118"/>
  <c r="D61" i="118"/>
  <c r="R40" i="118"/>
  <c r="W14" i="102"/>
  <c r="W13" i="102" s="1"/>
  <c r="W17" i="102" s="1"/>
  <c r="W26" i="102" s="1"/>
  <c r="V13" i="101"/>
  <c r="V17" i="101" s="1"/>
  <c r="V26" i="101" s="1"/>
  <c r="I61" i="89"/>
  <c r="I60" i="89"/>
  <c r="X9" i="102"/>
  <c r="X9" i="101"/>
  <c r="W18" i="102"/>
  <c r="V13" i="102"/>
  <c r="V17" i="102" s="1"/>
  <c r="W15" i="101"/>
  <c r="W14" i="101"/>
  <c r="W21" i="102"/>
  <c r="X24" i="101"/>
  <c r="X24" i="102"/>
  <c r="W18" i="101"/>
  <c r="X23" i="101"/>
  <c r="X23" i="102"/>
  <c r="X22" i="101"/>
  <c r="X22" i="102"/>
  <c r="W21" i="101"/>
  <c r="X19" i="101"/>
  <c r="X19" i="102"/>
  <c r="U45" i="102"/>
  <c r="X20" i="101"/>
  <c r="X20" i="102"/>
  <c r="X25" i="101"/>
  <c r="V18" i="98"/>
  <c r="W19" i="100"/>
  <c r="W19" i="98"/>
  <c r="Q27" i="100"/>
  <c r="V14" i="98"/>
  <c r="V13" i="98" s="1"/>
  <c r="V17" i="98" s="1"/>
  <c r="V26" i="98" s="1"/>
  <c r="W20" i="98"/>
  <c r="W20" i="100"/>
  <c r="W18" i="100" s="1"/>
  <c r="W25" i="100"/>
  <c r="W25" i="98"/>
  <c r="G58" i="90"/>
  <c r="G59" i="90"/>
  <c r="G61" i="90"/>
  <c r="G57" i="90"/>
  <c r="G60" i="90"/>
  <c r="W24" i="100"/>
  <c r="W24" i="98"/>
  <c r="U13" i="100"/>
  <c r="U17" i="100" s="1"/>
  <c r="U26" i="100" s="1"/>
  <c r="U27" i="100" s="1"/>
  <c r="W22" i="98"/>
  <c r="W22" i="100"/>
  <c r="V21" i="98"/>
  <c r="V18" i="100"/>
  <c r="W23" i="100"/>
  <c r="W23" i="98"/>
  <c r="T17" i="100"/>
  <c r="W9" i="98"/>
  <c r="W15" i="98" s="1"/>
  <c r="W9" i="100"/>
  <c r="V14" i="100"/>
  <c r="V15" i="100"/>
  <c r="V21" i="100"/>
  <c r="H55" i="89"/>
  <c r="H54" i="89"/>
  <c r="H56" i="89"/>
  <c r="H57" i="89"/>
  <c r="H58" i="89"/>
  <c r="H59" i="89"/>
  <c r="R27" i="98"/>
  <c r="U17" i="98"/>
  <c r="G56" i="90"/>
  <c r="G62" i="90"/>
  <c r="B69" i="90"/>
  <c r="H53" i="90"/>
  <c r="H54" i="90" s="1"/>
  <c r="AH352" i="129" l="1"/>
  <c r="AL20" i="129"/>
  <c r="H22" i="129"/>
  <c r="AH21" i="129"/>
  <c r="V18" i="110"/>
  <c r="C56" i="107"/>
  <c r="F14" i="85" s="1"/>
  <c r="AG55" i="107"/>
  <c r="AG47" i="108"/>
  <c r="G55" i="108"/>
  <c r="H22" i="121"/>
  <c r="AH21" i="121"/>
  <c r="W13" i="101"/>
  <c r="W17" i="101" s="1"/>
  <c r="W26" i="101" s="1"/>
  <c r="D55" i="97"/>
  <c r="AG47" i="97"/>
  <c r="W22" i="110"/>
  <c r="W20" i="110"/>
  <c r="W24" i="110"/>
  <c r="W25" i="110"/>
  <c r="W23" i="110"/>
  <c r="S17" i="109"/>
  <c r="S21" i="109"/>
  <c r="S39" i="109"/>
  <c r="S35" i="109"/>
  <c r="S30" i="109"/>
  <c r="S26" i="109"/>
  <c r="S26" i="110"/>
  <c r="S27" i="110" s="1"/>
  <c r="S45" i="110" s="1"/>
  <c r="W14" i="110"/>
  <c r="V14" i="110"/>
  <c r="V13" i="110" s="1"/>
  <c r="S8" i="109"/>
  <c r="S7" i="109" s="1"/>
  <c r="T22" i="109"/>
  <c r="V21" i="110"/>
  <c r="U26" i="110"/>
  <c r="U27" i="110" s="1"/>
  <c r="U45" i="110" s="1"/>
  <c r="T26" i="110"/>
  <c r="T27" i="110" s="1"/>
  <c r="W19" i="110"/>
  <c r="T27" i="109"/>
  <c r="T18" i="109"/>
  <c r="T40" i="109"/>
  <c r="T36" i="109"/>
  <c r="U9" i="109"/>
  <c r="T31" i="109"/>
  <c r="U12" i="109"/>
  <c r="R40" i="121"/>
  <c r="S40" i="120"/>
  <c r="D63" i="121"/>
  <c r="AH62" i="121"/>
  <c r="D25" i="121"/>
  <c r="C24" i="121"/>
  <c r="S9" i="121"/>
  <c r="T8" i="121"/>
  <c r="S10" i="121"/>
  <c r="C356" i="121"/>
  <c r="D101" i="121"/>
  <c r="AH100" i="121"/>
  <c r="D24" i="120"/>
  <c r="AH23" i="120"/>
  <c r="C356" i="120"/>
  <c r="AH64" i="120"/>
  <c r="D65" i="120"/>
  <c r="AH99" i="120"/>
  <c r="D100" i="120"/>
  <c r="T10" i="120"/>
  <c r="U8" i="120"/>
  <c r="T9" i="120"/>
  <c r="T40" i="120" s="1"/>
  <c r="AH135" i="120"/>
  <c r="D136" i="120"/>
  <c r="AH136" i="120" s="1"/>
  <c r="C24" i="120"/>
  <c r="Q40" i="119"/>
  <c r="C357" i="119"/>
  <c r="D136" i="119"/>
  <c r="AH136" i="119" s="1"/>
  <c r="AH135" i="119"/>
  <c r="D62" i="119"/>
  <c r="AH61" i="119"/>
  <c r="D29" i="119"/>
  <c r="D100" i="119"/>
  <c r="AH99" i="119"/>
  <c r="R9" i="119"/>
  <c r="S8" i="119"/>
  <c r="R10" i="119"/>
  <c r="C24" i="119"/>
  <c r="E25" i="119"/>
  <c r="AH24" i="119"/>
  <c r="C357" i="118"/>
  <c r="C25" i="118"/>
  <c r="D27" i="118"/>
  <c r="AH26" i="118"/>
  <c r="AH135" i="118"/>
  <c r="D136" i="118"/>
  <c r="AH136" i="118" s="1"/>
  <c r="U8" i="118"/>
  <c r="T9" i="118"/>
  <c r="T10" i="118"/>
  <c r="S40" i="118"/>
  <c r="D62" i="118"/>
  <c r="AH61" i="118"/>
  <c r="AH98" i="118"/>
  <c r="D99" i="118"/>
  <c r="W27" i="102"/>
  <c r="X18" i="101"/>
  <c r="V27" i="101"/>
  <c r="Y9" i="101"/>
  <c r="B75" i="89"/>
  <c r="B76" i="89"/>
  <c r="X14" i="101"/>
  <c r="X15" i="101"/>
  <c r="X14" i="102"/>
  <c r="X15" i="102"/>
  <c r="V26" i="102"/>
  <c r="V27" i="102" s="1"/>
  <c r="Y9" i="102"/>
  <c r="Y23" i="101"/>
  <c r="Y23" i="102"/>
  <c r="Y20" i="101"/>
  <c r="Y20" i="102"/>
  <c r="Y24" i="101"/>
  <c r="Y24" i="102"/>
  <c r="Y22" i="101"/>
  <c r="Y22" i="102"/>
  <c r="Y19" i="101"/>
  <c r="Y19" i="102"/>
  <c r="X21" i="101"/>
  <c r="X18" i="102"/>
  <c r="Y25" i="101"/>
  <c r="Y25" i="102"/>
  <c r="X21" i="102"/>
  <c r="W21" i="98"/>
  <c r="X22" i="98"/>
  <c r="X22" i="100"/>
  <c r="V13" i="100"/>
  <c r="V17" i="100" s="1"/>
  <c r="V26" i="100" s="1"/>
  <c r="V27" i="100" s="1"/>
  <c r="W15" i="100"/>
  <c r="W14" i="100"/>
  <c r="H57" i="90"/>
  <c r="H61" i="90"/>
  <c r="H58" i="90"/>
  <c r="H59" i="90"/>
  <c r="H60" i="90"/>
  <c r="T26" i="100"/>
  <c r="X9" i="98"/>
  <c r="X14" i="98" s="1"/>
  <c r="X9" i="100"/>
  <c r="X20" i="100"/>
  <c r="X20" i="98"/>
  <c r="X25" i="98"/>
  <c r="X25" i="100"/>
  <c r="W18" i="98"/>
  <c r="U45" i="100"/>
  <c r="W14" i="98"/>
  <c r="W13" i="98" s="1"/>
  <c r="W17" i="98" s="1"/>
  <c r="W26" i="98" s="1"/>
  <c r="X24" i="98"/>
  <c r="X24" i="100"/>
  <c r="X19" i="98"/>
  <c r="X19" i="100"/>
  <c r="W21" i="100"/>
  <c r="Q45" i="100"/>
  <c r="X23" i="100"/>
  <c r="X23" i="98"/>
  <c r="I55" i="89"/>
  <c r="I56" i="89"/>
  <c r="I54" i="89"/>
  <c r="I57" i="89"/>
  <c r="I58" i="89"/>
  <c r="I59" i="89"/>
  <c r="V27" i="98"/>
  <c r="V45" i="98" s="1"/>
  <c r="U26" i="98"/>
  <c r="R45" i="98"/>
  <c r="H62" i="90"/>
  <c r="H56" i="90"/>
  <c r="C69" i="90"/>
  <c r="B70" i="90"/>
  <c r="B71" i="90" s="1"/>
  <c r="K38" i="72"/>
  <c r="K17" i="72"/>
  <c r="K36" i="72"/>
  <c r="K16" i="72"/>
  <c r="K18" i="72"/>
  <c r="K24" i="72"/>
  <c r="I7" i="72"/>
  <c r="K32" i="72"/>
  <c r="AL21" i="129" l="1"/>
  <c r="AH353" i="129"/>
  <c r="H23" i="129"/>
  <c r="AH22" i="129"/>
  <c r="X15" i="98"/>
  <c r="X13" i="98" s="1"/>
  <c r="X17" i="98" s="1"/>
  <c r="X26" i="98" s="1"/>
  <c r="AG55" i="108"/>
  <c r="C56" i="108"/>
  <c r="C60" i="107"/>
  <c r="H23" i="121"/>
  <c r="AH22" i="121"/>
  <c r="W27" i="101"/>
  <c r="W45" i="101" s="1"/>
  <c r="C56" i="97"/>
  <c r="AG55" i="97"/>
  <c r="W21" i="110"/>
  <c r="X19" i="110"/>
  <c r="X22" i="110"/>
  <c r="X25" i="110"/>
  <c r="X23" i="110"/>
  <c r="X20" i="110"/>
  <c r="X24" i="110"/>
  <c r="T17" i="109"/>
  <c r="T39" i="109"/>
  <c r="T21" i="109"/>
  <c r="T35" i="109"/>
  <c r="T30" i="109"/>
  <c r="T26" i="109"/>
  <c r="W15" i="110"/>
  <c r="W13" i="110" s="1"/>
  <c r="W17" i="110" s="1"/>
  <c r="W26" i="110" s="1"/>
  <c r="T8" i="109"/>
  <c r="T7" i="109" s="1"/>
  <c r="V12" i="109"/>
  <c r="V17" i="110"/>
  <c r="U40" i="109"/>
  <c r="U36" i="109"/>
  <c r="U31" i="109"/>
  <c r="U18" i="109"/>
  <c r="V9" i="109"/>
  <c r="W18" i="110"/>
  <c r="T45" i="110"/>
  <c r="U27" i="109"/>
  <c r="U22" i="109"/>
  <c r="D26" i="121"/>
  <c r="T9" i="121"/>
  <c r="T10" i="121"/>
  <c r="U8" i="121"/>
  <c r="S40" i="121"/>
  <c r="AH63" i="121"/>
  <c r="D64" i="121"/>
  <c r="D102" i="121"/>
  <c r="AH101" i="121"/>
  <c r="C357" i="121"/>
  <c r="C25" i="121"/>
  <c r="U9" i="120"/>
  <c r="V8" i="120"/>
  <c r="U10" i="120"/>
  <c r="D101" i="120"/>
  <c r="AH100" i="120"/>
  <c r="C25" i="120"/>
  <c r="C357" i="120"/>
  <c r="AH24" i="120"/>
  <c r="D25" i="120"/>
  <c r="AH65" i="120"/>
  <c r="D66" i="120"/>
  <c r="R40" i="119"/>
  <c r="D101" i="119"/>
  <c r="AH100" i="119"/>
  <c r="D63" i="119"/>
  <c r="AH62" i="119"/>
  <c r="D30" i="119"/>
  <c r="E26" i="119"/>
  <c r="AH25" i="119"/>
  <c r="C25" i="119"/>
  <c r="C358" i="119"/>
  <c r="S9" i="119"/>
  <c r="T8" i="119"/>
  <c r="S10" i="119"/>
  <c r="W13" i="100"/>
  <c r="W17" i="100" s="1"/>
  <c r="W26" i="100" s="1"/>
  <c r="AH99" i="118"/>
  <c r="D100" i="118"/>
  <c r="D28" i="118"/>
  <c r="AH27" i="118"/>
  <c r="T40" i="118"/>
  <c r="C26" i="118"/>
  <c r="D63" i="118"/>
  <c r="AH62" i="118"/>
  <c r="C358" i="118"/>
  <c r="U9" i="118"/>
  <c r="V8" i="118"/>
  <c r="U10" i="118"/>
  <c r="W45" i="102"/>
  <c r="Y21" i="101"/>
  <c r="X13" i="102"/>
  <c r="X17" i="102" s="1"/>
  <c r="X26" i="102" s="1"/>
  <c r="V45" i="101"/>
  <c r="Y18" i="102"/>
  <c r="Y18" i="101"/>
  <c r="Y15" i="102"/>
  <c r="Y14" i="102"/>
  <c r="V45" i="102"/>
  <c r="Z9" i="102"/>
  <c r="Z9" i="101"/>
  <c r="X13" i="101"/>
  <c r="X17" i="101" s="1"/>
  <c r="X26" i="101" s="1"/>
  <c r="C76" i="89"/>
  <c r="C75" i="89"/>
  <c r="Y15" i="101"/>
  <c r="Y14" i="101"/>
  <c r="Y21" i="102"/>
  <c r="Z24" i="101"/>
  <c r="Z24" i="102"/>
  <c r="Z25" i="101"/>
  <c r="Z25" i="102"/>
  <c r="Z23" i="101"/>
  <c r="Z23" i="102"/>
  <c r="Z20" i="101"/>
  <c r="Z20" i="102"/>
  <c r="Z19" i="101"/>
  <c r="Z19" i="102"/>
  <c r="Z22" i="101"/>
  <c r="Z22" i="102"/>
  <c r="X18" i="98"/>
  <c r="W27" i="98"/>
  <c r="W45" i="98" s="1"/>
  <c r="Y24" i="100"/>
  <c r="Y24" i="98"/>
  <c r="X18" i="100"/>
  <c r="Y19" i="98"/>
  <c r="Y19" i="100"/>
  <c r="Y9" i="98"/>
  <c r="Y15" i="98" s="1"/>
  <c r="Y9" i="100"/>
  <c r="V45" i="100"/>
  <c r="Y20" i="100"/>
  <c r="Y20" i="98"/>
  <c r="B78" i="90"/>
  <c r="B74" i="90"/>
  <c r="B76" i="90"/>
  <c r="B75" i="90"/>
  <c r="B77" i="90"/>
  <c r="Y23" i="100"/>
  <c r="Y23" i="98"/>
  <c r="Y22" i="98"/>
  <c r="Y22" i="100"/>
  <c r="Y25" i="98"/>
  <c r="Y25" i="100"/>
  <c r="X21" i="100"/>
  <c r="X14" i="100"/>
  <c r="X15" i="100"/>
  <c r="T27" i="100"/>
  <c r="X21" i="98"/>
  <c r="B69" i="89"/>
  <c r="B70" i="89"/>
  <c r="B71" i="89"/>
  <c r="B72" i="89"/>
  <c r="B73" i="89"/>
  <c r="B74" i="89"/>
  <c r="U27" i="98"/>
  <c r="B73" i="90"/>
  <c r="B79" i="90"/>
  <c r="D69" i="90"/>
  <c r="C70" i="90"/>
  <c r="C71" i="90" s="1"/>
  <c r="K22" i="72"/>
  <c r="K25" i="72"/>
  <c r="K31" i="72"/>
  <c r="K39" i="72"/>
  <c r="K29" i="72"/>
  <c r="K30" i="72"/>
  <c r="K37" i="72"/>
  <c r="K23" i="72"/>
  <c r="K15" i="72"/>
  <c r="K11" i="72"/>
  <c r="K9" i="72"/>
  <c r="K7" i="72"/>
  <c r="K10" i="72"/>
  <c r="K8" i="72"/>
  <c r="T5" i="57"/>
  <c r="H24" i="129" l="1"/>
  <c r="AH23" i="129"/>
  <c r="AL22" i="129"/>
  <c r="AH354" i="129"/>
  <c r="G14" i="85"/>
  <c r="D5" i="108"/>
  <c r="C60" i="108"/>
  <c r="H24" i="121"/>
  <c r="AH23" i="121"/>
  <c r="X27" i="101"/>
  <c r="X45" i="101" s="1"/>
  <c r="S40" i="119"/>
  <c r="Y13" i="101"/>
  <c r="Y17" i="101" s="1"/>
  <c r="Y26" i="101" s="1"/>
  <c r="AA9" i="101"/>
  <c r="AA15" i="101" s="1"/>
  <c r="Y20" i="110"/>
  <c r="C60" i="97"/>
  <c r="D5" i="97"/>
  <c r="X18" i="110"/>
  <c r="Y23" i="110"/>
  <c r="X21" i="110"/>
  <c r="Y25" i="110"/>
  <c r="Y22" i="110"/>
  <c r="Y24" i="110"/>
  <c r="U26" i="109"/>
  <c r="U35" i="109"/>
  <c r="U30" i="109"/>
  <c r="U17" i="109"/>
  <c r="U21" i="109"/>
  <c r="Y19" i="110"/>
  <c r="U39" i="109"/>
  <c r="X14" i="110"/>
  <c r="X15" i="110"/>
  <c r="U8" i="109"/>
  <c r="U7" i="109" s="1"/>
  <c r="X13" i="100"/>
  <c r="X17" i="100" s="1"/>
  <c r="X26" i="100" s="1"/>
  <c r="W27" i="110"/>
  <c r="W45" i="110" s="1"/>
  <c r="V22" i="109"/>
  <c r="W9" i="109"/>
  <c r="V18" i="109"/>
  <c r="W12" i="109"/>
  <c r="V40" i="109"/>
  <c r="V26" i="110"/>
  <c r="V27" i="110" s="1"/>
  <c r="V36" i="109"/>
  <c r="V31" i="109"/>
  <c r="V27" i="109"/>
  <c r="C358" i="121"/>
  <c r="D65" i="121"/>
  <c r="AH64" i="121"/>
  <c r="T40" i="121"/>
  <c r="C26" i="121"/>
  <c r="D27" i="121"/>
  <c r="AH102" i="121"/>
  <c r="D103" i="121"/>
  <c r="U9" i="121"/>
  <c r="U10" i="121"/>
  <c r="V8" i="121"/>
  <c r="AH101" i="120"/>
  <c r="D102" i="120"/>
  <c r="D26" i="120"/>
  <c r="AH25" i="120"/>
  <c r="C358" i="120"/>
  <c r="V9" i="120"/>
  <c r="W8" i="120"/>
  <c r="V10" i="120"/>
  <c r="D67" i="120"/>
  <c r="AH66" i="120"/>
  <c r="U40" i="120"/>
  <c r="C26" i="120"/>
  <c r="D102" i="119"/>
  <c r="AH101" i="119"/>
  <c r="U8" i="119"/>
  <c r="T9" i="119"/>
  <c r="T10" i="119"/>
  <c r="C359" i="119"/>
  <c r="E27" i="119"/>
  <c r="AH26" i="119"/>
  <c r="D31" i="119"/>
  <c r="C26" i="119"/>
  <c r="AH63" i="119"/>
  <c r="D64" i="119"/>
  <c r="W27" i="100"/>
  <c r="W8" i="118"/>
  <c r="V9" i="118"/>
  <c r="V10" i="118"/>
  <c r="D64" i="118"/>
  <c r="AH63" i="118"/>
  <c r="D101" i="118"/>
  <c r="AH100" i="118"/>
  <c r="C27" i="118"/>
  <c r="U40" i="118"/>
  <c r="D29" i="118"/>
  <c r="AH28" i="118"/>
  <c r="C359" i="118"/>
  <c r="X27" i="102"/>
  <c r="Z18" i="102"/>
  <c r="D75" i="89"/>
  <c r="D76" i="89"/>
  <c r="Z18" i="101"/>
  <c r="Y13" i="102"/>
  <c r="Y17" i="102" s="1"/>
  <c r="Y26" i="102" s="1"/>
  <c r="Y27" i="102" s="1"/>
  <c r="Z15" i="101"/>
  <c r="Z14" i="101"/>
  <c r="Z14" i="102"/>
  <c r="Z15" i="102"/>
  <c r="AA9" i="102"/>
  <c r="Z21" i="101"/>
  <c r="AA25" i="101"/>
  <c r="AA25" i="102"/>
  <c r="AA24" i="101"/>
  <c r="AA24" i="102"/>
  <c r="Z21" i="102"/>
  <c r="AA19" i="101"/>
  <c r="AA19" i="102"/>
  <c r="AA22" i="101"/>
  <c r="AA22" i="102"/>
  <c r="AA20" i="101"/>
  <c r="AA20" i="102"/>
  <c r="AA23" i="101"/>
  <c r="AA23" i="102"/>
  <c r="Y18" i="100"/>
  <c r="Y21" i="100"/>
  <c r="Z19" i="100"/>
  <c r="Z19" i="98"/>
  <c r="Z23" i="100"/>
  <c r="Z23" i="98"/>
  <c r="C75" i="90"/>
  <c r="C76" i="90"/>
  <c r="C78" i="90"/>
  <c r="C74" i="90"/>
  <c r="C77" i="90"/>
  <c r="T45" i="100"/>
  <c r="Z24" i="100"/>
  <c r="Z24" i="98"/>
  <c r="Z22" i="100"/>
  <c r="Z22" i="98"/>
  <c r="Z20" i="100"/>
  <c r="Z20" i="98"/>
  <c r="Y14" i="98"/>
  <c r="Z25" i="98"/>
  <c r="Z25" i="100"/>
  <c r="Y15" i="100"/>
  <c r="Y14" i="100"/>
  <c r="Y18" i="98"/>
  <c r="Y21" i="98"/>
  <c r="Z9" i="98"/>
  <c r="Z15" i="98" s="1"/>
  <c r="Z9" i="100"/>
  <c r="C69" i="89"/>
  <c r="C70" i="89"/>
  <c r="C71" i="89"/>
  <c r="C72" i="89"/>
  <c r="C73" i="89"/>
  <c r="C74" i="89"/>
  <c r="Y13" i="98"/>
  <c r="Y17" i="98" s="1"/>
  <c r="Y26" i="98" s="1"/>
  <c r="X27" i="98"/>
  <c r="U45" i="98"/>
  <c r="C79" i="90"/>
  <c r="C73" i="90"/>
  <c r="E69" i="90"/>
  <c r="D70" i="90"/>
  <c r="D71" i="90" s="1"/>
  <c r="AL23" i="129" l="1"/>
  <c r="AH355" i="129"/>
  <c r="AH24" i="129"/>
  <c r="H25" i="129"/>
  <c r="H25" i="121"/>
  <c r="AH24" i="121"/>
  <c r="Y18" i="110"/>
  <c r="Y27" i="101"/>
  <c r="Y45" i="101" s="1"/>
  <c r="AA14" i="101"/>
  <c r="AA13" i="101" s="1"/>
  <c r="AA17" i="101" s="1"/>
  <c r="AA26" i="101" s="1"/>
  <c r="Z23" i="110"/>
  <c r="Z20" i="110"/>
  <c r="Z24" i="110"/>
  <c r="Y21" i="110"/>
  <c r="AA18" i="101"/>
  <c r="AB9" i="101"/>
  <c r="AB15" i="101" s="1"/>
  <c r="Z19" i="110"/>
  <c r="Z22" i="110"/>
  <c r="Z25" i="110"/>
  <c r="V35" i="109"/>
  <c r="Y27" i="98"/>
  <c r="Y45" i="98" s="1"/>
  <c r="V21" i="109"/>
  <c r="V39" i="109"/>
  <c r="V30" i="109"/>
  <c r="V26" i="109"/>
  <c r="V17" i="109"/>
  <c r="Y14" i="110"/>
  <c r="Y15" i="110"/>
  <c r="X13" i="110"/>
  <c r="X17" i="110" s="1"/>
  <c r="V8" i="109"/>
  <c r="V7" i="109" s="1"/>
  <c r="Z14" i="98"/>
  <c r="Z13" i="98" s="1"/>
  <c r="Z17" i="98" s="1"/>
  <c r="Z26" i="98" s="1"/>
  <c r="X27" i="100"/>
  <c r="X45" i="100" s="1"/>
  <c r="W31" i="109"/>
  <c r="W40" i="109"/>
  <c r="W27" i="109"/>
  <c r="X12" i="109"/>
  <c r="X9" i="109"/>
  <c r="W36" i="109"/>
  <c r="W22" i="109"/>
  <c r="V45" i="110"/>
  <c r="W18" i="109"/>
  <c r="AH65" i="121"/>
  <c r="D66" i="121"/>
  <c r="U40" i="121"/>
  <c r="V9" i="121"/>
  <c r="W8" i="121"/>
  <c r="V10" i="121"/>
  <c r="D104" i="121"/>
  <c r="AH104" i="121" s="1"/>
  <c r="AH103" i="121"/>
  <c r="C27" i="121"/>
  <c r="D28" i="121"/>
  <c r="C359" i="121"/>
  <c r="V40" i="120"/>
  <c r="W9" i="120"/>
  <c r="X8" i="120"/>
  <c r="W10" i="120"/>
  <c r="C359" i="120"/>
  <c r="C27" i="120"/>
  <c r="AH26" i="120"/>
  <c r="D27" i="120"/>
  <c r="AH102" i="120"/>
  <c r="D103" i="120"/>
  <c r="D68" i="120"/>
  <c r="AH67" i="120"/>
  <c r="D32" i="119"/>
  <c r="C360" i="119"/>
  <c r="T40" i="119"/>
  <c r="U9" i="119"/>
  <c r="U10" i="119"/>
  <c r="V8" i="119"/>
  <c r="E28" i="119"/>
  <c r="AH27" i="119"/>
  <c r="C27" i="119"/>
  <c r="D65" i="119"/>
  <c r="AH64" i="119"/>
  <c r="D103" i="119"/>
  <c r="AH102" i="119"/>
  <c r="Y13" i="100"/>
  <c r="Y17" i="100" s="1"/>
  <c r="Y26" i="100" s="1"/>
  <c r="Y27" i="100" s="1"/>
  <c r="Y45" i="100" s="1"/>
  <c r="W45" i="100"/>
  <c r="C360" i="118"/>
  <c r="D65" i="118"/>
  <c r="AH64" i="118"/>
  <c r="W9" i="118"/>
  <c r="X8" i="118"/>
  <c r="W10" i="118"/>
  <c r="AH101" i="118"/>
  <c r="D102" i="118"/>
  <c r="D30" i="118"/>
  <c r="AH29" i="118"/>
  <c r="C28" i="118"/>
  <c r="V40" i="118"/>
  <c r="X45" i="102"/>
  <c r="Y45" i="102"/>
  <c r="AA15" i="102"/>
  <c r="AA14" i="102"/>
  <c r="H66" i="89"/>
  <c r="E75" i="89"/>
  <c r="E76" i="89"/>
  <c r="AA21" i="101"/>
  <c r="Z13" i="102"/>
  <c r="Z17" i="102" s="1"/>
  <c r="Z26" i="102" s="1"/>
  <c r="Z13" i="101"/>
  <c r="Z17" i="101" s="1"/>
  <c r="Z26" i="101" s="1"/>
  <c r="Z27" i="101" s="1"/>
  <c r="AB9" i="102"/>
  <c r="AB25" i="101"/>
  <c r="AB25" i="102"/>
  <c r="AB24" i="101"/>
  <c r="AB24" i="102"/>
  <c r="AB23" i="101"/>
  <c r="AB23" i="102"/>
  <c r="AA18" i="102"/>
  <c r="AB19" i="101"/>
  <c r="AB19" i="102"/>
  <c r="AA21" i="102"/>
  <c r="AB22" i="101"/>
  <c r="AB22" i="102"/>
  <c r="AB20" i="101"/>
  <c r="AB20" i="102"/>
  <c r="Z18" i="98"/>
  <c r="D75" i="90"/>
  <c r="D78" i="90"/>
  <c r="D76" i="90"/>
  <c r="D74" i="90"/>
  <c r="D77" i="90"/>
  <c r="AA20" i="100"/>
  <c r="AA20" i="98"/>
  <c r="AA25" i="98"/>
  <c r="AA25" i="100"/>
  <c r="AA23" i="98"/>
  <c r="AA23" i="100"/>
  <c r="AA22" i="100"/>
  <c r="AA22" i="98"/>
  <c r="Z21" i="98"/>
  <c r="AA19" i="100"/>
  <c r="AA19" i="98"/>
  <c r="AA9" i="98"/>
  <c r="AA15" i="98" s="1"/>
  <c r="AA9" i="100"/>
  <c r="AA24" i="100"/>
  <c r="AA24" i="98"/>
  <c r="Z15" i="100"/>
  <c r="Z14" i="100"/>
  <c r="Z21" i="100"/>
  <c r="Z18" i="100"/>
  <c r="D70" i="89"/>
  <c r="D69" i="89"/>
  <c r="D71" i="89"/>
  <c r="D72" i="89"/>
  <c r="D73" i="89"/>
  <c r="D74" i="89"/>
  <c r="X45" i="98"/>
  <c r="D73" i="90"/>
  <c r="D79" i="90"/>
  <c r="F69" i="90"/>
  <c r="E70" i="90"/>
  <c r="E71" i="90" s="1"/>
  <c r="H26" i="129" l="1"/>
  <c r="AH25" i="129"/>
  <c r="AL24" i="129"/>
  <c r="AH356" i="129"/>
  <c r="AA18" i="100"/>
  <c r="AA14" i="98"/>
  <c r="AA13" i="98" s="1"/>
  <c r="AA17" i="98" s="1"/>
  <c r="AA26" i="98" s="1"/>
  <c r="AA18" i="98"/>
  <c r="H26" i="121"/>
  <c r="AH25" i="121"/>
  <c r="AB14" i="101"/>
  <c r="AB13" i="101" s="1"/>
  <c r="AB17" i="101" s="1"/>
  <c r="AB26" i="101" s="1"/>
  <c r="Z18" i="110"/>
  <c r="AA24" i="110"/>
  <c r="AA19" i="110"/>
  <c r="Z21" i="110"/>
  <c r="AA22" i="110"/>
  <c r="AA27" i="101"/>
  <c r="AA45" i="101" s="1"/>
  <c r="AA23" i="110"/>
  <c r="W39" i="109"/>
  <c r="W26" i="109"/>
  <c r="W17" i="109"/>
  <c r="AA25" i="110"/>
  <c r="W30" i="109"/>
  <c r="W35" i="109"/>
  <c r="AA20" i="110"/>
  <c r="W21" i="109"/>
  <c r="W8" i="109"/>
  <c r="W7" i="109" s="1"/>
  <c r="X26" i="110"/>
  <c r="X27" i="110" s="1"/>
  <c r="X45" i="110" s="1"/>
  <c r="Z15" i="110"/>
  <c r="Z14" i="110"/>
  <c r="Y13" i="110"/>
  <c r="Y17" i="110" s="1"/>
  <c r="Y26" i="110" s="1"/>
  <c r="X36" i="109"/>
  <c r="X31" i="109"/>
  <c r="X27" i="109"/>
  <c r="Y12" i="109"/>
  <c r="X40" i="109"/>
  <c r="X18" i="109"/>
  <c r="AB18" i="102"/>
  <c r="Y9" i="109"/>
  <c r="X22" i="109"/>
  <c r="D29" i="121"/>
  <c r="W9" i="121"/>
  <c r="X8" i="121"/>
  <c r="W10" i="121"/>
  <c r="C360" i="121"/>
  <c r="C28" i="121"/>
  <c r="V40" i="121"/>
  <c r="AH66" i="121"/>
  <c r="D67" i="121"/>
  <c r="W40" i="120"/>
  <c r="D69" i="120"/>
  <c r="AH68" i="120"/>
  <c r="D104" i="120"/>
  <c r="AH104" i="120" s="1"/>
  <c r="AH103" i="120"/>
  <c r="D28" i="120"/>
  <c r="AH27" i="120"/>
  <c r="C28" i="120"/>
  <c r="C360" i="120"/>
  <c r="X9" i="120"/>
  <c r="Y8" i="120"/>
  <c r="X10" i="120"/>
  <c r="E29" i="119"/>
  <c r="AH28" i="119"/>
  <c r="C28" i="119"/>
  <c r="U40" i="119"/>
  <c r="D104" i="119"/>
  <c r="AH104" i="119" s="1"/>
  <c r="AH103" i="119"/>
  <c r="D33" i="119"/>
  <c r="W8" i="119"/>
  <c r="V9" i="119"/>
  <c r="V10" i="119"/>
  <c r="D66" i="119"/>
  <c r="AH65" i="119"/>
  <c r="C361" i="119"/>
  <c r="Z13" i="100"/>
  <c r="Z17" i="100" s="1"/>
  <c r="Z26" i="100" s="1"/>
  <c r="C29" i="118"/>
  <c r="AH65" i="118"/>
  <c r="D66" i="118"/>
  <c r="C361" i="118"/>
  <c r="AH30" i="118"/>
  <c r="D31" i="118"/>
  <c r="D103" i="118"/>
  <c r="AH102" i="118"/>
  <c r="X9" i="118"/>
  <c r="Y8" i="118"/>
  <c r="X10" i="118"/>
  <c r="W40" i="118"/>
  <c r="AC9" i="102"/>
  <c r="AC14" i="102" s="1"/>
  <c r="Z45" i="101"/>
  <c r="AB21" i="101"/>
  <c r="AC9" i="101"/>
  <c r="AC14" i="101" s="1"/>
  <c r="AB18" i="101"/>
  <c r="AB15" i="102"/>
  <c r="AB14" i="102"/>
  <c r="F76" i="89"/>
  <c r="F75" i="89"/>
  <c r="G76" i="89"/>
  <c r="G75" i="89"/>
  <c r="Z27" i="102"/>
  <c r="AA13" i="102"/>
  <c r="AA17" i="102" s="1"/>
  <c r="AA26" i="102" s="1"/>
  <c r="AA27" i="102" s="1"/>
  <c r="AA45" i="102" s="1"/>
  <c r="AC24" i="101"/>
  <c r="AC24" i="102"/>
  <c r="AC22" i="101"/>
  <c r="AC22" i="102"/>
  <c r="AC25" i="101"/>
  <c r="AC25" i="102"/>
  <c r="AC23" i="101"/>
  <c r="AC23" i="102"/>
  <c r="AC19" i="101"/>
  <c r="AC19" i="102"/>
  <c r="AC20" i="101"/>
  <c r="AC20" i="102"/>
  <c r="AB21" i="102"/>
  <c r="Z27" i="98"/>
  <c r="AA21" i="100"/>
  <c r="AB23" i="98"/>
  <c r="AB23" i="100"/>
  <c r="AB19" i="100"/>
  <c r="AB19" i="98"/>
  <c r="AB24" i="100"/>
  <c r="AB24" i="98"/>
  <c r="AB9" i="98"/>
  <c r="AB14" i="98" s="1"/>
  <c r="AB9" i="100"/>
  <c r="AB25" i="98"/>
  <c r="AB25" i="100"/>
  <c r="AB22" i="100"/>
  <c r="AB22" i="98"/>
  <c r="AA15" i="100"/>
  <c r="AA14" i="100"/>
  <c r="E78" i="90"/>
  <c r="E74" i="90"/>
  <c r="E76" i="90"/>
  <c r="E75" i="90"/>
  <c r="E77" i="90"/>
  <c r="AA21" i="98"/>
  <c r="AB20" i="98"/>
  <c r="AB20" i="100"/>
  <c r="E70" i="89"/>
  <c r="E69" i="89"/>
  <c r="E71" i="89"/>
  <c r="E72" i="89"/>
  <c r="E74" i="89"/>
  <c r="E73" i="89"/>
  <c r="E79" i="90"/>
  <c r="E73" i="90"/>
  <c r="G69" i="90"/>
  <c r="F70" i="90"/>
  <c r="F71" i="90" s="1"/>
  <c r="H15" i="61"/>
  <c r="I15" i="61"/>
  <c r="J15" i="61"/>
  <c r="K15" i="61"/>
  <c r="L15" i="61"/>
  <c r="M15" i="61"/>
  <c r="N15" i="61"/>
  <c r="O15" i="61"/>
  <c r="P15" i="61"/>
  <c r="Q15" i="61"/>
  <c r="R15" i="61"/>
  <c r="S15" i="61"/>
  <c r="T15" i="61"/>
  <c r="U15" i="61"/>
  <c r="V15" i="61"/>
  <c r="W15" i="61"/>
  <c r="X15" i="61"/>
  <c r="Y15" i="61"/>
  <c r="Z15" i="61"/>
  <c r="AA15" i="61"/>
  <c r="AB15" i="61"/>
  <c r="AC15" i="61"/>
  <c r="AD15" i="61"/>
  <c r="AE15" i="61"/>
  <c r="AF15" i="61"/>
  <c r="AG15" i="61"/>
  <c r="AH15" i="61"/>
  <c r="AI15" i="61"/>
  <c r="AJ15" i="61"/>
  <c r="AK15" i="61"/>
  <c r="AL15" i="61"/>
  <c r="H22" i="61"/>
  <c r="H72" i="61" s="1"/>
  <c r="I22" i="61"/>
  <c r="I72" i="61" s="1"/>
  <c r="J22" i="61"/>
  <c r="J72" i="61" s="1"/>
  <c r="K22" i="61"/>
  <c r="K72" i="61" s="1"/>
  <c r="L22" i="61"/>
  <c r="L72" i="61" s="1"/>
  <c r="M22" i="61"/>
  <c r="M72" i="61" s="1"/>
  <c r="N22" i="61"/>
  <c r="N72" i="61" s="1"/>
  <c r="O22" i="61"/>
  <c r="O72" i="61" s="1"/>
  <c r="P22" i="61"/>
  <c r="P72" i="61" s="1"/>
  <c r="Q22" i="61"/>
  <c r="Q72" i="61" s="1"/>
  <c r="R22" i="61"/>
  <c r="R72" i="61" s="1"/>
  <c r="S22" i="61"/>
  <c r="S72" i="61" s="1"/>
  <c r="T22" i="61"/>
  <c r="T72" i="61" s="1"/>
  <c r="U22" i="61"/>
  <c r="U72" i="61" s="1"/>
  <c r="V22" i="61"/>
  <c r="V72" i="61" s="1"/>
  <c r="W22" i="61"/>
  <c r="W72" i="61" s="1"/>
  <c r="X22" i="61"/>
  <c r="X72" i="61" s="1"/>
  <c r="Y22" i="61"/>
  <c r="Y72" i="61" s="1"/>
  <c r="Z22" i="61"/>
  <c r="Z72" i="61" s="1"/>
  <c r="AA22" i="61"/>
  <c r="AA72" i="61" s="1"/>
  <c r="AB22" i="61"/>
  <c r="AB72" i="61" s="1"/>
  <c r="AC22" i="61"/>
  <c r="AC72" i="61" s="1"/>
  <c r="AD22" i="61"/>
  <c r="AD72" i="61" s="1"/>
  <c r="AE22" i="61"/>
  <c r="AE72" i="61" s="1"/>
  <c r="AF22" i="61"/>
  <c r="AF72" i="61" s="1"/>
  <c r="AG22" i="61"/>
  <c r="AG72" i="61" s="1"/>
  <c r="AH22" i="61"/>
  <c r="AH72" i="61" s="1"/>
  <c r="AI22" i="61"/>
  <c r="AI72" i="61" s="1"/>
  <c r="AJ22" i="61"/>
  <c r="AJ72" i="61" s="1"/>
  <c r="AK22" i="61"/>
  <c r="AK72" i="61" s="1"/>
  <c r="AL22" i="61"/>
  <c r="AL72" i="61" s="1"/>
  <c r="H23" i="61"/>
  <c r="I23" i="61"/>
  <c r="J23" i="61"/>
  <c r="K23" i="61"/>
  <c r="L23" i="61"/>
  <c r="M23" i="61"/>
  <c r="N23" i="61"/>
  <c r="O23" i="61"/>
  <c r="P23" i="61"/>
  <c r="Q23" i="61"/>
  <c r="R23" i="61"/>
  <c r="S23" i="61"/>
  <c r="T23" i="61"/>
  <c r="U23" i="61"/>
  <c r="V23" i="61"/>
  <c r="W23" i="61"/>
  <c r="X23" i="61"/>
  <c r="Y23" i="61"/>
  <c r="Z23" i="61"/>
  <c r="AA23" i="61"/>
  <c r="AB23" i="61"/>
  <c r="AC23" i="61"/>
  <c r="AD23" i="61"/>
  <c r="AE23" i="61"/>
  <c r="AF23" i="61"/>
  <c r="AG23" i="61"/>
  <c r="AH23" i="61"/>
  <c r="AI23" i="61"/>
  <c r="AJ23" i="61"/>
  <c r="AK23" i="61"/>
  <c r="AL23" i="61"/>
  <c r="H24" i="61"/>
  <c r="I24" i="61"/>
  <c r="D24" i="61" s="1"/>
  <c r="J24" i="61"/>
  <c r="K24" i="61"/>
  <c r="L24" i="61"/>
  <c r="M24" i="61"/>
  <c r="N24" i="61"/>
  <c r="O24" i="61"/>
  <c r="P24" i="61"/>
  <c r="Q24" i="61"/>
  <c r="R24" i="61"/>
  <c r="S24" i="61"/>
  <c r="T24" i="61"/>
  <c r="U24" i="61"/>
  <c r="V24" i="61"/>
  <c r="W24" i="61"/>
  <c r="X24" i="61"/>
  <c r="Y24" i="61"/>
  <c r="Z24" i="61"/>
  <c r="AA24" i="61"/>
  <c r="AB24" i="61"/>
  <c r="AC24" i="61"/>
  <c r="AD24" i="61"/>
  <c r="AE24" i="61"/>
  <c r="AF24" i="61"/>
  <c r="AG24" i="61"/>
  <c r="AH24" i="61"/>
  <c r="AI24" i="61"/>
  <c r="AJ24" i="61"/>
  <c r="AK24" i="61"/>
  <c r="AL24" i="61"/>
  <c r="H25" i="61"/>
  <c r="I25" i="61"/>
  <c r="J25" i="61"/>
  <c r="K25" i="61"/>
  <c r="L25" i="61"/>
  <c r="M25" i="61"/>
  <c r="N25" i="61"/>
  <c r="O25" i="61"/>
  <c r="P25" i="61"/>
  <c r="Q25" i="61"/>
  <c r="R25" i="61"/>
  <c r="S25" i="61"/>
  <c r="T25" i="61"/>
  <c r="U25" i="61"/>
  <c r="V25" i="61"/>
  <c r="W25" i="61"/>
  <c r="X25" i="61"/>
  <c r="Y25" i="61"/>
  <c r="Z25" i="61"/>
  <c r="AA25" i="61"/>
  <c r="AB25" i="61"/>
  <c r="AC25" i="61"/>
  <c r="AD25" i="61"/>
  <c r="AE25" i="61"/>
  <c r="AF25" i="61"/>
  <c r="AG25" i="61"/>
  <c r="AH25" i="61"/>
  <c r="AI25" i="61"/>
  <c r="AJ25" i="61"/>
  <c r="AK25" i="61"/>
  <c r="AL25" i="61"/>
  <c r="H27" i="61"/>
  <c r="I27" i="61"/>
  <c r="J27" i="61"/>
  <c r="K27" i="61"/>
  <c r="L27" i="61"/>
  <c r="M27" i="61"/>
  <c r="N27" i="61"/>
  <c r="O27" i="61"/>
  <c r="P27" i="61"/>
  <c r="Q27" i="61"/>
  <c r="R27" i="61"/>
  <c r="S27" i="61"/>
  <c r="T27" i="61"/>
  <c r="U27" i="61"/>
  <c r="V27" i="61"/>
  <c r="W27" i="61"/>
  <c r="X27" i="61"/>
  <c r="Y27" i="61"/>
  <c r="Z27" i="61"/>
  <c r="AA27" i="61"/>
  <c r="AB27" i="61"/>
  <c r="AC27" i="61"/>
  <c r="AD27" i="61"/>
  <c r="AE27" i="61"/>
  <c r="AF27" i="61"/>
  <c r="AG27" i="61"/>
  <c r="AH27" i="61"/>
  <c r="AI27" i="61"/>
  <c r="AJ27" i="61"/>
  <c r="AK27" i="61"/>
  <c r="AL27" i="61"/>
  <c r="H28" i="61"/>
  <c r="I28" i="61"/>
  <c r="J28" i="61"/>
  <c r="K28" i="61"/>
  <c r="L28" i="61"/>
  <c r="M28" i="61"/>
  <c r="N28" i="61"/>
  <c r="O28" i="61"/>
  <c r="P28" i="61"/>
  <c r="Q28" i="61"/>
  <c r="R28" i="61"/>
  <c r="S28" i="61"/>
  <c r="T28" i="61"/>
  <c r="U28" i="61"/>
  <c r="V28" i="61"/>
  <c r="W28" i="61"/>
  <c r="X28" i="61"/>
  <c r="Y28" i="61"/>
  <c r="Z28" i="61"/>
  <c r="AA28" i="61"/>
  <c r="AB28" i="61"/>
  <c r="AC28" i="61"/>
  <c r="AD28" i="61"/>
  <c r="AE28" i="61"/>
  <c r="AF28" i="61"/>
  <c r="AG28" i="61"/>
  <c r="AH28" i="61"/>
  <c r="AI28" i="61"/>
  <c r="AJ28" i="61"/>
  <c r="AK28" i="61"/>
  <c r="AL28" i="61"/>
  <c r="H29" i="61"/>
  <c r="I29" i="61"/>
  <c r="J29" i="61"/>
  <c r="K29" i="61"/>
  <c r="L29" i="61"/>
  <c r="M29" i="61"/>
  <c r="N29" i="61"/>
  <c r="O29" i="61"/>
  <c r="P29" i="61"/>
  <c r="Q29" i="61"/>
  <c r="R29" i="61"/>
  <c r="S29" i="61"/>
  <c r="T29" i="61"/>
  <c r="U29" i="61"/>
  <c r="V29" i="61"/>
  <c r="W29" i="61"/>
  <c r="X29" i="61"/>
  <c r="Y29" i="61"/>
  <c r="Z29" i="61"/>
  <c r="AA29" i="61"/>
  <c r="AB29" i="61"/>
  <c r="AC29" i="61"/>
  <c r="AD29" i="61"/>
  <c r="AE29" i="61"/>
  <c r="AF29" i="61"/>
  <c r="AG29" i="61"/>
  <c r="AH29" i="61"/>
  <c r="AI29" i="61"/>
  <c r="AJ29" i="61"/>
  <c r="AK29" i="61"/>
  <c r="AL29" i="61"/>
  <c r="H30" i="61"/>
  <c r="I30" i="61"/>
  <c r="J30" i="61"/>
  <c r="K30" i="61"/>
  <c r="L30" i="61"/>
  <c r="M30" i="61"/>
  <c r="N30" i="61"/>
  <c r="O30" i="61"/>
  <c r="P30" i="61"/>
  <c r="Q30" i="61"/>
  <c r="R30" i="61"/>
  <c r="S30" i="61"/>
  <c r="T30" i="61"/>
  <c r="U30" i="61"/>
  <c r="V30" i="61"/>
  <c r="W30" i="61"/>
  <c r="X30" i="61"/>
  <c r="Y30" i="61"/>
  <c r="Z30" i="61"/>
  <c r="AA30" i="61"/>
  <c r="AB30" i="61"/>
  <c r="AC30" i="61"/>
  <c r="AD30" i="61"/>
  <c r="AE30" i="61"/>
  <c r="AF30" i="61"/>
  <c r="AG30" i="61"/>
  <c r="AH30" i="61"/>
  <c r="AI30" i="61"/>
  <c r="AJ30" i="61"/>
  <c r="AK30" i="61"/>
  <c r="AL30" i="61"/>
  <c r="H31" i="61"/>
  <c r="I31" i="61"/>
  <c r="J31" i="61"/>
  <c r="K31" i="61"/>
  <c r="L31" i="61"/>
  <c r="M31" i="61"/>
  <c r="N31" i="61"/>
  <c r="O31" i="61"/>
  <c r="P31" i="61"/>
  <c r="Q31" i="61"/>
  <c r="R31" i="61"/>
  <c r="S31" i="61"/>
  <c r="T31" i="61"/>
  <c r="U31" i="61"/>
  <c r="V31" i="61"/>
  <c r="W31" i="61"/>
  <c r="X31" i="61"/>
  <c r="Y31" i="61"/>
  <c r="Z31" i="61"/>
  <c r="AA31" i="61"/>
  <c r="AB31" i="61"/>
  <c r="AC31" i="61"/>
  <c r="AD31" i="61"/>
  <c r="AE31" i="61"/>
  <c r="AF31" i="61"/>
  <c r="AG31" i="61"/>
  <c r="AH31" i="61"/>
  <c r="AI31" i="61"/>
  <c r="AJ31" i="61"/>
  <c r="AK31" i="61"/>
  <c r="AL31" i="61"/>
  <c r="H33" i="61"/>
  <c r="I33" i="61"/>
  <c r="J33" i="61"/>
  <c r="K33" i="61"/>
  <c r="K71" i="61" s="1"/>
  <c r="L33" i="61"/>
  <c r="M33" i="61"/>
  <c r="N33" i="61"/>
  <c r="O33" i="61"/>
  <c r="O71" i="61" s="1"/>
  <c r="P33" i="61"/>
  <c r="Q33" i="61"/>
  <c r="R33" i="61"/>
  <c r="S33" i="61"/>
  <c r="S71" i="61" s="1"/>
  <c r="T33" i="61"/>
  <c r="U33" i="61"/>
  <c r="V33" i="61"/>
  <c r="W33" i="61"/>
  <c r="W71" i="61" s="1"/>
  <c r="X33" i="61"/>
  <c r="Y33" i="61"/>
  <c r="Z33" i="61"/>
  <c r="AA33" i="61"/>
  <c r="AA71" i="61" s="1"/>
  <c r="AB33" i="61"/>
  <c r="AC33" i="61"/>
  <c r="AD33" i="61"/>
  <c r="AE33" i="61"/>
  <c r="AE71" i="61" s="1"/>
  <c r="AF33" i="61"/>
  <c r="AG33" i="61"/>
  <c r="AH33" i="61"/>
  <c r="AI33" i="61"/>
  <c r="AI71" i="61" s="1"/>
  <c r="AJ33" i="61"/>
  <c r="AK33" i="61"/>
  <c r="AL33" i="61"/>
  <c r="H34" i="61"/>
  <c r="I34" i="61"/>
  <c r="J34" i="61"/>
  <c r="K34" i="61"/>
  <c r="L34" i="61"/>
  <c r="M34" i="61"/>
  <c r="N34" i="61"/>
  <c r="O34" i="61"/>
  <c r="P34" i="61"/>
  <c r="Q34" i="61"/>
  <c r="R34" i="61"/>
  <c r="S34" i="61"/>
  <c r="T34" i="61"/>
  <c r="U34" i="61"/>
  <c r="V34" i="61"/>
  <c r="W34" i="61"/>
  <c r="X34" i="61"/>
  <c r="Y34" i="61"/>
  <c r="Z34" i="61"/>
  <c r="AA34" i="61"/>
  <c r="AB34" i="61"/>
  <c r="AC34" i="61"/>
  <c r="AD34" i="61"/>
  <c r="AE34" i="61"/>
  <c r="AF34" i="61"/>
  <c r="AG34" i="61"/>
  <c r="AH34" i="61"/>
  <c r="AI34" i="61"/>
  <c r="AJ34" i="61"/>
  <c r="AK34" i="61"/>
  <c r="AL34" i="61"/>
  <c r="H35" i="61"/>
  <c r="I35" i="61"/>
  <c r="J35" i="61"/>
  <c r="K35" i="61"/>
  <c r="L35" i="61"/>
  <c r="M35" i="61"/>
  <c r="N35" i="61"/>
  <c r="O35" i="61"/>
  <c r="P35" i="61"/>
  <c r="Q35" i="61"/>
  <c r="R35" i="61"/>
  <c r="S35" i="61"/>
  <c r="T35" i="61"/>
  <c r="U35" i="61"/>
  <c r="V35" i="61"/>
  <c r="W35" i="61"/>
  <c r="X35" i="61"/>
  <c r="Y35" i="61"/>
  <c r="Z35" i="61"/>
  <c r="AA35" i="61"/>
  <c r="AB35" i="61"/>
  <c r="AC35" i="61"/>
  <c r="AD35" i="61"/>
  <c r="AE35" i="61"/>
  <c r="AF35" i="61"/>
  <c r="AG35" i="61"/>
  <c r="AH35" i="61"/>
  <c r="AI35" i="61"/>
  <c r="AJ35" i="61"/>
  <c r="AK35" i="61"/>
  <c r="AL35" i="61"/>
  <c r="H36" i="61"/>
  <c r="I36" i="61"/>
  <c r="J36" i="61"/>
  <c r="K36" i="61"/>
  <c r="L36" i="61"/>
  <c r="M36" i="61"/>
  <c r="N36" i="61"/>
  <c r="O36" i="61"/>
  <c r="P36" i="61"/>
  <c r="Q36" i="61"/>
  <c r="R36" i="61"/>
  <c r="S36" i="61"/>
  <c r="T36" i="61"/>
  <c r="U36" i="61"/>
  <c r="V36" i="61"/>
  <c r="W36" i="61"/>
  <c r="X36" i="61"/>
  <c r="Y36" i="61"/>
  <c r="Z36" i="61"/>
  <c r="AA36" i="61"/>
  <c r="AB36" i="61"/>
  <c r="AC36" i="61"/>
  <c r="AD36" i="61"/>
  <c r="AE36" i="61"/>
  <c r="AF36" i="61"/>
  <c r="AG36" i="61"/>
  <c r="AH36" i="61"/>
  <c r="AI36" i="61"/>
  <c r="AJ36" i="61"/>
  <c r="AK36" i="61"/>
  <c r="AL36" i="61"/>
  <c r="H37" i="61"/>
  <c r="I37" i="61"/>
  <c r="J37" i="61"/>
  <c r="K37" i="61"/>
  <c r="L37" i="61"/>
  <c r="M37" i="61"/>
  <c r="N37" i="61"/>
  <c r="O37" i="61"/>
  <c r="P37" i="61"/>
  <c r="Q37" i="61"/>
  <c r="R37" i="61"/>
  <c r="S37" i="61"/>
  <c r="T37" i="61"/>
  <c r="U37" i="61"/>
  <c r="V37" i="61"/>
  <c r="W37" i="61"/>
  <c r="X37" i="61"/>
  <c r="Y37" i="61"/>
  <c r="Z37" i="61"/>
  <c r="AA37" i="61"/>
  <c r="AB37" i="61"/>
  <c r="AC37" i="61"/>
  <c r="AD37" i="61"/>
  <c r="AE37" i="61"/>
  <c r="AF37" i="61"/>
  <c r="AG37" i="61"/>
  <c r="AH37" i="61"/>
  <c r="AI37" i="61"/>
  <c r="AJ37" i="61"/>
  <c r="AK37" i="61"/>
  <c r="AL37" i="61"/>
  <c r="H38" i="61"/>
  <c r="I38" i="61"/>
  <c r="J38" i="61"/>
  <c r="K38" i="61"/>
  <c r="N38" i="61"/>
  <c r="O38" i="61"/>
  <c r="P38" i="61"/>
  <c r="Q38" i="61"/>
  <c r="R38" i="61"/>
  <c r="S38" i="61"/>
  <c r="T38" i="61"/>
  <c r="U38" i="61"/>
  <c r="V38" i="61"/>
  <c r="W38" i="61"/>
  <c r="X38" i="61"/>
  <c r="Y38" i="61"/>
  <c r="Z38" i="61"/>
  <c r="AA38" i="61"/>
  <c r="AB38" i="61"/>
  <c r="AC38" i="61"/>
  <c r="AD38" i="61"/>
  <c r="AE38" i="61"/>
  <c r="AF38" i="61"/>
  <c r="AG38" i="61"/>
  <c r="AH38" i="61"/>
  <c r="AI38" i="61"/>
  <c r="AJ38" i="61"/>
  <c r="AK38" i="61"/>
  <c r="AL38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H41" i="61"/>
  <c r="I41" i="61"/>
  <c r="J41" i="61"/>
  <c r="K41" i="61"/>
  <c r="L41" i="61"/>
  <c r="M41" i="61"/>
  <c r="N41" i="61"/>
  <c r="O41" i="61"/>
  <c r="P41" i="61"/>
  <c r="Q41" i="61"/>
  <c r="R41" i="61"/>
  <c r="S41" i="61"/>
  <c r="T41" i="61"/>
  <c r="U41" i="61"/>
  <c r="V41" i="61"/>
  <c r="W41" i="61"/>
  <c r="X41" i="61"/>
  <c r="Y41" i="61"/>
  <c r="Z41" i="61"/>
  <c r="AA41" i="61"/>
  <c r="AB41" i="61"/>
  <c r="AC41" i="61"/>
  <c r="AD41" i="61"/>
  <c r="AE41" i="61"/>
  <c r="AF41" i="61"/>
  <c r="AG41" i="61"/>
  <c r="AH41" i="61"/>
  <c r="AI41" i="61"/>
  <c r="AJ41" i="61"/>
  <c r="AK41" i="61"/>
  <c r="AL41" i="61"/>
  <c r="H42" i="61"/>
  <c r="I42" i="61"/>
  <c r="J42" i="61"/>
  <c r="K42" i="61"/>
  <c r="L42" i="61"/>
  <c r="M42" i="61"/>
  <c r="N42" i="61"/>
  <c r="O42" i="61"/>
  <c r="P42" i="61"/>
  <c r="Q42" i="61"/>
  <c r="R42" i="61"/>
  <c r="S42" i="61"/>
  <c r="T42" i="61"/>
  <c r="U42" i="61"/>
  <c r="V42" i="61"/>
  <c r="W42" i="61"/>
  <c r="X42" i="61"/>
  <c r="Y42" i="61"/>
  <c r="Z42" i="61"/>
  <c r="AA42" i="61"/>
  <c r="AB42" i="61"/>
  <c r="AC42" i="61"/>
  <c r="AD42" i="61"/>
  <c r="AE42" i="61"/>
  <c r="AF42" i="61"/>
  <c r="AG42" i="61"/>
  <c r="AH42" i="61"/>
  <c r="AI42" i="61"/>
  <c r="AJ42" i="61"/>
  <c r="AK42" i="61"/>
  <c r="AL42" i="61"/>
  <c r="H43" i="61"/>
  <c r="I43" i="61"/>
  <c r="J43" i="61"/>
  <c r="K43" i="61"/>
  <c r="L43" i="61"/>
  <c r="M43" i="61"/>
  <c r="N43" i="61"/>
  <c r="O43" i="61"/>
  <c r="P43" i="61"/>
  <c r="Q43" i="61"/>
  <c r="R43" i="61"/>
  <c r="S43" i="61"/>
  <c r="T43" i="61"/>
  <c r="U43" i="61"/>
  <c r="V43" i="61"/>
  <c r="W43" i="61"/>
  <c r="X43" i="61"/>
  <c r="Y43" i="61"/>
  <c r="Z43" i="61"/>
  <c r="AA43" i="61"/>
  <c r="AB43" i="61"/>
  <c r="AC43" i="61"/>
  <c r="AD43" i="61"/>
  <c r="AE43" i="61"/>
  <c r="AF43" i="61"/>
  <c r="AG43" i="61"/>
  <c r="AH43" i="61"/>
  <c r="AI43" i="61"/>
  <c r="AJ43" i="61"/>
  <c r="AK43" i="61"/>
  <c r="AL43" i="61"/>
  <c r="H44" i="61"/>
  <c r="I44" i="61"/>
  <c r="J44" i="61"/>
  <c r="K44" i="61"/>
  <c r="L44" i="61"/>
  <c r="M44" i="61"/>
  <c r="N44" i="61"/>
  <c r="O44" i="61"/>
  <c r="P44" i="61"/>
  <c r="Q44" i="61"/>
  <c r="R44" i="61"/>
  <c r="S44" i="61"/>
  <c r="T44" i="61"/>
  <c r="U44" i="61"/>
  <c r="V44" i="61"/>
  <c r="W44" i="61"/>
  <c r="X44" i="61"/>
  <c r="Y44" i="61"/>
  <c r="Z44" i="61"/>
  <c r="AA44" i="61"/>
  <c r="AB44" i="61"/>
  <c r="AC44" i="61"/>
  <c r="AD44" i="61"/>
  <c r="AE44" i="61"/>
  <c r="AF44" i="61"/>
  <c r="AG44" i="61"/>
  <c r="AH44" i="61"/>
  <c r="AI44" i="61"/>
  <c r="AJ44" i="61"/>
  <c r="AK44" i="61"/>
  <c r="AL44" i="61"/>
  <c r="H47" i="61"/>
  <c r="I47" i="61"/>
  <c r="J47" i="61"/>
  <c r="K47" i="61"/>
  <c r="L47" i="61"/>
  <c r="M47" i="61"/>
  <c r="N47" i="61"/>
  <c r="O47" i="61"/>
  <c r="P47" i="61"/>
  <c r="Q47" i="61"/>
  <c r="R47" i="61"/>
  <c r="S47" i="61"/>
  <c r="T47" i="61"/>
  <c r="U47" i="61"/>
  <c r="V47" i="61"/>
  <c r="W47" i="61"/>
  <c r="X47" i="61"/>
  <c r="Y47" i="61"/>
  <c r="Z47" i="61"/>
  <c r="AA47" i="61"/>
  <c r="AB47" i="61"/>
  <c r="AC47" i="61"/>
  <c r="AD47" i="61"/>
  <c r="AE47" i="61"/>
  <c r="AF47" i="61"/>
  <c r="AG47" i="61"/>
  <c r="AH47" i="61"/>
  <c r="AI47" i="61"/>
  <c r="AJ47" i="61"/>
  <c r="AK47" i="61"/>
  <c r="AL47" i="61"/>
  <c r="H52" i="61"/>
  <c r="I52" i="61"/>
  <c r="J52" i="61"/>
  <c r="K52" i="61"/>
  <c r="L52" i="61"/>
  <c r="M52" i="61"/>
  <c r="N52" i="61"/>
  <c r="O52" i="61"/>
  <c r="P52" i="61"/>
  <c r="Q52" i="61"/>
  <c r="R52" i="61"/>
  <c r="S52" i="61"/>
  <c r="T52" i="61"/>
  <c r="U52" i="61"/>
  <c r="V52" i="61"/>
  <c r="W52" i="61"/>
  <c r="X52" i="61"/>
  <c r="Y52" i="61"/>
  <c r="Z52" i="61"/>
  <c r="AA52" i="61"/>
  <c r="AB52" i="61"/>
  <c r="AC52" i="61"/>
  <c r="AD52" i="61"/>
  <c r="AE52" i="61"/>
  <c r="AF52" i="61"/>
  <c r="AG52" i="61"/>
  <c r="AH52" i="61"/>
  <c r="AI52" i="61"/>
  <c r="AJ52" i="61"/>
  <c r="AK52" i="61"/>
  <c r="AL52" i="61"/>
  <c r="H58" i="61"/>
  <c r="I58" i="61"/>
  <c r="J58" i="61"/>
  <c r="K58" i="61"/>
  <c r="L58" i="61"/>
  <c r="M58" i="61"/>
  <c r="N58" i="61"/>
  <c r="O58" i="61"/>
  <c r="P58" i="61"/>
  <c r="Q58" i="61"/>
  <c r="R58" i="61"/>
  <c r="S58" i="61"/>
  <c r="T58" i="61"/>
  <c r="U58" i="61"/>
  <c r="V58" i="61"/>
  <c r="W58" i="61"/>
  <c r="X58" i="61"/>
  <c r="Y58" i="61"/>
  <c r="Z58" i="61"/>
  <c r="AA58" i="61"/>
  <c r="AB58" i="61"/>
  <c r="AC58" i="61"/>
  <c r="AD58" i="61"/>
  <c r="AE58" i="61"/>
  <c r="AF58" i="61"/>
  <c r="AG58" i="61"/>
  <c r="AH58" i="61"/>
  <c r="AI58" i="61"/>
  <c r="AJ58" i="61"/>
  <c r="AK58" i="61"/>
  <c r="AL58" i="61"/>
  <c r="H67" i="61"/>
  <c r="I67" i="61"/>
  <c r="J67" i="61"/>
  <c r="K67" i="61"/>
  <c r="L67" i="61"/>
  <c r="M67" i="61"/>
  <c r="N67" i="61"/>
  <c r="O67" i="61"/>
  <c r="P67" i="61"/>
  <c r="Q67" i="61"/>
  <c r="R67" i="61"/>
  <c r="S67" i="61"/>
  <c r="T67" i="61"/>
  <c r="U67" i="61"/>
  <c r="V67" i="61"/>
  <c r="W67" i="61"/>
  <c r="X67" i="61"/>
  <c r="Y67" i="61"/>
  <c r="Z67" i="61"/>
  <c r="AA67" i="61"/>
  <c r="AB67" i="61"/>
  <c r="AC67" i="61"/>
  <c r="AD67" i="61"/>
  <c r="AE67" i="61"/>
  <c r="AF67" i="61"/>
  <c r="AG67" i="61"/>
  <c r="AH67" i="61"/>
  <c r="AI67" i="61"/>
  <c r="AJ67" i="61"/>
  <c r="AK67" i="61"/>
  <c r="AL67" i="61"/>
  <c r="H18" i="61"/>
  <c r="J18" i="61"/>
  <c r="K18" i="61"/>
  <c r="L18" i="61"/>
  <c r="M18" i="61"/>
  <c r="N18" i="61"/>
  <c r="O18" i="61"/>
  <c r="P18" i="61"/>
  <c r="Q18" i="61"/>
  <c r="R18" i="61"/>
  <c r="S18" i="61"/>
  <c r="T18" i="61"/>
  <c r="U18" i="61"/>
  <c r="V18" i="61"/>
  <c r="W18" i="61"/>
  <c r="X18" i="61"/>
  <c r="Y18" i="61"/>
  <c r="Z18" i="61"/>
  <c r="AA18" i="61"/>
  <c r="AB18" i="61"/>
  <c r="AC18" i="61"/>
  <c r="AD18" i="61"/>
  <c r="AE18" i="61"/>
  <c r="AF18" i="61"/>
  <c r="AG18" i="61"/>
  <c r="AH18" i="61"/>
  <c r="AI18" i="61"/>
  <c r="AJ18" i="61"/>
  <c r="AK18" i="61"/>
  <c r="AL18" i="61"/>
  <c r="H19" i="61"/>
  <c r="J19" i="61"/>
  <c r="K19" i="61"/>
  <c r="L19" i="61"/>
  <c r="M19" i="61"/>
  <c r="N19" i="61"/>
  <c r="O19" i="61"/>
  <c r="P19" i="61"/>
  <c r="Q19" i="61"/>
  <c r="R19" i="61"/>
  <c r="S19" i="61"/>
  <c r="T19" i="61"/>
  <c r="U19" i="61"/>
  <c r="V19" i="61"/>
  <c r="W19" i="61"/>
  <c r="X19" i="61"/>
  <c r="Y19" i="61"/>
  <c r="Z19" i="61"/>
  <c r="AA19" i="61"/>
  <c r="AB19" i="61"/>
  <c r="AC19" i="61"/>
  <c r="AD19" i="61"/>
  <c r="AE19" i="61"/>
  <c r="AF19" i="61"/>
  <c r="AG19" i="61"/>
  <c r="AH19" i="61"/>
  <c r="AI19" i="61"/>
  <c r="AJ19" i="61"/>
  <c r="AK19" i="61"/>
  <c r="AL19" i="61"/>
  <c r="H20" i="61"/>
  <c r="I20" i="61"/>
  <c r="J20" i="61"/>
  <c r="K20" i="61"/>
  <c r="M20" i="61"/>
  <c r="N20" i="61"/>
  <c r="O20" i="61"/>
  <c r="P20" i="61"/>
  <c r="Q20" i="61"/>
  <c r="R20" i="61"/>
  <c r="S20" i="61"/>
  <c r="T20" i="61"/>
  <c r="U20" i="61"/>
  <c r="V20" i="61"/>
  <c r="W20" i="61"/>
  <c r="X20" i="61"/>
  <c r="Y20" i="61"/>
  <c r="Z20" i="61"/>
  <c r="AA20" i="61"/>
  <c r="AB20" i="61"/>
  <c r="AC20" i="61"/>
  <c r="AD20" i="61"/>
  <c r="AE20" i="61"/>
  <c r="AF20" i="61"/>
  <c r="AG20" i="61"/>
  <c r="AH20" i="61"/>
  <c r="AI20" i="61"/>
  <c r="AJ20" i="61"/>
  <c r="AK20" i="61"/>
  <c r="AL20" i="61"/>
  <c r="G37" i="61"/>
  <c r="H4" i="61"/>
  <c r="J4" i="61"/>
  <c r="K4" i="61"/>
  <c r="L4" i="61"/>
  <c r="M4" i="61"/>
  <c r="N4" i="61"/>
  <c r="O4" i="61"/>
  <c r="P4" i="61"/>
  <c r="Q4" i="61"/>
  <c r="R4" i="61"/>
  <c r="S4" i="61"/>
  <c r="T4" i="61"/>
  <c r="U4" i="61"/>
  <c r="V4" i="61"/>
  <c r="W4" i="61"/>
  <c r="X4" i="61"/>
  <c r="Y4" i="61"/>
  <c r="Z4" i="61"/>
  <c r="AA4" i="61"/>
  <c r="AB4" i="61"/>
  <c r="AC4" i="61"/>
  <c r="AD4" i="61"/>
  <c r="AE4" i="61"/>
  <c r="AF4" i="61"/>
  <c r="AG4" i="61"/>
  <c r="AH4" i="61"/>
  <c r="AI4" i="61"/>
  <c r="AJ4" i="61"/>
  <c r="AK4" i="61"/>
  <c r="AL4" i="61"/>
  <c r="H5" i="61"/>
  <c r="J5" i="61"/>
  <c r="K5" i="61"/>
  <c r="L5" i="61"/>
  <c r="M5" i="61"/>
  <c r="N5" i="61"/>
  <c r="O5" i="61"/>
  <c r="P5" i="61"/>
  <c r="Q5" i="61"/>
  <c r="R5" i="61"/>
  <c r="S5" i="61"/>
  <c r="T5" i="61"/>
  <c r="U5" i="61"/>
  <c r="V5" i="61"/>
  <c r="W5" i="61"/>
  <c r="X5" i="61"/>
  <c r="Y5" i="61"/>
  <c r="Z5" i="61"/>
  <c r="AA5" i="61"/>
  <c r="AB5" i="61"/>
  <c r="AC5" i="61"/>
  <c r="AD5" i="61"/>
  <c r="AE5" i="61"/>
  <c r="AF5" i="61"/>
  <c r="AG5" i="61"/>
  <c r="AH5" i="61"/>
  <c r="AI5" i="61"/>
  <c r="AJ5" i="61"/>
  <c r="AK5" i="61"/>
  <c r="AL5" i="61"/>
  <c r="H6" i="61"/>
  <c r="J6" i="61"/>
  <c r="K6" i="61"/>
  <c r="L6" i="61"/>
  <c r="M6" i="61"/>
  <c r="N6" i="61"/>
  <c r="O6" i="61"/>
  <c r="P6" i="61"/>
  <c r="Q6" i="61"/>
  <c r="R6" i="61"/>
  <c r="S6" i="61"/>
  <c r="T6" i="61"/>
  <c r="U6" i="61"/>
  <c r="V6" i="61"/>
  <c r="W6" i="61"/>
  <c r="X6" i="61"/>
  <c r="Y6" i="61"/>
  <c r="Z6" i="61"/>
  <c r="AA6" i="61"/>
  <c r="AB6" i="61"/>
  <c r="AC6" i="61"/>
  <c r="AD6" i="61"/>
  <c r="AE6" i="61"/>
  <c r="AF6" i="61"/>
  <c r="AG6" i="61"/>
  <c r="AH6" i="61"/>
  <c r="AI6" i="61"/>
  <c r="AJ6" i="61"/>
  <c r="AK6" i="61"/>
  <c r="AL6" i="61"/>
  <c r="H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AB7" i="61"/>
  <c r="AC7" i="61"/>
  <c r="AD7" i="61"/>
  <c r="AE7" i="61"/>
  <c r="AF7" i="61"/>
  <c r="AG7" i="61"/>
  <c r="AH7" i="61"/>
  <c r="AI7" i="61"/>
  <c r="AJ7" i="61"/>
  <c r="AK7" i="61"/>
  <c r="AL7" i="61"/>
  <c r="H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AB8" i="61"/>
  <c r="AC8" i="61"/>
  <c r="AD8" i="61"/>
  <c r="AE8" i="61"/>
  <c r="AF8" i="61"/>
  <c r="AG8" i="61"/>
  <c r="AH8" i="61"/>
  <c r="AI8" i="61"/>
  <c r="AJ8" i="61"/>
  <c r="AK8" i="61"/>
  <c r="AL8" i="61"/>
  <c r="H9" i="61"/>
  <c r="J9" i="61"/>
  <c r="K9" i="61"/>
  <c r="L9" i="61"/>
  <c r="M9" i="61"/>
  <c r="N9" i="61"/>
  <c r="O9" i="61"/>
  <c r="P9" i="61"/>
  <c r="Q9" i="61"/>
  <c r="R9" i="61"/>
  <c r="S9" i="61"/>
  <c r="T9" i="61"/>
  <c r="U9" i="61"/>
  <c r="V9" i="61"/>
  <c r="W9" i="61"/>
  <c r="X9" i="61"/>
  <c r="Y9" i="61"/>
  <c r="Z9" i="61"/>
  <c r="AA9" i="61"/>
  <c r="AB9" i="61"/>
  <c r="AC9" i="61"/>
  <c r="AD9" i="61"/>
  <c r="AE9" i="61"/>
  <c r="AF9" i="61"/>
  <c r="AG9" i="61"/>
  <c r="AH9" i="61"/>
  <c r="AI9" i="61"/>
  <c r="AJ9" i="61"/>
  <c r="AK9" i="61"/>
  <c r="AL9" i="61"/>
  <c r="H10" i="61"/>
  <c r="J10" i="61"/>
  <c r="K10" i="61"/>
  <c r="L10" i="61"/>
  <c r="M10" i="61"/>
  <c r="N10" i="61"/>
  <c r="O10" i="61"/>
  <c r="P10" i="61"/>
  <c r="Q10" i="61"/>
  <c r="R10" i="61"/>
  <c r="S10" i="61"/>
  <c r="T10" i="61"/>
  <c r="U10" i="61"/>
  <c r="V10" i="61"/>
  <c r="W10" i="61"/>
  <c r="X10" i="61"/>
  <c r="Y10" i="61"/>
  <c r="Z10" i="61"/>
  <c r="AA10" i="61"/>
  <c r="AB10" i="61"/>
  <c r="AC10" i="61"/>
  <c r="AD10" i="61"/>
  <c r="AE10" i="61"/>
  <c r="AF10" i="61"/>
  <c r="AG10" i="61"/>
  <c r="AH10" i="61"/>
  <c r="AI10" i="61"/>
  <c r="AJ10" i="61"/>
  <c r="AK10" i="61"/>
  <c r="AL10" i="61"/>
  <c r="H11" i="61"/>
  <c r="J11" i="61"/>
  <c r="K11" i="61"/>
  <c r="L11" i="61"/>
  <c r="M11" i="61"/>
  <c r="N11" i="61"/>
  <c r="O11" i="61"/>
  <c r="P11" i="61"/>
  <c r="Q11" i="61"/>
  <c r="R11" i="61"/>
  <c r="S11" i="61"/>
  <c r="T11" i="61"/>
  <c r="U11" i="61"/>
  <c r="V11" i="61"/>
  <c r="W11" i="61"/>
  <c r="X11" i="61"/>
  <c r="Y11" i="61"/>
  <c r="Z11" i="61"/>
  <c r="AA11" i="61"/>
  <c r="AB11" i="61"/>
  <c r="AC11" i="61"/>
  <c r="AD11" i="61"/>
  <c r="AE11" i="61"/>
  <c r="AF11" i="61"/>
  <c r="AG11" i="61"/>
  <c r="AH11" i="61"/>
  <c r="AI11" i="61"/>
  <c r="AJ11" i="61"/>
  <c r="AK11" i="61"/>
  <c r="AL11" i="61"/>
  <c r="H12" i="61"/>
  <c r="J12" i="61"/>
  <c r="K12" i="61"/>
  <c r="L12" i="61"/>
  <c r="M12" i="61"/>
  <c r="N12" i="61"/>
  <c r="O12" i="61"/>
  <c r="P12" i="61"/>
  <c r="Q12" i="61"/>
  <c r="R12" i="61"/>
  <c r="S12" i="61"/>
  <c r="T12" i="61"/>
  <c r="U12" i="61"/>
  <c r="V12" i="61"/>
  <c r="W12" i="61"/>
  <c r="X12" i="61"/>
  <c r="Y12" i="61"/>
  <c r="Z12" i="61"/>
  <c r="AA12" i="61"/>
  <c r="AB12" i="61"/>
  <c r="AC12" i="61"/>
  <c r="AD12" i="61"/>
  <c r="AE12" i="61"/>
  <c r="AF12" i="61"/>
  <c r="AG12" i="61"/>
  <c r="AH12" i="61"/>
  <c r="AI12" i="61"/>
  <c r="AJ12" i="61"/>
  <c r="AK12" i="61"/>
  <c r="AL12" i="61"/>
  <c r="AN74" i="61"/>
  <c r="AN69" i="61"/>
  <c r="AN68" i="61"/>
  <c r="AN66" i="61"/>
  <c r="AN65" i="61"/>
  <c r="AN64" i="61"/>
  <c r="AN63" i="61"/>
  <c r="AN62" i="61"/>
  <c r="AN61" i="61"/>
  <c r="AN60" i="61"/>
  <c r="AN59" i="61"/>
  <c r="G58" i="61"/>
  <c r="AN57" i="61"/>
  <c r="AN56" i="61"/>
  <c r="AN55" i="61"/>
  <c r="AN54" i="61"/>
  <c r="AN53" i="61"/>
  <c r="G52" i="61"/>
  <c r="AN51" i="61"/>
  <c r="AN50" i="61"/>
  <c r="AN49" i="61"/>
  <c r="AN48" i="61"/>
  <c r="G47" i="61"/>
  <c r="AN46" i="61"/>
  <c r="AN45" i="61"/>
  <c r="AN17" i="61"/>
  <c r="AN16" i="61"/>
  <c r="G15" i="61"/>
  <c r="AN14" i="61"/>
  <c r="AN13" i="61"/>
  <c r="AH357" i="129" l="1"/>
  <c r="AL25" i="129"/>
  <c r="AH26" i="129"/>
  <c r="H27" i="129"/>
  <c r="AB18" i="100"/>
  <c r="AB19" i="110"/>
  <c r="AA27" i="98"/>
  <c r="AA45" i="98" s="1"/>
  <c r="H27" i="121"/>
  <c r="AH26" i="121"/>
  <c r="AB27" i="101"/>
  <c r="AB45" i="101" s="1"/>
  <c r="AC15" i="101"/>
  <c r="AC13" i="101" s="1"/>
  <c r="AC17" i="101" s="1"/>
  <c r="AC26" i="101" s="1"/>
  <c r="V40" i="119"/>
  <c r="AA18" i="110"/>
  <c r="AB25" i="110"/>
  <c r="AB24" i="110"/>
  <c r="AB23" i="110"/>
  <c r="AB20" i="110"/>
  <c r="X21" i="109"/>
  <c r="X39" i="109"/>
  <c r="AA21" i="110"/>
  <c r="AB21" i="100"/>
  <c r="AB22" i="110"/>
  <c r="X30" i="109"/>
  <c r="X17" i="109"/>
  <c r="X35" i="109"/>
  <c r="X26" i="109"/>
  <c r="AB15" i="98"/>
  <c r="AB13" i="98" s="1"/>
  <c r="AB17" i="98" s="1"/>
  <c r="AB26" i="98" s="1"/>
  <c r="Y27" i="110"/>
  <c r="Y45" i="110" s="1"/>
  <c r="AA15" i="110"/>
  <c r="AA14" i="110"/>
  <c r="X8" i="109"/>
  <c r="X7" i="109" s="1"/>
  <c r="Z13" i="110"/>
  <c r="Z17" i="110" s="1"/>
  <c r="Y18" i="109"/>
  <c r="Y31" i="109"/>
  <c r="Y27" i="109"/>
  <c r="Y40" i="109"/>
  <c r="Y22" i="109"/>
  <c r="AA9" i="109"/>
  <c r="AA12" i="109"/>
  <c r="Z9" i="109"/>
  <c r="Z12" i="109"/>
  <c r="Y36" i="109"/>
  <c r="X40" i="120"/>
  <c r="C29" i="121"/>
  <c r="C361" i="121"/>
  <c r="D68" i="121"/>
  <c r="AH67" i="121"/>
  <c r="X9" i="121"/>
  <c r="Y8" i="121"/>
  <c r="X10" i="121"/>
  <c r="W40" i="121"/>
  <c r="D30" i="121"/>
  <c r="D70" i="120"/>
  <c r="AH69" i="120"/>
  <c r="C361" i="120"/>
  <c r="C29" i="120"/>
  <c r="Y9" i="120"/>
  <c r="Y10" i="120"/>
  <c r="Z8" i="120"/>
  <c r="D29" i="120"/>
  <c r="AH28" i="120"/>
  <c r="AB13" i="102"/>
  <c r="AB17" i="102" s="1"/>
  <c r="AB26" i="102" s="1"/>
  <c r="D34" i="119"/>
  <c r="C362" i="119"/>
  <c r="AH66" i="119"/>
  <c r="D67" i="119"/>
  <c r="X8" i="119"/>
  <c r="W9" i="119"/>
  <c r="W10" i="119"/>
  <c r="C29" i="119"/>
  <c r="E30" i="119"/>
  <c r="AH29" i="119"/>
  <c r="Z27" i="100"/>
  <c r="AA13" i="100"/>
  <c r="AA17" i="100" s="1"/>
  <c r="AA26" i="100" s="1"/>
  <c r="AA27" i="100" s="1"/>
  <c r="X40" i="118"/>
  <c r="AH103" i="118"/>
  <c r="D104" i="118"/>
  <c r="AH104" i="118" s="1"/>
  <c r="D32" i="118"/>
  <c r="AH31" i="118"/>
  <c r="C362" i="118"/>
  <c r="AH66" i="118"/>
  <c r="D67" i="118"/>
  <c r="Y9" i="118"/>
  <c r="Z8" i="118"/>
  <c r="Y10" i="118"/>
  <c r="C30" i="118"/>
  <c r="AC15" i="102"/>
  <c r="AC13" i="102" s="1"/>
  <c r="AC17" i="102" s="1"/>
  <c r="AC26" i="102" s="1"/>
  <c r="Z45" i="102"/>
  <c r="AC21" i="101"/>
  <c r="H76" i="89"/>
  <c r="AD9" i="102"/>
  <c r="AD9" i="101"/>
  <c r="H75" i="89"/>
  <c r="AD24" i="101"/>
  <c r="AD24" i="102"/>
  <c r="AD25" i="101"/>
  <c r="AD25" i="102"/>
  <c r="AD22" i="101"/>
  <c r="AD22" i="102"/>
  <c r="AC18" i="101"/>
  <c r="AC21" i="102"/>
  <c r="AD23" i="101"/>
  <c r="AD23" i="102"/>
  <c r="AD19" i="101"/>
  <c r="AD19" i="102"/>
  <c r="AD20" i="101"/>
  <c r="AD20" i="102"/>
  <c r="AC18" i="102"/>
  <c r="Z45" i="98"/>
  <c r="AB21" i="98"/>
  <c r="AB18" i="98"/>
  <c r="F78" i="90"/>
  <c r="F76" i="90"/>
  <c r="F75" i="90"/>
  <c r="F74" i="90"/>
  <c r="F77" i="90"/>
  <c r="AB14" i="100"/>
  <c r="AB15" i="100"/>
  <c r="AC24" i="100"/>
  <c r="AC24" i="98"/>
  <c r="AC22" i="100"/>
  <c r="AC22" i="98"/>
  <c r="AC9" i="98"/>
  <c r="AC14" i="98" s="1"/>
  <c r="AC9" i="100"/>
  <c r="AC23" i="98"/>
  <c r="AC23" i="100"/>
  <c r="AC25" i="100"/>
  <c r="AC25" i="98"/>
  <c r="AC19" i="98"/>
  <c r="AC19" i="100"/>
  <c r="AC20" i="98"/>
  <c r="AC20" i="100"/>
  <c r="G71" i="89"/>
  <c r="G70" i="89"/>
  <c r="G69" i="89"/>
  <c r="G72" i="89"/>
  <c r="G73" i="89"/>
  <c r="G74" i="89"/>
  <c r="F71" i="89"/>
  <c r="F70" i="89"/>
  <c r="F69" i="89"/>
  <c r="F72" i="89"/>
  <c r="F74" i="89"/>
  <c r="F73" i="89"/>
  <c r="F79" i="90"/>
  <c r="F73" i="90"/>
  <c r="H69" i="90"/>
  <c r="H70" i="90" s="1"/>
  <c r="H71" i="90" s="1"/>
  <c r="G70" i="90"/>
  <c r="G71" i="90" s="1"/>
  <c r="H71" i="61"/>
  <c r="AN58" i="61"/>
  <c r="J70" i="61"/>
  <c r="AN15" i="61"/>
  <c r="AK71" i="61"/>
  <c r="AG71" i="61"/>
  <c r="AC71" i="61"/>
  <c r="Y71" i="61"/>
  <c r="U71" i="61"/>
  <c r="Q71" i="61"/>
  <c r="M71" i="61"/>
  <c r="AN47" i="61"/>
  <c r="K70" i="61"/>
  <c r="AL71" i="61"/>
  <c r="AJ71" i="61"/>
  <c r="AH71" i="61"/>
  <c r="AF71" i="61"/>
  <c r="AD71" i="61"/>
  <c r="AB71" i="61"/>
  <c r="Z71" i="61"/>
  <c r="X71" i="61"/>
  <c r="V71" i="61"/>
  <c r="T71" i="61"/>
  <c r="R71" i="61"/>
  <c r="P71" i="61"/>
  <c r="N71" i="61"/>
  <c r="L71" i="61"/>
  <c r="J71" i="61"/>
  <c r="AK70" i="61"/>
  <c r="AI70" i="61"/>
  <c r="AG70" i="61"/>
  <c r="AE70" i="61"/>
  <c r="AC70" i="61"/>
  <c r="AA70" i="61"/>
  <c r="Y70" i="61"/>
  <c r="W70" i="61"/>
  <c r="U70" i="61"/>
  <c r="S70" i="61"/>
  <c r="Q70" i="61"/>
  <c r="O70" i="61"/>
  <c r="M70" i="61"/>
  <c r="I71" i="61"/>
  <c r="AL70" i="61"/>
  <c r="AJ70" i="61"/>
  <c r="AH70" i="61"/>
  <c r="AF70" i="61"/>
  <c r="AD70" i="61"/>
  <c r="AB70" i="61"/>
  <c r="Z70" i="61"/>
  <c r="X70" i="61"/>
  <c r="V70" i="61"/>
  <c r="T70" i="61"/>
  <c r="R70" i="61"/>
  <c r="P70" i="61"/>
  <c r="N70" i="61"/>
  <c r="L70" i="61"/>
  <c r="AN52" i="61"/>
  <c r="H70" i="61"/>
  <c r="H73" i="61" s="1"/>
  <c r="F23" i="61"/>
  <c r="AL26" i="129" l="1"/>
  <c r="AH358" i="129"/>
  <c r="AH27" i="129"/>
  <c r="H28" i="129"/>
  <c r="AB18" i="110"/>
  <c r="H28" i="121"/>
  <c r="AH27" i="121"/>
  <c r="AC19" i="110"/>
  <c r="AB21" i="110"/>
  <c r="AC20" i="110"/>
  <c r="AG11" i="101"/>
  <c r="AC22" i="110"/>
  <c r="AC25" i="110"/>
  <c r="AC23" i="110"/>
  <c r="AC24" i="110"/>
  <c r="Y26" i="109"/>
  <c r="Y35" i="109"/>
  <c r="Y39" i="109"/>
  <c r="Y17" i="109"/>
  <c r="Y21" i="109"/>
  <c r="Y30" i="109"/>
  <c r="Z26" i="110"/>
  <c r="Z27" i="110" s="1"/>
  <c r="Z45" i="110" s="1"/>
  <c r="AA13" i="110"/>
  <c r="AA17" i="110" s="1"/>
  <c r="AA26" i="110" s="1"/>
  <c r="AA27" i="110" s="1"/>
  <c r="Y8" i="109"/>
  <c r="Y7" i="109" s="1"/>
  <c r="AC15" i="110"/>
  <c r="AB14" i="110"/>
  <c r="AB15" i="110"/>
  <c r="AF20" i="102"/>
  <c r="AA22" i="109"/>
  <c r="Z40" i="109"/>
  <c r="Z18" i="109"/>
  <c r="Z27" i="109"/>
  <c r="AF19" i="102"/>
  <c r="AA18" i="109"/>
  <c r="AF22" i="102"/>
  <c r="AA27" i="109"/>
  <c r="Z36" i="109"/>
  <c r="AB12" i="109"/>
  <c r="Z31" i="109"/>
  <c r="Z22" i="109"/>
  <c r="AF25" i="102"/>
  <c r="AA40" i="109"/>
  <c r="AF24" i="102"/>
  <c r="AA36" i="109"/>
  <c r="AF23" i="102"/>
  <c r="AA31" i="109"/>
  <c r="AB9" i="109"/>
  <c r="D31" i="121"/>
  <c r="X40" i="121"/>
  <c r="D69" i="121"/>
  <c r="AH68" i="121"/>
  <c r="C362" i="121"/>
  <c r="Y9" i="121"/>
  <c r="Z8" i="121"/>
  <c r="Y10" i="121"/>
  <c r="C30" i="121"/>
  <c r="D71" i="120"/>
  <c r="AH70" i="120"/>
  <c r="C30" i="120"/>
  <c r="Z9" i="120"/>
  <c r="AA8" i="120"/>
  <c r="Z10" i="120"/>
  <c r="D30" i="120"/>
  <c r="AH29" i="120"/>
  <c r="C362" i="120"/>
  <c r="Y40" i="120"/>
  <c r="AB27" i="102"/>
  <c r="C30" i="119"/>
  <c r="C363" i="119"/>
  <c r="E31" i="119"/>
  <c r="AH30" i="119"/>
  <c r="D68" i="119"/>
  <c r="AH67" i="119"/>
  <c r="W40" i="119"/>
  <c r="D35" i="119"/>
  <c r="Y8" i="119"/>
  <c r="X9" i="119"/>
  <c r="X10" i="119"/>
  <c r="Z45" i="100"/>
  <c r="AA45" i="100"/>
  <c r="AB13" i="100"/>
  <c r="AB17" i="100" s="1"/>
  <c r="AB26" i="100" s="1"/>
  <c r="AB27" i="100" s="1"/>
  <c r="AB45" i="100" s="1"/>
  <c r="AH67" i="118"/>
  <c r="D68" i="118"/>
  <c r="D33" i="118"/>
  <c r="AH32" i="118"/>
  <c r="C31" i="118"/>
  <c r="AA8" i="118"/>
  <c r="Z9" i="118"/>
  <c r="Z10" i="118"/>
  <c r="Y40" i="118"/>
  <c r="C363" i="118"/>
  <c r="AC27" i="101"/>
  <c r="AD21" i="101"/>
  <c r="AG10" i="102"/>
  <c r="AG11" i="102"/>
  <c r="AD15" i="101"/>
  <c r="AD14" i="101"/>
  <c r="AD15" i="102"/>
  <c r="AD14" i="102"/>
  <c r="AE9" i="101"/>
  <c r="AF9" i="102"/>
  <c r="AD18" i="101"/>
  <c r="AE9" i="102"/>
  <c r="AG10" i="101"/>
  <c r="AF9" i="101"/>
  <c r="AD18" i="102"/>
  <c r="AE25" i="101"/>
  <c r="AE25" i="102"/>
  <c r="AE23" i="101"/>
  <c r="AE23" i="102"/>
  <c r="AE24" i="101"/>
  <c r="AE24" i="102"/>
  <c r="AE19" i="101"/>
  <c r="AE19" i="102"/>
  <c r="AE20" i="101"/>
  <c r="AE20" i="102"/>
  <c r="AE22" i="101"/>
  <c r="AE22" i="102"/>
  <c r="AC27" i="102"/>
  <c r="AD21" i="102"/>
  <c r="AF25" i="101"/>
  <c r="H74" i="89"/>
  <c r="AF24" i="101"/>
  <c r="H73" i="89"/>
  <c r="AF23" i="101"/>
  <c r="H72" i="89"/>
  <c r="AF19" i="101"/>
  <c r="H69" i="89"/>
  <c r="AF22" i="101"/>
  <c r="H71" i="89"/>
  <c r="AF20" i="101"/>
  <c r="H70" i="89"/>
  <c r="AC18" i="100"/>
  <c r="AC21" i="98"/>
  <c r="AB27" i="98"/>
  <c r="AB45" i="98" s="1"/>
  <c r="AD24" i="98"/>
  <c r="AD24" i="100"/>
  <c r="AD20" i="100"/>
  <c r="AD20" i="98"/>
  <c r="AD9" i="98"/>
  <c r="AD15" i="98" s="1"/>
  <c r="AD9" i="100"/>
  <c r="AC15" i="98"/>
  <c r="AC13" i="98" s="1"/>
  <c r="AC17" i="98" s="1"/>
  <c r="AC26" i="98" s="1"/>
  <c r="AD23" i="100"/>
  <c r="AD23" i="98"/>
  <c r="G76" i="90"/>
  <c r="G78" i="90"/>
  <c r="G75" i="90"/>
  <c r="G74" i="90"/>
  <c r="G77" i="90"/>
  <c r="AC18" i="98"/>
  <c r="H75" i="90"/>
  <c r="H76" i="90"/>
  <c r="H78" i="90"/>
  <c r="H74" i="90"/>
  <c r="H77" i="90"/>
  <c r="AC21" i="100"/>
  <c r="AD19" i="98"/>
  <c r="AD19" i="100"/>
  <c r="AD22" i="98"/>
  <c r="AD22" i="100"/>
  <c r="AD25" i="100"/>
  <c r="AD25" i="98"/>
  <c r="AC14" i="100"/>
  <c r="AC15" i="100"/>
  <c r="I71" i="90"/>
  <c r="G79" i="90"/>
  <c r="G73" i="90"/>
  <c r="H79" i="90"/>
  <c r="H73" i="90"/>
  <c r="AN37" i="61"/>
  <c r="L73" i="61"/>
  <c r="J73" i="61"/>
  <c r="K73" i="61"/>
  <c r="AH28" i="129" l="1"/>
  <c r="H29" i="129"/>
  <c r="AH359" i="129"/>
  <c r="AL27" i="129"/>
  <c r="AD21" i="100"/>
  <c r="AD18" i="100"/>
  <c r="H29" i="121"/>
  <c r="AH28" i="121"/>
  <c r="AC18" i="110"/>
  <c r="AG23" i="102"/>
  <c r="AG20" i="102"/>
  <c r="AD24" i="110"/>
  <c r="AG19" i="102"/>
  <c r="AC21" i="110"/>
  <c r="AD25" i="110"/>
  <c r="AD19" i="110"/>
  <c r="AD23" i="110"/>
  <c r="AD20" i="110"/>
  <c r="AD22" i="110"/>
  <c r="Z39" i="109"/>
  <c r="AA30" i="109"/>
  <c r="Z21" i="109"/>
  <c r="Z26" i="109"/>
  <c r="Z17" i="109"/>
  <c r="AA26" i="109"/>
  <c r="AA39" i="109"/>
  <c r="Z35" i="109"/>
  <c r="AD21" i="98"/>
  <c r="AA17" i="109"/>
  <c r="Z30" i="109"/>
  <c r="AA35" i="109"/>
  <c r="AA21" i="109"/>
  <c r="AC27" i="98"/>
  <c r="AC45" i="98" s="1"/>
  <c r="AB13" i="110"/>
  <c r="AB17" i="110" s="1"/>
  <c r="AC14" i="110"/>
  <c r="AC13" i="110" s="1"/>
  <c r="AC17" i="110" s="1"/>
  <c r="AF9" i="100"/>
  <c r="AA8" i="109"/>
  <c r="AD14" i="110"/>
  <c r="Z8" i="109"/>
  <c r="Z7" i="109" s="1"/>
  <c r="AF18" i="102"/>
  <c r="AF21" i="102"/>
  <c r="AG24" i="102"/>
  <c r="AC45" i="101"/>
  <c r="AG11" i="110"/>
  <c r="AB10" i="109"/>
  <c r="AA45" i="110"/>
  <c r="AB18" i="109"/>
  <c r="AB22" i="109"/>
  <c r="AB27" i="109"/>
  <c r="AB31" i="109"/>
  <c r="AB40" i="109"/>
  <c r="AB36" i="109"/>
  <c r="AG25" i="102"/>
  <c r="Y40" i="121"/>
  <c r="C363" i="121"/>
  <c r="D32" i="121"/>
  <c r="C31" i="121"/>
  <c r="AA8" i="121"/>
  <c r="Z9" i="121"/>
  <c r="Z10" i="121"/>
  <c r="D70" i="121"/>
  <c r="AH69" i="121"/>
  <c r="Z40" i="120"/>
  <c r="AA10" i="120"/>
  <c r="AA9" i="120"/>
  <c r="AB8" i="120"/>
  <c r="C31" i="120"/>
  <c r="C363" i="120"/>
  <c r="AH30" i="120"/>
  <c r="D31" i="120"/>
  <c r="D72" i="120"/>
  <c r="AH72" i="120" s="1"/>
  <c r="AH71" i="120"/>
  <c r="AB45" i="102"/>
  <c r="C364" i="119"/>
  <c r="D36" i="119"/>
  <c r="Z8" i="119"/>
  <c r="Y9" i="119"/>
  <c r="Y10" i="119"/>
  <c r="E32" i="119"/>
  <c r="AH31" i="119"/>
  <c r="C31" i="119"/>
  <c r="X40" i="119"/>
  <c r="D69" i="119"/>
  <c r="AH68" i="119"/>
  <c r="AC13" i="100"/>
  <c r="AC17" i="100" s="1"/>
  <c r="AC26" i="100" s="1"/>
  <c r="AC27" i="100" s="1"/>
  <c r="AC45" i="100" s="1"/>
  <c r="C364" i="118"/>
  <c r="C32" i="118"/>
  <c r="D69" i="118"/>
  <c r="AH68" i="118"/>
  <c r="Z40" i="118"/>
  <c r="AA9" i="118"/>
  <c r="AA10" i="118"/>
  <c r="AB8" i="118"/>
  <c r="D34" i="118"/>
  <c r="AH33" i="118"/>
  <c r="AG9" i="101"/>
  <c r="AG9" i="102"/>
  <c r="AG23" i="101"/>
  <c r="AE15" i="101"/>
  <c r="AE14" i="101"/>
  <c r="AG20" i="101"/>
  <c r="AG25" i="101"/>
  <c r="AD13" i="102"/>
  <c r="AE15" i="102"/>
  <c r="AE14" i="102"/>
  <c r="AF14" i="102"/>
  <c r="AF15" i="102"/>
  <c r="AE21" i="102"/>
  <c r="AD13" i="101"/>
  <c r="AE21" i="101"/>
  <c r="AF15" i="101"/>
  <c r="AF14" i="101"/>
  <c r="AC45" i="102"/>
  <c r="AG24" i="101"/>
  <c r="AE18" i="101"/>
  <c r="AE18" i="102"/>
  <c r="AG22" i="102"/>
  <c r="AF21" i="101"/>
  <c r="AG22" i="101"/>
  <c r="AF18" i="101"/>
  <c r="AG19" i="101"/>
  <c r="AD18" i="98"/>
  <c r="AE23" i="100"/>
  <c r="AE23" i="98"/>
  <c r="AE20" i="98"/>
  <c r="AE20" i="100"/>
  <c r="AE22" i="100"/>
  <c r="AE22" i="98"/>
  <c r="AD14" i="98"/>
  <c r="AD13" i="98" s="1"/>
  <c r="AD17" i="98" s="1"/>
  <c r="AD26" i="98" s="1"/>
  <c r="AE19" i="100"/>
  <c r="AE19" i="98"/>
  <c r="AF24" i="98"/>
  <c r="AF24" i="100"/>
  <c r="I77" i="90"/>
  <c r="AE9" i="98"/>
  <c r="AE14" i="98" s="1"/>
  <c r="AE9" i="100"/>
  <c r="AF20" i="98"/>
  <c r="AG20" i="98" s="1"/>
  <c r="AF20" i="100"/>
  <c r="AG20" i="100" s="1"/>
  <c r="I74" i="90"/>
  <c r="AF25" i="100"/>
  <c r="AF25" i="98"/>
  <c r="I78" i="90"/>
  <c r="AD14" i="100"/>
  <c r="AD15" i="100"/>
  <c r="AE25" i="100"/>
  <c r="AE25" i="98"/>
  <c r="I73" i="90"/>
  <c r="AF19" i="100"/>
  <c r="AF19" i="98"/>
  <c r="AF23" i="100"/>
  <c r="AF23" i="98"/>
  <c r="I76" i="90"/>
  <c r="AF22" i="98"/>
  <c r="AF22" i="100"/>
  <c r="I75" i="90"/>
  <c r="AE24" i="98"/>
  <c r="AE24" i="100"/>
  <c r="I79" i="90"/>
  <c r="M73" i="61"/>
  <c r="N73" i="61"/>
  <c r="H30" i="129" l="1"/>
  <c r="AH29" i="129"/>
  <c r="AL28" i="129"/>
  <c r="AH360" i="129"/>
  <c r="AD27" i="98"/>
  <c r="AD45" i="98" s="1"/>
  <c r="AB17" i="109"/>
  <c r="AG25" i="98"/>
  <c r="AA40" i="120"/>
  <c r="H30" i="121"/>
  <c r="AH29" i="121"/>
  <c r="AB39" i="109"/>
  <c r="AE24" i="110"/>
  <c r="Y40" i="119"/>
  <c r="AD15" i="110"/>
  <c r="AD13" i="110" s="1"/>
  <c r="AD17" i="110" s="1"/>
  <c r="AD26" i="110" s="1"/>
  <c r="AD21" i="110"/>
  <c r="AG21" i="102"/>
  <c r="AD18" i="110"/>
  <c r="AG15" i="101"/>
  <c r="AD13" i="100"/>
  <c r="AD17" i="100" s="1"/>
  <c r="AD26" i="100" s="1"/>
  <c r="AD27" i="100" s="1"/>
  <c r="AE25" i="110"/>
  <c r="AE23" i="110"/>
  <c r="AE22" i="110"/>
  <c r="AE19" i="110"/>
  <c r="AE20" i="110"/>
  <c r="AB16" i="109"/>
  <c r="AE18" i="100"/>
  <c r="AB21" i="109"/>
  <c r="AB26" i="109"/>
  <c r="AB30" i="109"/>
  <c r="AB35" i="109"/>
  <c r="AC26" i="110"/>
  <c r="AC27" i="110" s="1"/>
  <c r="AC45" i="110" s="1"/>
  <c r="AB8" i="109"/>
  <c r="AA7" i="109"/>
  <c r="AB26" i="110"/>
  <c r="AB27" i="110" s="1"/>
  <c r="AB45" i="110" s="1"/>
  <c r="AE15" i="110"/>
  <c r="AF23" i="110"/>
  <c r="AB29" i="109"/>
  <c r="AF24" i="110"/>
  <c r="AB34" i="109"/>
  <c r="AF20" i="110"/>
  <c r="AB20" i="109"/>
  <c r="AF22" i="110"/>
  <c r="AB24" i="109"/>
  <c r="AG21" i="101"/>
  <c r="D71" i="121"/>
  <c r="AH70" i="121"/>
  <c r="AA9" i="121"/>
  <c r="AB8" i="121"/>
  <c r="AA10" i="121"/>
  <c r="C32" i="121"/>
  <c r="D33" i="121"/>
  <c r="Z40" i="121"/>
  <c r="C364" i="121"/>
  <c r="AH31" i="120"/>
  <c r="D32" i="120"/>
  <c r="C32" i="120"/>
  <c r="AB9" i="120"/>
  <c r="AC8" i="120"/>
  <c r="AB10" i="120"/>
  <c r="C364" i="120"/>
  <c r="D70" i="119"/>
  <c r="AH69" i="119"/>
  <c r="C32" i="119"/>
  <c r="E33" i="119"/>
  <c r="AH32" i="119"/>
  <c r="AA8" i="119"/>
  <c r="Z9" i="119"/>
  <c r="Z10" i="119"/>
  <c r="D37" i="119"/>
  <c r="C365" i="119"/>
  <c r="AG10" i="100"/>
  <c r="AB9" i="118"/>
  <c r="AC8" i="118"/>
  <c r="AB10" i="118"/>
  <c r="D70" i="118"/>
  <c r="AH69" i="118"/>
  <c r="AA40" i="118"/>
  <c r="C33" i="118"/>
  <c r="D35" i="118"/>
  <c r="AH34" i="118"/>
  <c r="C365" i="118"/>
  <c r="AF13" i="101"/>
  <c r="AF17" i="101" s="1"/>
  <c r="AF26" i="101" s="1"/>
  <c r="AE13" i="102"/>
  <c r="AE17" i="102" s="1"/>
  <c r="AE26" i="102" s="1"/>
  <c r="AG14" i="102"/>
  <c r="AG14" i="101"/>
  <c r="AD17" i="101"/>
  <c r="AE13" i="101"/>
  <c r="AE17" i="101" s="1"/>
  <c r="AE26" i="101" s="1"/>
  <c r="AD17" i="102"/>
  <c r="AG15" i="102"/>
  <c r="AF13" i="102"/>
  <c r="AF17" i="102" s="1"/>
  <c r="AF26" i="102" s="1"/>
  <c r="AG18" i="102"/>
  <c r="AG18" i="101"/>
  <c r="AE15" i="98"/>
  <c r="AE13" i="98" s="1"/>
  <c r="AE17" i="98" s="1"/>
  <c r="AE26" i="98" s="1"/>
  <c r="AG24" i="100"/>
  <c r="AG23" i="100"/>
  <c r="AF15" i="100"/>
  <c r="AF14" i="100"/>
  <c r="AG9" i="100"/>
  <c r="AF18" i="98"/>
  <c r="AG19" i="98"/>
  <c r="AE21" i="98"/>
  <c r="AG24" i="98"/>
  <c r="AE18" i="98"/>
  <c r="AF18" i="100"/>
  <c r="AG19" i="100"/>
  <c r="AG25" i="100"/>
  <c r="AE21" i="100"/>
  <c r="AF21" i="100"/>
  <c r="AG22" i="100"/>
  <c r="AF21" i="98"/>
  <c r="AG22" i="98"/>
  <c r="AE15" i="100"/>
  <c r="AE14" i="100"/>
  <c r="AG23" i="98"/>
  <c r="AF9" i="98"/>
  <c r="AG10" i="98"/>
  <c r="O73" i="61"/>
  <c r="AL29" i="129" l="1"/>
  <c r="AH361" i="129"/>
  <c r="H31" i="129"/>
  <c r="AH30" i="129"/>
  <c r="AE13" i="100"/>
  <c r="AE17" i="100" s="1"/>
  <c r="AE26" i="100" s="1"/>
  <c r="AE27" i="100" s="1"/>
  <c r="AG24" i="110"/>
  <c r="AG18" i="100"/>
  <c r="H31" i="121"/>
  <c r="AH30" i="121"/>
  <c r="AB38" i="109"/>
  <c r="AF25" i="110"/>
  <c r="AF21" i="110" s="1"/>
  <c r="AD27" i="110"/>
  <c r="AD45" i="110" s="1"/>
  <c r="AG22" i="110"/>
  <c r="AF19" i="110"/>
  <c r="AF18" i="110" s="1"/>
  <c r="AE14" i="110"/>
  <c r="AE13" i="110" s="1"/>
  <c r="AE17" i="110" s="1"/>
  <c r="AE26" i="110" s="1"/>
  <c r="AG20" i="110"/>
  <c r="AE21" i="110"/>
  <c r="AE18" i="110"/>
  <c r="AB7" i="109"/>
  <c r="AG23" i="110"/>
  <c r="C365" i="121"/>
  <c r="C33" i="121"/>
  <c r="AA40" i="121"/>
  <c r="AC8" i="121"/>
  <c r="AB10" i="121"/>
  <c r="AB9" i="121"/>
  <c r="AH71" i="121"/>
  <c r="D72" i="121"/>
  <c r="AH72" i="121" s="1"/>
  <c r="D34" i="121"/>
  <c r="AB40" i="120"/>
  <c r="C365" i="120"/>
  <c r="AD8" i="120"/>
  <c r="AC9" i="120"/>
  <c r="AC10" i="120"/>
  <c r="C33" i="120"/>
  <c r="D33" i="120"/>
  <c r="AH32" i="120"/>
  <c r="D38" i="119"/>
  <c r="C33" i="119"/>
  <c r="Z40" i="119"/>
  <c r="AA9" i="119"/>
  <c r="AB8" i="119"/>
  <c r="AA10" i="119"/>
  <c r="E34" i="119"/>
  <c r="AH33" i="119"/>
  <c r="C366" i="119"/>
  <c r="D71" i="119"/>
  <c r="AH70" i="119"/>
  <c r="D36" i="118"/>
  <c r="AH35" i="118"/>
  <c r="C366" i="118"/>
  <c r="C34" i="118"/>
  <c r="D71" i="118"/>
  <c r="AH70" i="118"/>
  <c r="AC10" i="118"/>
  <c r="AC9" i="118"/>
  <c r="AC40" i="118" s="1"/>
  <c r="AD8" i="118"/>
  <c r="AB40" i="118"/>
  <c r="AE27" i="102"/>
  <c r="AE45" i="102" s="1"/>
  <c r="AF27" i="101"/>
  <c r="AG13" i="102"/>
  <c r="AD26" i="102"/>
  <c r="AG26" i="102" s="1"/>
  <c r="AG17" i="102"/>
  <c r="AG13" i="101"/>
  <c r="AD26" i="101"/>
  <c r="AG26" i="101" s="1"/>
  <c r="AG17" i="101"/>
  <c r="AE27" i="101"/>
  <c r="AF27" i="102"/>
  <c r="AG15" i="100"/>
  <c r="AE27" i="98"/>
  <c r="AE45" i="98" s="1"/>
  <c r="AG21" i="98"/>
  <c r="AG21" i="100"/>
  <c r="AD45" i="100"/>
  <c r="AG18" i="98"/>
  <c r="AF13" i="100"/>
  <c r="AG14" i="100"/>
  <c r="AF15" i="98"/>
  <c r="AG15" i="98" s="1"/>
  <c r="AF14" i="98"/>
  <c r="AG9" i="98"/>
  <c r="P73" i="61"/>
  <c r="AH362" i="129" l="1"/>
  <c r="AL30" i="129"/>
  <c r="H32" i="129"/>
  <c r="AH31" i="129"/>
  <c r="H32" i="121"/>
  <c r="AH31" i="121"/>
  <c r="AG25" i="110"/>
  <c r="AG19" i="110"/>
  <c r="AE27" i="110"/>
  <c r="AE45" i="110" s="1"/>
  <c r="AB40" i="121"/>
  <c r="AG18" i="110"/>
  <c r="AD27" i="101"/>
  <c r="AG27" i="101" s="1"/>
  <c r="AG10" i="110"/>
  <c r="AG21" i="110"/>
  <c r="AC9" i="121"/>
  <c r="AD8" i="121"/>
  <c r="AC10" i="121"/>
  <c r="C34" i="121"/>
  <c r="D35" i="121"/>
  <c r="C366" i="121"/>
  <c r="AH33" i="120"/>
  <c r="D34" i="120"/>
  <c r="C34" i="120"/>
  <c r="C366" i="120"/>
  <c r="AC40" i="120"/>
  <c r="AD9" i="120"/>
  <c r="AE8" i="120"/>
  <c r="AD10" i="120"/>
  <c r="AD27" i="102"/>
  <c r="C367" i="119"/>
  <c r="D39" i="119"/>
  <c r="AH71" i="119"/>
  <c r="D72" i="119"/>
  <c r="AH72" i="119" s="1"/>
  <c r="E35" i="119"/>
  <c r="AH34" i="119"/>
  <c r="AB9" i="119"/>
  <c r="AC8" i="119"/>
  <c r="AB10" i="119"/>
  <c r="AA40" i="119"/>
  <c r="C34" i="119"/>
  <c r="D72" i="118"/>
  <c r="AH72" i="118" s="1"/>
  <c r="AH71" i="118"/>
  <c r="C35" i="118"/>
  <c r="C367" i="118"/>
  <c r="AE8" i="118"/>
  <c r="AD9" i="118"/>
  <c r="AD10" i="118"/>
  <c r="D37" i="118"/>
  <c r="AH36" i="118"/>
  <c r="AF45" i="101"/>
  <c r="AF45" i="102"/>
  <c r="AE45" i="101"/>
  <c r="AF17" i="100"/>
  <c r="AG13" i="100"/>
  <c r="AE45" i="100"/>
  <c r="AF13" i="98"/>
  <c r="AG14" i="98"/>
  <c r="R73" i="61"/>
  <c r="Q73" i="61"/>
  <c r="AL31" i="129" l="1"/>
  <c r="AH363" i="129"/>
  <c r="AH32" i="129"/>
  <c r="H33" i="129"/>
  <c r="H33" i="121"/>
  <c r="AH32" i="121"/>
  <c r="AD45" i="101"/>
  <c r="AG45" i="101" s="1"/>
  <c r="AF14" i="110"/>
  <c r="AF15" i="110"/>
  <c r="AG15" i="110" s="1"/>
  <c r="AG9" i="110"/>
  <c r="AD45" i="102"/>
  <c r="AG45" i="102" s="1"/>
  <c r="AG27" i="102"/>
  <c r="AC40" i="121"/>
  <c r="C35" i="121"/>
  <c r="D36" i="121"/>
  <c r="C367" i="121"/>
  <c r="AE8" i="121"/>
  <c r="AD10" i="121"/>
  <c r="AD9" i="121"/>
  <c r="C35" i="120"/>
  <c r="AF8" i="120"/>
  <c r="AE9" i="120"/>
  <c r="AE10" i="120"/>
  <c r="AD40" i="120"/>
  <c r="AH34" i="120"/>
  <c r="D35" i="120"/>
  <c r="C367" i="120"/>
  <c r="C35" i="119"/>
  <c r="D40" i="119"/>
  <c r="AD8" i="119"/>
  <c r="AC9" i="119"/>
  <c r="AC10" i="119"/>
  <c r="C368" i="119"/>
  <c r="AB40" i="119"/>
  <c r="E36" i="119"/>
  <c r="AH35" i="119"/>
  <c r="C36" i="118"/>
  <c r="AH37" i="118"/>
  <c r="D38" i="118"/>
  <c r="AD40" i="118"/>
  <c r="AE10" i="118"/>
  <c r="AE9" i="118"/>
  <c r="AF8" i="118"/>
  <c r="C368" i="118"/>
  <c r="AF26" i="100"/>
  <c r="AG26" i="100" s="1"/>
  <c r="AG17" i="100"/>
  <c r="AF17" i="98"/>
  <c r="AG13" i="98"/>
  <c r="S73" i="61"/>
  <c r="H34" i="129" l="1"/>
  <c r="AH33" i="129"/>
  <c r="AL32" i="129"/>
  <c r="AH364" i="129"/>
  <c r="H34" i="121"/>
  <c r="AH33" i="121"/>
  <c r="AD40" i="121"/>
  <c r="AF13" i="110"/>
  <c r="AG14" i="110"/>
  <c r="D37" i="121"/>
  <c r="AF8" i="121"/>
  <c r="AE10" i="121"/>
  <c r="AE9" i="121"/>
  <c r="C368" i="121"/>
  <c r="C36" i="121"/>
  <c r="AE40" i="120"/>
  <c r="D36" i="120"/>
  <c r="AH35" i="120"/>
  <c r="C36" i="120"/>
  <c r="AF9" i="120"/>
  <c r="AF10" i="120"/>
  <c r="AG8" i="120"/>
  <c r="C368" i="120"/>
  <c r="E37" i="119"/>
  <c r="AH36" i="119"/>
  <c r="C369" i="119"/>
  <c r="AC40" i="119"/>
  <c r="C36" i="119"/>
  <c r="AE8" i="119"/>
  <c r="AD9" i="119"/>
  <c r="AD10" i="119"/>
  <c r="AF27" i="100"/>
  <c r="AF45" i="100" s="1"/>
  <c r="AG45" i="100" s="1"/>
  <c r="AE40" i="118"/>
  <c r="C369" i="118"/>
  <c r="AH38" i="118"/>
  <c r="D39" i="118"/>
  <c r="AG8" i="118"/>
  <c r="AF9" i="118"/>
  <c r="AF10" i="118"/>
  <c r="C37" i="118"/>
  <c r="AF26" i="98"/>
  <c r="AG26" i="98" s="1"/>
  <c r="AG17" i="98"/>
  <c r="T73" i="61"/>
  <c r="AL33" i="129" l="1"/>
  <c r="AH365" i="129"/>
  <c r="AH34" i="129"/>
  <c r="H35" i="129"/>
  <c r="H35" i="121"/>
  <c r="AH34" i="121"/>
  <c r="AD40" i="119"/>
  <c r="AG27" i="100"/>
  <c r="AF17" i="110"/>
  <c r="AG13" i="110"/>
  <c r="C37" i="121"/>
  <c r="C369" i="121"/>
  <c r="AE40" i="121"/>
  <c r="AG8" i="121"/>
  <c r="AF10" i="121"/>
  <c r="AF9" i="121"/>
  <c r="D38" i="121"/>
  <c r="AF40" i="120"/>
  <c r="AG10" i="120"/>
  <c r="AH10" i="120" s="1"/>
  <c r="AG9" i="120"/>
  <c r="D37" i="120"/>
  <c r="AH36" i="120"/>
  <c r="C369" i="120"/>
  <c r="C37" i="120"/>
  <c r="E38" i="119"/>
  <c r="AH37" i="119"/>
  <c r="C37" i="119"/>
  <c r="AE9" i="119"/>
  <c r="AF8" i="119"/>
  <c r="AE10" i="119"/>
  <c r="C370" i="119"/>
  <c r="C38" i="118"/>
  <c r="AF40" i="118"/>
  <c r="AG9" i="118"/>
  <c r="AG10" i="118"/>
  <c r="AH10" i="118" s="1"/>
  <c r="AH39" i="118"/>
  <c r="D40" i="118"/>
  <c r="C370" i="118"/>
  <c r="AF27" i="98"/>
  <c r="U73" i="61"/>
  <c r="AH35" i="129" l="1"/>
  <c r="H36" i="129"/>
  <c r="AH366" i="129"/>
  <c r="AL34" i="129"/>
  <c r="H36" i="121"/>
  <c r="AH35" i="121"/>
  <c r="AF40" i="121"/>
  <c r="AF26" i="110"/>
  <c r="AG17" i="110"/>
  <c r="C28" i="100" a="1"/>
  <c r="C28" i="98" a="1"/>
  <c r="D39" i="121"/>
  <c r="AG9" i="121"/>
  <c r="AG10" i="121"/>
  <c r="AH10" i="121" s="1"/>
  <c r="C370" i="121"/>
  <c r="C38" i="121"/>
  <c r="C370" i="120"/>
  <c r="AG40" i="120"/>
  <c r="AH9" i="120"/>
  <c r="C38" i="120"/>
  <c r="D38" i="120"/>
  <c r="AH37" i="120"/>
  <c r="AE40" i="119"/>
  <c r="C38" i="119"/>
  <c r="C371" i="119"/>
  <c r="AF9" i="119"/>
  <c r="AG8" i="119"/>
  <c r="AF10" i="119"/>
  <c r="E39" i="119"/>
  <c r="AH38" i="119"/>
  <c r="C371" i="118"/>
  <c r="AH371" i="118" s="1"/>
  <c r="AH370" i="118"/>
  <c r="AL10" i="118"/>
  <c r="AH342" i="118"/>
  <c r="AL14" i="118" s="1"/>
  <c r="AG40" i="118"/>
  <c r="AH9" i="118"/>
  <c r="AL38" i="118"/>
  <c r="C39" i="118"/>
  <c r="AH353" i="118"/>
  <c r="AL25" i="118" s="1"/>
  <c r="AH362" i="118"/>
  <c r="AH354" i="118"/>
  <c r="AL26" i="118" s="1"/>
  <c r="AH350" i="118"/>
  <c r="AL22" i="118" s="1"/>
  <c r="AH364" i="118"/>
  <c r="AL11" i="118"/>
  <c r="AL36" i="118"/>
  <c r="AH366" i="118"/>
  <c r="AL32" i="118"/>
  <c r="AH352" i="118"/>
  <c r="AL24" i="118" s="1"/>
  <c r="AF45" i="98"/>
  <c r="AG45" i="98" s="1"/>
  <c r="AG27" i="98"/>
  <c r="V73" i="61"/>
  <c r="AH36" i="129" l="1"/>
  <c r="H37" i="129"/>
  <c r="AH367" i="129"/>
  <c r="AL35" i="129"/>
  <c r="H37" i="121"/>
  <c r="AH36" i="121"/>
  <c r="AG26" i="110"/>
  <c r="AF27" i="110"/>
  <c r="K28" i="98"/>
  <c r="K29" i="98" s="1"/>
  <c r="C28" i="98"/>
  <c r="R28" i="98"/>
  <c r="R29" i="98" s="1"/>
  <c r="D28" i="98"/>
  <c r="D29" i="98" s="1"/>
  <c r="S28" i="98"/>
  <c r="S29" i="98" s="1"/>
  <c r="E28" i="98"/>
  <c r="E29" i="98" s="1"/>
  <c r="T28" i="98"/>
  <c r="T29" i="98" s="1"/>
  <c r="F28" i="98"/>
  <c r="F29" i="98" s="1"/>
  <c r="U28" i="98"/>
  <c r="U29" i="98" s="1"/>
  <c r="G28" i="98"/>
  <c r="G29" i="98" s="1"/>
  <c r="V28" i="98"/>
  <c r="V29" i="98" s="1"/>
  <c r="H28" i="98"/>
  <c r="H29" i="98" s="1"/>
  <c r="Z28" i="98"/>
  <c r="Z29" i="98" s="1"/>
  <c r="I28" i="98"/>
  <c r="I29" i="98" s="1"/>
  <c r="AA28" i="98"/>
  <c r="AA29" i="98" s="1"/>
  <c r="J28" i="98"/>
  <c r="J29" i="98" s="1"/>
  <c r="AB28" i="98"/>
  <c r="AB29" i="98" s="1"/>
  <c r="N28" i="98"/>
  <c r="N29" i="98" s="1"/>
  <c r="AC28" i="98"/>
  <c r="AC29" i="98" s="1"/>
  <c r="O28" i="98"/>
  <c r="O29" i="98" s="1"/>
  <c r="AD28" i="98"/>
  <c r="AD29" i="98" s="1"/>
  <c r="AF28" i="98"/>
  <c r="AF29" i="98" s="1"/>
  <c r="AF39" i="98" s="1"/>
  <c r="P28" i="98"/>
  <c r="P29" i="98" s="1"/>
  <c r="AE28" i="98"/>
  <c r="AE29" i="98" s="1"/>
  <c r="Q28" i="98"/>
  <c r="Q29" i="98" s="1"/>
  <c r="Y28" i="98"/>
  <c r="Y29" i="98" s="1"/>
  <c r="M28" i="98"/>
  <c r="M29" i="98" s="1"/>
  <c r="X28" i="98"/>
  <c r="X29" i="98" s="1"/>
  <c r="L28" i="98"/>
  <c r="L29" i="98" s="1"/>
  <c r="W28" i="98"/>
  <c r="W29" i="98" s="1"/>
  <c r="J28" i="100"/>
  <c r="J29" i="100" s="1"/>
  <c r="F28" i="100"/>
  <c r="F29" i="100" s="1"/>
  <c r="T28" i="100"/>
  <c r="T29" i="100" s="1"/>
  <c r="G28" i="100"/>
  <c r="G29" i="100" s="1"/>
  <c r="U28" i="100"/>
  <c r="U29" i="100" s="1"/>
  <c r="H28" i="100"/>
  <c r="H29" i="100" s="1"/>
  <c r="W28" i="100"/>
  <c r="W29" i="100" s="1"/>
  <c r="I28" i="100"/>
  <c r="I29" i="100" s="1"/>
  <c r="Y28" i="100"/>
  <c r="Y29" i="100" s="1"/>
  <c r="K28" i="100"/>
  <c r="K29" i="100" s="1"/>
  <c r="Z28" i="100"/>
  <c r="Z29" i="100" s="1"/>
  <c r="M28" i="100"/>
  <c r="M29" i="100" s="1"/>
  <c r="AA28" i="100"/>
  <c r="AA29" i="100" s="1"/>
  <c r="N28" i="100"/>
  <c r="N29" i="100" s="1"/>
  <c r="AB28" i="100"/>
  <c r="AB29" i="100" s="1"/>
  <c r="O28" i="100"/>
  <c r="O29" i="100" s="1"/>
  <c r="AC28" i="100"/>
  <c r="AC29" i="100" s="1"/>
  <c r="P28" i="100"/>
  <c r="P29" i="100" s="1"/>
  <c r="AD28" i="100"/>
  <c r="AD29" i="100" s="1"/>
  <c r="C28" i="100"/>
  <c r="C29" i="100" s="1"/>
  <c r="Q28" i="100"/>
  <c r="Q29" i="100" s="1"/>
  <c r="AE28" i="100"/>
  <c r="AE29" i="100" s="1"/>
  <c r="D28" i="100"/>
  <c r="D29" i="100" s="1"/>
  <c r="R28" i="100"/>
  <c r="R29" i="100" s="1"/>
  <c r="AF28" i="100"/>
  <c r="AF29" i="100" s="1"/>
  <c r="E28" i="100"/>
  <c r="E29" i="100" s="1"/>
  <c r="S28" i="100"/>
  <c r="S29" i="100" s="1"/>
  <c r="X28" i="100"/>
  <c r="X29" i="100" s="1"/>
  <c r="L28" i="100"/>
  <c r="L29" i="100" s="1"/>
  <c r="V28" i="100"/>
  <c r="C39" i="121"/>
  <c r="C371" i="121"/>
  <c r="AG40" i="121"/>
  <c r="AH9" i="121"/>
  <c r="D40" i="121"/>
  <c r="D39" i="120"/>
  <c r="AH38" i="120"/>
  <c r="C39" i="120"/>
  <c r="C371" i="120"/>
  <c r="AH364" i="119"/>
  <c r="AH358" i="119"/>
  <c r="AL30" i="119" s="1"/>
  <c r="E40" i="119"/>
  <c r="AH39" i="119"/>
  <c r="AG9" i="119"/>
  <c r="AG10" i="119"/>
  <c r="AH10" i="119" s="1"/>
  <c r="AF40" i="119"/>
  <c r="C39" i="119"/>
  <c r="AH352" i="119" s="1"/>
  <c r="AL24" i="119" s="1"/>
  <c r="AL11" i="119"/>
  <c r="AL12" i="119"/>
  <c r="AL39" i="118"/>
  <c r="AH356" i="118"/>
  <c r="AL28" i="118" s="1"/>
  <c r="AL37" i="118"/>
  <c r="AL33" i="118"/>
  <c r="AH363" i="118"/>
  <c r="AL34" i="118"/>
  <c r="AL35" i="118"/>
  <c r="AH358" i="118"/>
  <c r="AL30" i="118" s="1"/>
  <c r="AH360" i="118"/>
  <c r="AH368" i="118"/>
  <c r="AH357" i="118"/>
  <c r="AL29" i="118" s="1"/>
  <c r="AL12" i="118"/>
  <c r="AH365" i="118"/>
  <c r="AH367" i="118"/>
  <c r="AH346" i="118"/>
  <c r="AL18" i="118" s="1"/>
  <c r="AH347" i="118"/>
  <c r="AL19" i="118" s="1"/>
  <c r="AH345" i="118"/>
  <c r="AL17" i="118" s="1"/>
  <c r="AH369" i="118"/>
  <c r="AL31" i="118"/>
  <c r="AH343" i="118"/>
  <c r="AL15" i="118" s="1"/>
  <c r="AH341" i="118"/>
  <c r="AL13" i="118" s="1"/>
  <c r="AH40" i="118"/>
  <c r="AL9" i="118"/>
  <c r="W73" i="61"/>
  <c r="H38" i="129" l="1"/>
  <c r="AH37" i="129"/>
  <c r="AL36" i="129"/>
  <c r="AH368" i="129"/>
  <c r="AF31" i="98"/>
  <c r="AF36" i="98"/>
  <c r="AF32" i="98"/>
  <c r="AF35" i="98"/>
  <c r="H38" i="121"/>
  <c r="AH37" i="121"/>
  <c r="AH369" i="121" s="1"/>
  <c r="AF45" i="110"/>
  <c r="AG45" i="110" s="1"/>
  <c r="AG27" i="110"/>
  <c r="C28" i="102" a="1"/>
  <c r="C28" i="101" a="1"/>
  <c r="AG28" i="100"/>
  <c r="V29" i="100"/>
  <c r="AG29" i="100" s="1"/>
  <c r="P32" i="100"/>
  <c r="P55" i="100" s="1"/>
  <c r="P39" i="100"/>
  <c r="P31" i="100"/>
  <c r="P35" i="100"/>
  <c r="P36" i="100"/>
  <c r="H36" i="100"/>
  <c r="H39" i="100"/>
  <c r="H31" i="100"/>
  <c r="H35" i="100"/>
  <c r="H32" i="100"/>
  <c r="H55" i="100" s="1"/>
  <c r="AE36" i="98"/>
  <c r="AE31" i="98"/>
  <c r="AE32" i="98"/>
  <c r="AE55" i="98" s="1"/>
  <c r="AE39" i="98"/>
  <c r="AE35" i="98"/>
  <c r="H35" i="98"/>
  <c r="H32" i="98"/>
  <c r="H55" i="98" s="1"/>
  <c r="H39" i="98"/>
  <c r="H36" i="98"/>
  <c r="H31" i="98"/>
  <c r="L32" i="100"/>
  <c r="L55" i="100" s="1"/>
  <c r="L35" i="100"/>
  <c r="L31" i="100"/>
  <c r="L39" i="100"/>
  <c r="L36" i="100"/>
  <c r="AC31" i="100"/>
  <c r="AC39" i="100"/>
  <c r="AC36" i="100"/>
  <c r="AC32" i="100"/>
  <c r="AC55" i="100" s="1"/>
  <c r="AC35" i="100"/>
  <c r="U35" i="100"/>
  <c r="U39" i="100"/>
  <c r="U32" i="100"/>
  <c r="U55" i="100" s="1"/>
  <c r="U36" i="100"/>
  <c r="U31" i="100"/>
  <c r="P39" i="98"/>
  <c r="P31" i="98"/>
  <c r="P35" i="98"/>
  <c r="P36" i="98"/>
  <c r="P32" i="98"/>
  <c r="P55" i="98" s="1"/>
  <c r="V31" i="98"/>
  <c r="V35" i="98"/>
  <c r="V32" i="98"/>
  <c r="V55" i="98" s="1"/>
  <c r="V36" i="98"/>
  <c r="V39" i="98"/>
  <c r="X32" i="100"/>
  <c r="X55" i="100" s="1"/>
  <c r="X36" i="100"/>
  <c r="X31" i="100"/>
  <c r="X39" i="100"/>
  <c r="X35" i="100"/>
  <c r="O36" i="100"/>
  <c r="O31" i="100"/>
  <c r="O35" i="100"/>
  <c r="O32" i="100"/>
  <c r="O55" i="100" s="1"/>
  <c r="O39" i="100"/>
  <c r="G35" i="100"/>
  <c r="G32" i="100"/>
  <c r="G55" i="100" s="1"/>
  <c r="G39" i="100"/>
  <c r="G31" i="100"/>
  <c r="G36" i="100"/>
  <c r="G36" i="98"/>
  <c r="G31" i="98"/>
  <c r="G32" i="98"/>
  <c r="G55" i="98" s="1"/>
  <c r="G35" i="98"/>
  <c r="G39" i="98"/>
  <c r="S31" i="100"/>
  <c r="S32" i="100"/>
  <c r="S55" i="100" s="1"/>
  <c r="S35" i="100"/>
  <c r="S36" i="100"/>
  <c r="S39" i="100"/>
  <c r="AB32" i="100"/>
  <c r="AB55" i="100" s="1"/>
  <c r="AB39" i="100"/>
  <c r="AB36" i="100"/>
  <c r="AB31" i="100"/>
  <c r="AB35" i="100"/>
  <c r="T35" i="100"/>
  <c r="T36" i="100"/>
  <c r="T39" i="100"/>
  <c r="T32" i="100"/>
  <c r="T55" i="100" s="1"/>
  <c r="T31" i="100"/>
  <c r="AD39" i="98"/>
  <c r="AD36" i="98"/>
  <c r="AD32" i="98"/>
  <c r="AD55" i="98" s="1"/>
  <c r="AD35" i="98"/>
  <c r="AD31" i="98"/>
  <c r="U36" i="98"/>
  <c r="U32" i="98"/>
  <c r="U55" i="98" s="1"/>
  <c r="U31" i="98"/>
  <c r="U39" i="98"/>
  <c r="U35" i="98"/>
  <c r="E32" i="100"/>
  <c r="E55" i="100" s="1"/>
  <c r="E31" i="100"/>
  <c r="E39" i="100"/>
  <c r="E36" i="100"/>
  <c r="E35" i="100"/>
  <c r="E37" i="100" s="1"/>
  <c r="N32" i="100"/>
  <c r="N55" i="100" s="1"/>
  <c r="N36" i="100"/>
  <c r="N35" i="100"/>
  <c r="N31" i="100"/>
  <c r="N39" i="100"/>
  <c r="F35" i="100"/>
  <c r="F32" i="100"/>
  <c r="F55" i="100" s="1"/>
  <c r="F39" i="100"/>
  <c r="F31" i="100"/>
  <c r="F36" i="100"/>
  <c r="O35" i="98"/>
  <c r="O39" i="98"/>
  <c r="O36" i="98"/>
  <c r="O31" i="98"/>
  <c r="O32" i="98"/>
  <c r="O55" i="98" s="1"/>
  <c r="F39" i="98"/>
  <c r="F36" i="98"/>
  <c r="F32" i="98"/>
  <c r="F55" i="98" s="1"/>
  <c r="F31" i="98"/>
  <c r="F35" i="98"/>
  <c r="AF39" i="100"/>
  <c r="AF31" i="100"/>
  <c r="AF36" i="100"/>
  <c r="AF32" i="100"/>
  <c r="AF55" i="100" s="1"/>
  <c r="AF35" i="100"/>
  <c r="AA35" i="100"/>
  <c r="AA36" i="100"/>
  <c r="AA32" i="100"/>
  <c r="AA55" i="100" s="1"/>
  <c r="AA31" i="100"/>
  <c r="AA39" i="100"/>
  <c r="J39" i="100"/>
  <c r="J36" i="100"/>
  <c r="J32" i="100"/>
  <c r="J55" i="100" s="1"/>
  <c r="J31" i="100"/>
  <c r="J35" i="100"/>
  <c r="AC31" i="98"/>
  <c r="AC32" i="98"/>
  <c r="AC55" i="98" s="1"/>
  <c r="AC36" i="98"/>
  <c r="AC35" i="98"/>
  <c r="AC39" i="98"/>
  <c r="T36" i="98"/>
  <c r="T35" i="98"/>
  <c r="T31" i="98"/>
  <c r="T32" i="98"/>
  <c r="T55" i="98" s="1"/>
  <c r="T39" i="98"/>
  <c r="R31" i="100"/>
  <c r="R35" i="100"/>
  <c r="R39" i="100"/>
  <c r="R32" i="100"/>
  <c r="R55" i="100" s="1"/>
  <c r="R36" i="100"/>
  <c r="M36" i="100"/>
  <c r="M32" i="100"/>
  <c r="M55" i="100" s="1"/>
  <c r="M31" i="100"/>
  <c r="M39" i="100"/>
  <c r="M35" i="100"/>
  <c r="W32" i="98"/>
  <c r="W55" i="98" s="1"/>
  <c r="W39" i="98"/>
  <c r="W31" i="98"/>
  <c r="W36" i="98"/>
  <c r="W35" i="98"/>
  <c r="N35" i="98"/>
  <c r="N36" i="98"/>
  <c r="N39" i="98"/>
  <c r="N32" i="98"/>
  <c r="N55" i="98" s="1"/>
  <c r="N31" i="98"/>
  <c r="E39" i="98"/>
  <c r="E36" i="98"/>
  <c r="E31" i="98"/>
  <c r="E35" i="98"/>
  <c r="E32" i="98"/>
  <c r="E55" i="98" s="1"/>
  <c r="D35" i="100"/>
  <c r="D32" i="100"/>
  <c r="D39" i="100"/>
  <c r="D31" i="100"/>
  <c r="D36" i="100"/>
  <c r="Z31" i="100"/>
  <c r="Z35" i="100"/>
  <c r="Z32" i="100"/>
  <c r="Z55" i="100" s="1"/>
  <c r="Z39" i="100"/>
  <c r="Z36" i="100"/>
  <c r="L32" i="98"/>
  <c r="L55" i="98" s="1"/>
  <c r="L36" i="98"/>
  <c r="L39" i="98"/>
  <c r="L35" i="98"/>
  <c r="L31" i="98"/>
  <c r="AB36" i="98"/>
  <c r="AB39" i="98"/>
  <c r="AB35" i="98"/>
  <c r="AB32" i="98"/>
  <c r="AB55" i="98" s="1"/>
  <c r="AB31" i="98"/>
  <c r="S31" i="98"/>
  <c r="S36" i="98"/>
  <c r="S39" i="98"/>
  <c r="S35" i="98"/>
  <c r="S32" i="98"/>
  <c r="S55" i="98" s="1"/>
  <c r="AE31" i="100"/>
  <c r="AE32" i="100"/>
  <c r="AE55" i="100" s="1"/>
  <c r="AE39" i="100"/>
  <c r="AE36" i="100"/>
  <c r="AE35" i="100"/>
  <c r="K31" i="100"/>
  <c r="K32" i="100"/>
  <c r="K55" i="100" s="1"/>
  <c r="K35" i="100"/>
  <c r="K36" i="100"/>
  <c r="K39" i="100"/>
  <c r="X31" i="98"/>
  <c r="X39" i="98"/>
  <c r="X35" i="98"/>
  <c r="X36" i="98"/>
  <c r="X32" i="98"/>
  <c r="X55" i="98" s="1"/>
  <c r="J32" i="98"/>
  <c r="J55" i="98" s="1"/>
  <c r="J31" i="98"/>
  <c r="J35" i="98"/>
  <c r="J36" i="98"/>
  <c r="J39" i="98"/>
  <c r="D36" i="98"/>
  <c r="D31" i="98"/>
  <c r="D39" i="98"/>
  <c r="D32" i="98"/>
  <c r="D55" i="98" s="1"/>
  <c r="D35" i="98"/>
  <c r="Q35" i="100"/>
  <c r="Q36" i="100"/>
  <c r="Q31" i="100"/>
  <c r="Q32" i="100"/>
  <c r="Q55" i="100" s="1"/>
  <c r="Q39" i="100"/>
  <c r="Y39" i="100"/>
  <c r="Y32" i="100"/>
  <c r="Y55" i="100" s="1"/>
  <c r="Y35" i="100"/>
  <c r="Y36" i="100"/>
  <c r="Y31" i="100"/>
  <c r="M39" i="98"/>
  <c r="M36" i="98"/>
  <c r="M31" i="98"/>
  <c r="M35" i="98"/>
  <c r="M32" i="98"/>
  <c r="M55" i="98" s="1"/>
  <c r="AA31" i="98"/>
  <c r="AA35" i="98"/>
  <c r="AA32" i="98"/>
  <c r="AA55" i="98" s="1"/>
  <c r="AA36" i="98"/>
  <c r="AA39" i="98"/>
  <c r="R32" i="98"/>
  <c r="R55" i="98" s="1"/>
  <c r="R35" i="98"/>
  <c r="R36" i="98"/>
  <c r="R31" i="98"/>
  <c r="R39" i="98"/>
  <c r="C35" i="100"/>
  <c r="C36" i="100"/>
  <c r="C39" i="100"/>
  <c r="C33" i="100"/>
  <c r="I32" i="100"/>
  <c r="I55" i="100" s="1"/>
  <c r="I31" i="100"/>
  <c r="I35" i="100"/>
  <c r="I39" i="100"/>
  <c r="I36" i="100"/>
  <c r="Y36" i="98"/>
  <c r="Y32" i="98"/>
  <c r="Y55" i="98" s="1"/>
  <c r="Y31" i="98"/>
  <c r="Y35" i="98"/>
  <c r="Y39" i="98"/>
  <c r="I32" i="98"/>
  <c r="I55" i="98" s="1"/>
  <c r="I39" i="98"/>
  <c r="I31" i="98"/>
  <c r="I36" i="98"/>
  <c r="I35" i="98"/>
  <c r="AG28" i="98"/>
  <c r="C29" i="98"/>
  <c r="AD39" i="100"/>
  <c r="AD32" i="100"/>
  <c r="AD55" i="100" s="1"/>
  <c r="AD36" i="100"/>
  <c r="AD35" i="100"/>
  <c r="AD31" i="100"/>
  <c r="W32" i="100"/>
  <c r="W55" i="100" s="1"/>
  <c r="W36" i="100"/>
  <c r="W31" i="100"/>
  <c r="W35" i="100"/>
  <c r="W39" i="100"/>
  <c r="Q31" i="98"/>
  <c r="Q35" i="98"/>
  <c r="Q39" i="98"/>
  <c r="Q32" i="98"/>
  <c r="Q55" i="98" s="1"/>
  <c r="Q36" i="98"/>
  <c r="Z35" i="98"/>
  <c r="Z36" i="98"/>
  <c r="Z31" i="98"/>
  <c r="Z32" i="98"/>
  <c r="Z55" i="98" s="1"/>
  <c r="Z39" i="98"/>
  <c r="K31" i="98"/>
  <c r="K35" i="98"/>
  <c r="K32" i="98"/>
  <c r="K55" i="98" s="1"/>
  <c r="K36" i="98"/>
  <c r="K39" i="98"/>
  <c r="AL34" i="121"/>
  <c r="AH342" i="121"/>
  <c r="AL14" i="121" s="1"/>
  <c r="AH353" i="121"/>
  <c r="AL25" i="121" s="1"/>
  <c r="AH344" i="121"/>
  <c r="AL16" i="121" s="1"/>
  <c r="AH350" i="121"/>
  <c r="AL22" i="121" s="1"/>
  <c r="AH39" i="120"/>
  <c r="D40" i="120"/>
  <c r="AG40" i="119"/>
  <c r="AH9" i="119"/>
  <c r="AH356" i="119"/>
  <c r="AL28" i="119" s="1"/>
  <c r="AH369" i="119"/>
  <c r="AH350" i="119"/>
  <c r="AL22" i="119" s="1"/>
  <c r="AL36" i="119"/>
  <c r="AH357" i="119"/>
  <c r="AL29" i="119" s="1"/>
  <c r="AL33" i="119"/>
  <c r="AL38" i="119"/>
  <c r="AL39" i="119"/>
  <c r="AH353" i="119"/>
  <c r="AL25" i="119" s="1"/>
  <c r="AH346" i="119"/>
  <c r="AL18" i="119" s="1"/>
  <c r="AH355" i="119"/>
  <c r="AL27" i="119" s="1"/>
  <c r="AL37" i="119"/>
  <c r="AH367" i="119"/>
  <c r="AH344" i="119"/>
  <c r="AL16" i="119" s="1"/>
  <c r="AL35" i="119"/>
  <c r="AH343" i="119"/>
  <c r="AL15" i="119" s="1"/>
  <c r="AH365" i="119"/>
  <c r="AH366" i="119"/>
  <c r="AL10" i="119"/>
  <c r="AH342" i="119"/>
  <c r="AL14" i="119" s="1"/>
  <c r="AH345" i="119"/>
  <c r="AL17" i="119" s="1"/>
  <c r="AH347" i="119"/>
  <c r="AL19" i="119" s="1"/>
  <c r="AH371" i="119"/>
  <c r="AL34" i="119"/>
  <c r="AH368" i="119"/>
  <c r="AH370" i="119"/>
  <c r="AH359" i="118"/>
  <c r="AH355" i="118"/>
  <c r="AL27" i="118" s="1"/>
  <c r="AH348" i="118"/>
  <c r="AL20" i="118" s="1"/>
  <c r="AH349" i="118"/>
  <c r="AL21" i="118" s="1"/>
  <c r="AH344" i="118"/>
  <c r="AL16" i="118" s="1"/>
  <c r="AH351" i="118"/>
  <c r="AL23" i="118" s="1"/>
  <c r="AH361" i="118"/>
  <c r="AF55" i="98"/>
  <c r="AF30" i="98"/>
  <c r="AF54" i="98"/>
  <c r="AF37" i="98"/>
  <c r="X73" i="61"/>
  <c r="AH369" i="129" l="1"/>
  <c r="AL37" i="129"/>
  <c r="AH38" i="129"/>
  <c r="H39" i="129"/>
  <c r="AH39" i="129" s="1"/>
  <c r="H40" i="129"/>
  <c r="E37" i="98"/>
  <c r="K37" i="98"/>
  <c r="I37" i="100"/>
  <c r="H39" i="121"/>
  <c r="AH38" i="121"/>
  <c r="AL38" i="121" s="1"/>
  <c r="R37" i="98"/>
  <c r="L37" i="98"/>
  <c r="W37" i="98"/>
  <c r="AG31" i="98"/>
  <c r="U37" i="100"/>
  <c r="D28" i="101"/>
  <c r="D29" i="101" s="1"/>
  <c r="P28" i="101"/>
  <c r="P29" i="101" s="1"/>
  <c r="AB28" i="101"/>
  <c r="AB29" i="101" s="1"/>
  <c r="E28" i="101"/>
  <c r="E29" i="101" s="1"/>
  <c r="Q28" i="101"/>
  <c r="Q29" i="101" s="1"/>
  <c r="AC28" i="101"/>
  <c r="AC29" i="101" s="1"/>
  <c r="F28" i="101"/>
  <c r="F29" i="101" s="1"/>
  <c r="R28" i="101"/>
  <c r="R29" i="101" s="1"/>
  <c r="AD28" i="101"/>
  <c r="AD29" i="101" s="1"/>
  <c r="G28" i="101"/>
  <c r="G29" i="101" s="1"/>
  <c r="S28" i="101"/>
  <c r="S29" i="101" s="1"/>
  <c r="AE28" i="101"/>
  <c r="AE29" i="101" s="1"/>
  <c r="H28" i="101"/>
  <c r="H29" i="101" s="1"/>
  <c r="T28" i="101"/>
  <c r="T29" i="101" s="1"/>
  <c r="AF28" i="101"/>
  <c r="AF29" i="101" s="1"/>
  <c r="I28" i="101"/>
  <c r="I29" i="101" s="1"/>
  <c r="U28" i="101"/>
  <c r="U29" i="101" s="1"/>
  <c r="J28" i="101"/>
  <c r="J29" i="101" s="1"/>
  <c r="V28" i="101"/>
  <c r="V29" i="101" s="1"/>
  <c r="Z28" i="101"/>
  <c r="Z29" i="101" s="1"/>
  <c r="C28" i="101"/>
  <c r="O28" i="101"/>
  <c r="O29" i="101" s="1"/>
  <c r="K28" i="101"/>
  <c r="K29" i="101" s="1"/>
  <c r="W28" i="101"/>
  <c r="W29" i="101" s="1"/>
  <c r="AA28" i="101"/>
  <c r="AA29" i="101" s="1"/>
  <c r="L28" i="101"/>
  <c r="L29" i="101" s="1"/>
  <c r="X28" i="101"/>
  <c r="X29" i="101" s="1"/>
  <c r="M28" i="101"/>
  <c r="M29" i="101" s="1"/>
  <c r="Y28" i="101"/>
  <c r="Y29" i="101" s="1"/>
  <c r="N28" i="101"/>
  <c r="N29" i="101" s="1"/>
  <c r="K28" i="102"/>
  <c r="K29" i="102" s="1"/>
  <c r="W28" i="102"/>
  <c r="W29" i="102" s="1"/>
  <c r="L28" i="102"/>
  <c r="L29" i="102" s="1"/>
  <c r="X28" i="102"/>
  <c r="X29" i="102" s="1"/>
  <c r="M28" i="102"/>
  <c r="M29" i="102" s="1"/>
  <c r="Y28" i="102"/>
  <c r="Y29" i="102" s="1"/>
  <c r="N28" i="102"/>
  <c r="N29" i="102" s="1"/>
  <c r="Z28" i="102"/>
  <c r="Z29" i="102" s="1"/>
  <c r="C28" i="102"/>
  <c r="O28" i="102"/>
  <c r="O29" i="102" s="1"/>
  <c r="AA28" i="102"/>
  <c r="AA29" i="102" s="1"/>
  <c r="D28" i="102"/>
  <c r="D29" i="102" s="1"/>
  <c r="P28" i="102"/>
  <c r="P29" i="102" s="1"/>
  <c r="AB28" i="102"/>
  <c r="AB29" i="102" s="1"/>
  <c r="E28" i="102"/>
  <c r="E29" i="102" s="1"/>
  <c r="Q28" i="102"/>
  <c r="Q29" i="102" s="1"/>
  <c r="AC28" i="102"/>
  <c r="AC29" i="102" s="1"/>
  <c r="U28" i="102"/>
  <c r="U29" i="102" s="1"/>
  <c r="J28" i="102"/>
  <c r="J29" i="102" s="1"/>
  <c r="F28" i="102"/>
  <c r="F29" i="102" s="1"/>
  <c r="R28" i="102"/>
  <c r="R29" i="102" s="1"/>
  <c r="AD28" i="102"/>
  <c r="AD29" i="102" s="1"/>
  <c r="V28" i="102"/>
  <c r="V29" i="102" s="1"/>
  <c r="G28" i="102"/>
  <c r="G29" i="102" s="1"/>
  <c r="S28" i="102"/>
  <c r="S29" i="102" s="1"/>
  <c r="AE28" i="102"/>
  <c r="AE29" i="102" s="1"/>
  <c r="H28" i="102"/>
  <c r="H29" i="102" s="1"/>
  <c r="T28" i="102"/>
  <c r="T29" i="102" s="1"/>
  <c r="AF28" i="102"/>
  <c r="AF29" i="102" s="1"/>
  <c r="I28" i="102"/>
  <c r="I29" i="102" s="1"/>
  <c r="L37" i="100"/>
  <c r="Y37" i="100"/>
  <c r="F37" i="98"/>
  <c r="G37" i="98"/>
  <c r="AE37" i="100"/>
  <c r="AB37" i="98"/>
  <c r="AB37" i="100"/>
  <c r="AE37" i="98"/>
  <c r="AD37" i="98"/>
  <c r="J37" i="100"/>
  <c r="O37" i="98"/>
  <c r="I37" i="98"/>
  <c r="AA37" i="98"/>
  <c r="AD37" i="100"/>
  <c r="Y37" i="98"/>
  <c r="X37" i="100"/>
  <c r="M37" i="98"/>
  <c r="AA37" i="100"/>
  <c r="D37" i="98"/>
  <c r="X37" i="98"/>
  <c r="Y54" i="100"/>
  <c r="Y53" i="100" s="1"/>
  <c r="Y47" i="100" s="1"/>
  <c r="Y56" i="100" s="1"/>
  <c r="Y30" i="100"/>
  <c r="Y33" i="100" s="1"/>
  <c r="AE54" i="100"/>
  <c r="AE53" i="100" s="1"/>
  <c r="AE47" i="100" s="1"/>
  <c r="AE56" i="100" s="1"/>
  <c r="AE30" i="100"/>
  <c r="AE33" i="100" s="1"/>
  <c r="N54" i="100"/>
  <c r="N53" i="100" s="1"/>
  <c r="N47" i="100" s="1"/>
  <c r="N56" i="100" s="1"/>
  <c r="N30" i="100"/>
  <c r="N33" i="100" s="1"/>
  <c r="U30" i="98"/>
  <c r="U33" i="98" s="1"/>
  <c r="U54" i="98"/>
  <c r="U53" i="98" s="1"/>
  <c r="U47" i="98" s="1"/>
  <c r="U56" i="98" s="1"/>
  <c r="K54" i="98"/>
  <c r="K53" i="98" s="1"/>
  <c r="K47" i="98" s="1"/>
  <c r="K56" i="98" s="1"/>
  <c r="K30" i="98"/>
  <c r="K33" i="98" s="1"/>
  <c r="W37" i="100"/>
  <c r="I30" i="100"/>
  <c r="I33" i="100" s="1"/>
  <c r="I54" i="100"/>
  <c r="I53" i="100" s="1"/>
  <c r="I47" i="100" s="1"/>
  <c r="I56" i="100" s="1"/>
  <c r="L54" i="98"/>
  <c r="L53" i="98" s="1"/>
  <c r="L47" i="98" s="1"/>
  <c r="L56" i="98" s="1"/>
  <c r="L30" i="98"/>
  <c r="L33" i="98" s="1"/>
  <c r="D30" i="100"/>
  <c r="D54" i="100"/>
  <c r="AC37" i="98"/>
  <c r="N37" i="100"/>
  <c r="T37" i="100"/>
  <c r="H37" i="100"/>
  <c r="AG32" i="98"/>
  <c r="W30" i="100"/>
  <c r="W33" i="100" s="1"/>
  <c r="W54" i="100"/>
  <c r="W53" i="100" s="1"/>
  <c r="W47" i="100" s="1"/>
  <c r="W56" i="100" s="1"/>
  <c r="I30" i="98"/>
  <c r="I33" i="98" s="1"/>
  <c r="I54" i="98"/>
  <c r="I53" i="98" s="1"/>
  <c r="I47" i="98" s="1"/>
  <c r="I56" i="98" s="1"/>
  <c r="X54" i="98"/>
  <c r="X53" i="98" s="1"/>
  <c r="X47" i="98" s="1"/>
  <c r="X56" i="98" s="1"/>
  <c r="X30" i="98"/>
  <c r="X33" i="98" s="1"/>
  <c r="O30" i="98"/>
  <c r="O33" i="98" s="1"/>
  <c r="O54" i="98"/>
  <c r="O53" i="98" s="1"/>
  <c r="O47" i="98" s="1"/>
  <c r="O56" i="98" s="1"/>
  <c r="V37" i="98"/>
  <c r="H30" i="98"/>
  <c r="H33" i="98" s="1"/>
  <c r="H54" i="98"/>
  <c r="H53" i="98" s="1"/>
  <c r="H47" i="98" s="1"/>
  <c r="H56" i="98" s="1"/>
  <c r="H30" i="100"/>
  <c r="H33" i="100" s="1"/>
  <c r="H54" i="100"/>
  <c r="H53" i="100" s="1"/>
  <c r="H47" i="100" s="1"/>
  <c r="H56" i="100" s="1"/>
  <c r="AG55" i="98"/>
  <c r="D54" i="98"/>
  <c r="D53" i="98" s="1"/>
  <c r="D47" i="98" s="1"/>
  <c r="D56" i="98" s="1"/>
  <c r="D30" i="98"/>
  <c r="D33" i="98" s="1"/>
  <c r="S37" i="98"/>
  <c r="D55" i="100"/>
  <c r="N37" i="98"/>
  <c r="AF37" i="100"/>
  <c r="AD30" i="98"/>
  <c r="AD33" i="98" s="1"/>
  <c r="AD54" i="98"/>
  <c r="AD53" i="98" s="1"/>
  <c r="AD47" i="98" s="1"/>
  <c r="AD56" i="98" s="1"/>
  <c r="AB30" i="100"/>
  <c r="AB33" i="100" s="1"/>
  <c r="AB54" i="100"/>
  <c r="AB53" i="100" s="1"/>
  <c r="AB47" i="100" s="1"/>
  <c r="AB56" i="100" s="1"/>
  <c r="O37" i="100"/>
  <c r="V54" i="98"/>
  <c r="V53" i="98" s="1"/>
  <c r="V47" i="98" s="1"/>
  <c r="V56" i="98" s="1"/>
  <c r="V30" i="98"/>
  <c r="V33" i="98" s="1"/>
  <c r="AC37" i="100"/>
  <c r="Z30" i="98"/>
  <c r="Z33" i="98" s="1"/>
  <c r="Z54" i="98"/>
  <c r="Z53" i="98" s="1"/>
  <c r="Z47" i="98" s="1"/>
  <c r="Z56" i="98" s="1"/>
  <c r="D37" i="100"/>
  <c r="AC30" i="98"/>
  <c r="AC33" i="98" s="1"/>
  <c r="AC54" i="98"/>
  <c r="AC53" i="98" s="1"/>
  <c r="AC47" i="98" s="1"/>
  <c r="AC56" i="98" s="1"/>
  <c r="G30" i="98"/>
  <c r="G33" i="98" s="1"/>
  <c r="G54" i="98"/>
  <c r="G53" i="98" s="1"/>
  <c r="G47" i="98" s="1"/>
  <c r="G56" i="98" s="1"/>
  <c r="O54" i="100"/>
  <c r="O53" i="100" s="1"/>
  <c r="O47" i="100" s="1"/>
  <c r="O56" i="100" s="1"/>
  <c r="O30" i="100"/>
  <c r="O33" i="100" s="1"/>
  <c r="AD30" i="100"/>
  <c r="AD33" i="100" s="1"/>
  <c r="AD54" i="100"/>
  <c r="AD53" i="100" s="1"/>
  <c r="AD47" i="100" s="1"/>
  <c r="AD56" i="100" s="1"/>
  <c r="K37" i="100"/>
  <c r="R37" i="100"/>
  <c r="Z37" i="98"/>
  <c r="AA54" i="98"/>
  <c r="AA53" i="98" s="1"/>
  <c r="AA47" i="98" s="1"/>
  <c r="AA56" i="98" s="1"/>
  <c r="AA30" i="98"/>
  <c r="AA33" i="98" s="1"/>
  <c r="S54" i="98"/>
  <c r="S53" i="98" s="1"/>
  <c r="S47" i="98" s="1"/>
  <c r="S56" i="98" s="1"/>
  <c r="S30" i="98"/>
  <c r="S33" i="98" s="1"/>
  <c r="W54" i="98"/>
  <c r="W53" i="98" s="1"/>
  <c r="W47" i="98" s="1"/>
  <c r="W56" i="98" s="1"/>
  <c r="W30" i="98"/>
  <c r="W33" i="98" s="1"/>
  <c r="R30" i="100"/>
  <c r="R33" i="100" s="1"/>
  <c r="R54" i="100"/>
  <c r="R53" i="100" s="1"/>
  <c r="R47" i="100" s="1"/>
  <c r="R56" i="100" s="1"/>
  <c r="J54" i="100"/>
  <c r="J53" i="100" s="1"/>
  <c r="J47" i="100" s="1"/>
  <c r="J56" i="100" s="1"/>
  <c r="J30" i="100"/>
  <c r="J33" i="100" s="1"/>
  <c r="AF54" i="100"/>
  <c r="AF53" i="100" s="1"/>
  <c r="AF47" i="100" s="1"/>
  <c r="AF30" i="100"/>
  <c r="AF33" i="100" s="1"/>
  <c r="H37" i="98"/>
  <c r="P37" i="100"/>
  <c r="Y54" i="98"/>
  <c r="Y53" i="98" s="1"/>
  <c r="Y47" i="98" s="1"/>
  <c r="Y56" i="98" s="1"/>
  <c r="Y30" i="98"/>
  <c r="Y33" i="98" s="1"/>
  <c r="C37" i="100"/>
  <c r="J37" i="98"/>
  <c r="K54" i="100"/>
  <c r="K53" i="100" s="1"/>
  <c r="K47" i="100" s="1"/>
  <c r="K56" i="100" s="1"/>
  <c r="K30" i="100"/>
  <c r="K33" i="100" s="1"/>
  <c r="AB30" i="98"/>
  <c r="AB33" i="98" s="1"/>
  <c r="AB54" i="98"/>
  <c r="AB53" i="98" s="1"/>
  <c r="AB47" i="98" s="1"/>
  <c r="AB56" i="98" s="1"/>
  <c r="F30" i="100"/>
  <c r="F33" i="100" s="1"/>
  <c r="F54" i="100"/>
  <c r="F53" i="100" s="1"/>
  <c r="F47" i="100" s="1"/>
  <c r="F56" i="100" s="1"/>
  <c r="E30" i="100"/>
  <c r="E33" i="100" s="1"/>
  <c r="E54" i="100"/>
  <c r="E53" i="100" s="1"/>
  <c r="E47" i="100" s="1"/>
  <c r="E56" i="100" s="1"/>
  <c r="P37" i="98"/>
  <c r="AC54" i="100"/>
  <c r="AC53" i="100" s="1"/>
  <c r="AC47" i="100" s="1"/>
  <c r="AC56" i="100" s="1"/>
  <c r="AC30" i="100"/>
  <c r="AC33" i="100" s="1"/>
  <c r="P30" i="100"/>
  <c r="P33" i="100" s="1"/>
  <c r="P54" i="100"/>
  <c r="P53" i="100" s="1"/>
  <c r="P47" i="100" s="1"/>
  <c r="P56" i="100" s="1"/>
  <c r="Q54" i="100"/>
  <c r="Q53" i="100" s="1"/>
  <c r="Q47" i="100" s="1"/>
  <c r="Q56" i="100" s="1"/>
  <c r="Q30" i="100"/>
  <c r="Q33" i="100" s="1"/>
  <c r="J30" i="98"/>
  <c r="J33" i="98" s="1"/>
  <c r="J54" i="98"/>
  <c r="J53" i="98" s="1"/>
  <c r="J47" i="98" s="1"/>
  <c r="J56" i="98" s="1"/>
  <c r="E30" i="98"/>
  <c r="E33" i="98" s="1"/>
  <c r="E54" i="98"/>
  <c r="E53" i="98" s="1"/>
  <c r="E47" i="98" s="1"/>
  <c r="E56" i="98" s="1"/>
  <c r="G30" i="100"/>
  <c r="G33" i="100" s="1"/>
  <c r="G54" i="100"/>
  <c r="G53" i="100" s="1"/>
  <c r="G47" i="100" s="1"/>
  <c r="G56" i="100" s="1"/>
  <c r="X54" i="100"/>
  <c r="X53" i="100" s="1"/>
  <c r="X47" i="100" s="1"/>
  <c r="X56" i="100" s="1"/>
  <c r="X30" i="100"/>
  <c r="X33" i="100" s="1"/>
  <c r="P54" i="98"/>
  <c r="P53" i="98" s="1"/>
  <c r="P47" i="98" s="1"/>
  <c r="P56" i="98" s="1"/>
  <c r="P30" i="98"/>
  <c r="P33" i="98" s="1"/>
  <c r="M30" i="98"/>
  <c r="M33" i="98" s="1"/>
  <c r="M54" i="98"/>
  <c r="M53" i="98" s="1"/>
  <c r="M47" i="98" s="1"/>
  <c r="M56" i="98" s="1"/>
  <c r="Z37" i="100"/>
  <c r="M37" i="100"/>
  <c r="T30" i="98"/>
  <c r="T33" i="98" s="1"/>
  <c r="T54" i="98"/>
  <c r="T53" i="98" s="1"/>
  <c r="T47" i="98" s="1"/>
  <c r="T56" i="98" s="1"/>
  <c r="F54" i="98"/>
  <c r="F53" i="98" s="1"/>
  <c r="F47" i="98" s="1"/>
  <c r="F56" i="98" s="1"/>
  <c r="F30" i="98"/>
  <c r="F33" i="98" s="1"/>
  <c r="T30" i="100"/>
  <c r="T33" i="100" s="1"/>
  <c r="T54" i="100"/>
  <c r="T53" i="100" s="1"/>
  <c r="T47" i="100" s="1"/>
  <c r="T56" i="100" s="1"/>
  <c r="S37" i="100"/>
  <c r="Q37" i="98"/>
  <c r="C33" i="98"/>
  <c r="C35" i="98"/>
  <c r="C39" i="98"/>
  <c r="B39" i="98" s="1"/>
  <c r="C36" i="98"/>
  <c r="AG29" i="98"/>
  <c r="R30" i="98"/>
  <c r="R33" i="98" s="1"/>
  <c r="R54" i="98"/>
  <c r="R53" i="98" s="1"/>
  <c r="R47" i="98" s="1"/>
  <c r="R56" i="98" s="1"/>
  <c r="Q37" i="100"/>
  <c r="Z54" i="100"/>
  <c r="Z53" i="100" s="1"/>
  <c r="Z47" i="100" s="1"/>
  <c r="Z56" i="100" s="1"/>
  <c r="Z30" i="100"/>
  <c r="Z33" i="100" s="1"/>
  <c r="T37" i="98"/>
  <c r="F37" i="100"/>
  <c r="U37" i="98"/>
  <c r="U30" i="100"/>
  <c r="U33" i="100" s="1"/>
  <c r="U54" i="100"/>
  <c r="U53" i="100" s="1"/>
  <c r="U47" i="100" s="1"/>
  <c r="U56" i="100" s="1"/>
  <c r="AE30" i="98"/>
  <c r="AE33" i="98" s="1"/>
  <c r="AE54" i="98"/>
  <c r="AE53" i="98" s="1"/>
  <c r="AE47" i="98" s="1"/>
  <c r="AE56" i="98" s="1"/>
  <c r="V31" i="100"/>
  <c r="V39" i="100"/>
  <c r="B39" i="100" s="1"/>
  <c r="V35" i="100"/>
  <c r="V36" i="100"/>
  <c r="V32" i="100"/>
  <c r="V55" i="100" s="1"/>
  <c r="Q54" i="98"/>
  <c r="Q53" i="98" s="1"/>
  <c r="Q47" i="98" s="1"/>
  <c r="Q56" i="98" s="1"/>
  <c r="Q30" i="98"/>
  <c r="Q33" i="98" s="1"/>
  <c r="N30" i="98"/>
  <c r="N33" i="98" s="1"/>
  <c r="N54" i="98"/>
  <c r="N53" i="98" s="1"/>
  <c r="N47" i="98" s="1"/>
  <c r="N56" i="98" s="1"/>
  <c r="M54" i="100"/>
  <c r="M53" i="100" s="1"/>
  <c r="M47" i="100" s="1"/>
  <c r="M56" i="100" s="1"/>
  <c r="M30" i="100"/>
  <c r="M33" i="100" s="1"/>
  <c r="AA54" i="100"/>
  <c r="AA53" i="100" s="1"/>
  <c r="AA47" i="100" s="1"/>
  <c r="AA56" i="100" s="1"/>
  <c r="AA30" i="100"/>
  <c r="AA33" i="100" s="1"/>
  <c r="S30" i="100"/>
  <c r="S33" i="100" s="1"/>
  <c r="S54" i="100"/>
  <c r="S53" i="100" s="1"/>
  <c r="S47" i="100" s="1"/>
  <c r="S56" i="100" s="1"/>
  <c r="G37" i="100"/>
  <c r="L54" i="100"/>
  <c r="L53" i="100" s="1"/>
  <c r="L47" i="100" s="1"/>
  <c r="L56" i="100" s="1"/>
  <c r="L30" i="100"/>
  <c r="L33" i="100" s="1"/>
  <c r="AL35" i="121"/>
  <c r="AL9" i="121"/>
  <c r="AL12" i="121"/>
  <c r="AH366" i="120"/>
  <c r="AH354" i="121"/>
  <c r="AL26" i="121" s="1"/>
  <c r="AH341" i="121"/>
  <c r="AL13" i="121" s="1"/>
  <c r="C28" i="104" a="1"/>
  <c r="AH368" i="120"/>
  <c r="AH367" i="121"/>
  <c r="AH366" i="121"/>
  <c r="AH345" i="121"/>
  <c r="AL17" i="121" s="1"/>
  <c r="AH356" i="121"/>
  <c r="AL28" i="121" s="1"/>
  <c r="AH352" i="121"/>
  <c r="AL24" i="121" s="1"/>
  <c r="AH364" i="121"/>
  <c r="AL33" i="121"/>
  <c r="AL36" i="121"/>
  <c r="AH40" i="120"/>
  <c r="AH371" i="120" s="1"/>
  <c r="C28" i="103" a="1"/>
  <c r="AL37" i="120"/>
  <c r="AH342" i="120"/>
  <c r="AL14" i="120" s="1"/>
  <c r="AL37" i="121"/>
  <c r="AL10" i="121"/>
  <c r="AL36" i="120"/>
  <c r="AH365" i="121"/>
  <c r="AH368" i="121"/>
  <c r="AH357" i="121"/>
  <c r="AL29" i="121" s="1"/>
  <c r="AH359" i="121"/>
  <c r="AL31" i="121" s="1"/>
  <c r="AH349" i="121"/>
  <c r="AL21" i="121" s="1"/>
  <c r="AH351" i="121"/>
  <c r="AL23" i="121" s="1"/>
  <c r="AH343" i="121"/>
  <c r="AL15" i="121" s="1"/>
  <c r="AH358" i="121"/>
  <c r="AL30" i="121" s="1"/>
  <c r="AH348" i="121"/>
  <c r="AL20" i="121" s="1"/>
  <c r="AH346" i="121"/>
  <c r="AL18" i="121" s="1"/>
  <c r="AH347" i="121"/>
  <c r="AL19" i="121" s="1"/>
  <c r="AL11" i="121"/>
  <c r="AH360" i="121"/>
  <c r="AL32" i="121" s="1"/>
  <c r="AH361" i="121"/>
  <c r="AH362" i="121"/>
  <c r="AH363" i="121"/>
  <c r="AL10" i="120"/>
  <c r="AH364" i="120"/>
  <c r="AH367" i="120"/>
  <c r="AH341" i="120"/>
  <c r="AL13" i="120" s="1"/>
  <c r="AL38" i="120"/>
  <c r="AL33" i="120"/>
  <c r="AL9" i="120"/>
  <c r="AL35" i="120"/>
  <c r="AH369" i="120"/>
  <c r="AH370" i="120"/>
  <c r="AH347" i="120"/>
  <c r="AL19" i="120" s="1"/>
  <c r="AH346" i="120"/>
  <c r="AL18" i="120" s="1"/>
  <c r="AH349" i="120"/>
  <c r="AL21" i="120" s="1"/>
  <c r="AH359" i="120"/>
  <c r="AL31" i="120" s="1"/>
  <c r="AH357" i="120"/>
  <c r="AL29" i="120" s="1"/>
  <c r="AH358" i="120"/>
  <c r="AL30" i="120" s="1"/>
  <c r="AH352" i="120"/>
  <c r="AL24" i="120" s="1"/>
  <c r="AH343" i="120"/>
  <c r="AL15" i="120" s="1"/>
  <c r="AH348" i="120"/>
  <c r="AL20" i="120" s="1"/>
  <c r="AH362" i="120"/>
  <c r="AH344" i="120"/>
  <c r="AL16" i="120" s="1"/>
  <c r="AH345" i="120"/>
  <c r="AL17" i="120" s="1"/>
  <c r="AH350" i="120"/>
  <c r="AL22" i="120" s="1"/>
  <c r="AH363" i="120"/>
  <c r="AH353" i="120"/>
  <c r="AL25" i="120" s="1"/>
  <c r="AH351" i="120"/>
  <c r="AL23" i="120" s="1"/>
  <c r="AH360" i="120"/>
  <c r="AL32" i="120" s="1"/>
  <c r="AH361" i="120"/>
  <c r="AL12" i="120"/>
  <c r="AH354" i="120"/>
  <c r="AL26" i="120" s="1"/>
  <c r="AH365" i="120"/>
  <c r="AL11" i="120"/>
  <c r="AH355" i="120"/>
  <c r="AL27" i="120" s="1"/>
  <c r="AH356" i="120"/>
  <c r="AL28" i="120" s="1"/>
  <c r="AH341" i="119"/>
  <c r="AL13" i="119" s="1"/>
  <c r="AH40" i="119"/>
  <c r="AL9" i="119"/>
  <c r="AF56" i="100"/>
  <c r="AF53" i="98"/>
  <c r="AF33" i="98"/>
  <c r="Y73" i="61"/>
  <c r="AH371" i="129" l="1"/>
  <c r="AL39" i="129"/>
  <c r="AL38" i="129"/>
  <c r="AH370" i="129"/>
  <c r="D28" i="105" a="1"/>
  <c r="AH40" i="129"/>
  <c r="D28" i="106" a="1"/>
  <c r="AG54" i="98"/>
  <c r="AH370" i="121"/>
  <c r="H40" i="121"/>
  <c r="AH39" i="121"/>
  <c r="I35" i="102"/>
  <c r="I32" i="102"/>
  <c r="I56" i="102" s="1"/>
  <c r="I36" i="102"/>
  <c r="I31" i="102"/>
  <c r="I39" i="102"/>
  <c r="U36" i="102"/>
  <c r="U31" i="102"/>
  <c r="U32" i="102"/>
  <c r="U56" i="102" s="1"/>
  <c r="U35" i="102"/>
  <c r="U39" i="102"/>
  <c r="Y36" i="102"/>
  <c r="Y32" i="102"/>
  <c r="Y56" i="102" s="1"/>
  <c r="Y31" i="102"/>
  <c r="Y35" i="102"/>
  <c r="Y39" i="102"/>
  <c r="W39" i="101"/>
  <c r="W36" i="101"/>
  <c r="W32" i="101"/>
  <c r="W56" i="101" s="1"/>
  <c r="W31" i="101"/>
  <c r="W35" i="101"/>
  <c r="AE36" i="101"/>
  <c r="AE31" i="101"/>
  <c r="AE35" i="101"/>
  <c r="AE32" i="101"/>
  <c r="AE56" i="101" s="1"/>
  <c r="AE39" i="101"/>
  <c r="AF39" i="102"/>
  <c r="AF31" i="102"/>
  <c r="AF36" i="102"/>
  <c r="AF32" i="102"/>
  <c r="AF56" i="102" s="1"/>
  <c r="AF35" i="102"/>
  <c r="AC31" i="102"/>
  <c r="AC32" i="102"/>
  <c r="AC56" i="102" s="1"/>
  <c r="AC35" i="102"/>
  <c r="AC39" i="102"/>
  <c r="AC36" i="102"/>
  <c r="M39" i="102"/>
  <c r="M31" i="102"/>
  <c r="M36" i="102"/>
  <c r="M32" i="102"/>
  <c r="M56" i="102" s="1"/>
  <c r="M35" i="102"/>
  <c r="K31" i="101"/>
  <c r="K35" i="101"/>
  <c r="K39" i="101"/>
  <c r="K32" i="101"/>
  <c r="K56" i="101" s="1"/>
  <c r="K36" i="101"/>
  <c r="S32" i="101"/>
  <c r="S56" i="101" s="1"/>
  <c r="S35" i="101"/>
  <c r="S31" i="101"/>
  <c r="S39" i="101"/>
  <c r="S36" i="101"/>
  <c r="T31" i="102"/>
  <c r="T36" i="102"/>
  <c r="T32" i="102"/>
  <c r="T56" i="102" s="1"/>
  <c r="T35" i="102"/>
  <c r="T39" i="102"/>
  <c r="Q35" i="102"/>
  <c r="Q32" i="102"/>
  <c r="Q56" i="102" s="1"/>
  <c r="Q39" i="102"/>
  <c r="Q36" i="102"/>
  <c r="Q31" i="102"/>
  <c r="X36" i="102"/>
  <c r="X32" i="102"/>
  <c r="X56" i="102" s="1"/>
  <c r="X35" i="102"/>
  <c r="X39" i="102"/>
  <c r="X31" i="102"/>
  <c r="O31" i="101"/>
  <c r="O32" i="101"/>
  <c r="O56" i="101" s="1"/>
  <c r="O35" i="101"/>
  <c r="O39" i="101"/>
  <c r="O36" i="101"/>
  <c r="G36" i="101"/>
  <c r="G31" i="101"/>
  <c r="G32" i="101"/>
  <c r="G56" i="101" s="1"/>
  <c r="G35" i="101"/>
  <c r="G39" i="101"/>
  <c r="H32" i="102"/>
  <c r="H56" i="102" s="1"/>
  <c r="H39" i="102"/>
  <c r="H35" i="102"/>
  <c r="H31" i="102"/>
  <c r="H36" i="102"/>
  <c r="E36" i="102"/>
  <c r="E31" i="102"/>
  <c r="E39" i="102"/>
  <c r="E32" i="102"/>
  <c r="E56" i="102" s="1"/>
  <c r="E35" i="102"/>
  <c r="L39" i="102"/>
  <c r="L36" i="102"/>
  <c r="L35" i="102"/>
  <c r="L32" i="102"/>
  <c r="L56" i="102" s="1"/>
  <c r="L31" i="102"/>
  <c r="AG28" i="101"/>
  <c r="C29" i="101"/>
  <c r="AD35" i="101"/>
  <c r="AD32" i="101"/>
  <c r="AD56" i="101" s="1"/>
  <c r="AD39" i="101"/>
  <c r="AD31" i="101"/>
  <c r="AD36" i="101"/>
  <c r="AE35" i="102"/>
  <c r="AE39" i="102"/>
  <c r="AE31" i="102"/>
  <c r="AE36" i="102"/>
  <c r="AE32" i="102"/>
  <c r="AE56" i="102" s="1"/>
  <c r="AB32" i="102"/>
  <c r="AB56" i="102" s="1"/>
  <c r="AB36" i="102"/>
  <c r="AB35" i="102"/>
  <c r="AB31" i="102"/>
  <c r="AB39" i="102"/>
  <c r="W39" i="102"/>
  <c r="W35" i="102"/>
  <c r="W32" i="102"/>
  <c r="W56" i="102" s="1"/>
  <c r="W36" i="102"/>
  <c r="W31" i="102"/>
  <c r="Z31" i="101"/>
  <c r="Z39" i="101"/>
  <c r="Z35" i="101"/>
  <c r="Z32" i="101"/>
  <c r="Z56" i="101" s="1"/>
  <c r="Z36" i="101"/>
  <c r="R32" i="101"/>
  <c r="R56" i="101" s="1"/>
  <c r="R36" i="101"/>
  <c r="R31" i="101"/>
  <c r="R39" i="101"/>
  <c r="R35" i="101"/>
  <c r="S32" i="102"/>
  <c r="S56" i="102" s="1"/>
  <c r="S36" i="102"/>
  <c r="S39" i="102"/>
  <c r="S31" i="102"/>
  <c r="S35" i="102"/>
  <c r="P35" i="102"/>
  <c r="P32" i="102"/>
  <c r="P56" i="102" s="1"/>
  <c r="P39" i="102"/>
  <c r="P31" i="102"/>
  <c r="P36" i="102"/>
  <c r="K35" i="102"/>
  <c r="K32" i="102"/>
  <c r="K56" i="102" s="1"/>
  <c r="K39" i="102"/>
  <c r="K31" i="102"/>
  <c r="K36" i="102"/>
  <c r="V39" i="101"/>
  <c r="V31" i="101"/>
  <c r="V36" i="101"/>
  <c r="V35" i="101"/>
  <c r="V32" i="101"/>
  <c r="V56" i="101" s="1"/>
  <c r="F35" i="101"/>
  <c r="F36" i="101"/>
  <c r="F39" i="101"/>
  <c r="F31" i="101"/>
  <c r="F32" i="101"/>
  <c r="F56" i="101" s="1"/>
  <c r="G31" i="102"/>
  <c r="G36" i="102"/>
  <c r="G39" i="102"/>
  <c r="G35" i="102"/>
  <c r="G32" i="102"/>
  <c r="G56" i="102" s="1"/>
  <c r="D36" i="102"/>
  <c r="D35" i="102"/>
  <c r="D39" i="102"/>
  <c r="D32" i="102"/>
  <c r="D31" i="102"/>
  <c r="N31" i="101"/>
  <c r="N35" i="101"/>
  <c r="N39" i="101"/>
  <c r="N32" i="101"/>
  <c r="N56" i="101" s="1"/>
  <c r="N36" i="101"/>
  <c r="J31" i="101"/>
  <c r="J39" i="101"/>
  <c r="J36" i="101"/>
  <c r="J32" i="101"/>
  <c r="J56" i="101" s="1"/>
  <c r="J35" i="101"/>
  <c r="AC31" i="101"/>
  <c r="AC39" i="101"/>
  <c r="AC32" i="101"/>
  <c r="AC56" i="101" s="1"/>
  <c r="AC36" i="101"/>
  <c r="AC35" i="101"/>
  <c r="V36" i="102"/>
  <c r="V39" i="102"/>
  <c r="V31" i="102"/>
  <c r="V32" i="102"/>
  <c r="V56" i="102" s="1"/>
  <c r="V35" i="102"/>
  <c r="AA35" i="102"/>
  <c r="AA39" i="102"/>
  <c r="AA31" i="102"/>
  <c r="AA32" i="102"/>
  <c r="AA56" i="102" s="1"/>
  <c r="AA36" i="102"/>
  <c r="Y36" i="101"/>
  <c r="Y32" i="101"/>
  <c r="Y56" i="101" s="1"/>
  <c r="Y39" i="101"/>
  <c r="Y35" i="101"/>
  <c r="Y31" i="101"/>
  <c r="U31" i="101"/>
  <c r="U32" i="101"/>
  <c r="U56" i="101" s="1"/>
  <c r="U39" i="101"/>
  <c r="U36" i="101"/>
  <c r="U35" i="101"/>
  <c r="Q35" i="101"/>
  <c r="Q32" i="101"/>
  <c r="Q56" i="101" s="1"/>
  <c r="Q39" i="101"/>
  <c r="Q36" i="101"/>
  <c r="Q31" i="101"/>
  <c r="AD32" i="102"/>
  <c r="AD56" i="102" s="1"/>
  <c r="AD39" i="102"/>
  <c r="AD36" i="102"/>
  <c r="AD35" i="102"/>
  <c r="AD31" i="102"/>
  <c r="O32" i="102"/>
  <c r="O56" i="102" s="1"/>
  <c r="O35" i="102"/>
  <c r="O31" i="102"/>
  <c r="O39" i="102"/>
  <c r="O36" i="102"/>
  <c r="M31" i="101"/>
  <c r="M36" i="101"/>
  <c r="M32" i="101"/>
  <c r="M56" i="101" s="1"/>
  <c r="M39" i="101"/>
  <c r="M35" i="101"/>
  <c r="I36" i="101"/>
  <c r="I35" i="101"/>
  <c r="I39" i="101"/>
  <c r="I31" i="101"/>
  <c r="I32" i="101"/>
  <c r="I56" i="101" s="1"/>
  <c r="E39" i="101"/>
  <c r="E35" i="101"/>
  <c r="E32" i="101"/>
  <c r="E56" i="101" s="1"/>
  <c r="E36" i="101"/>
  <c r="E31" i="101"/>
  <c r="R35" i="102"/>
  <c r="R36" i="102"/>
  <c r="R32" i="102"/>
  <c r="R56" i="102" s="1"/>
  <c r="R39" i="102"/>
  <c r="R31" i="102"/>
  <c r="AG28" i="102"/>
  <c r="C29" i="102"/>
  <c r="X39" i="101"/>
  <c r="X32" i="101"/>
  <c r="X56" i="101" s="1"/>
  <c r="X35" i="101"/>
  <c r="X31" i="101"/>
  <c r="X36" i="101"/>
  <c r="AF35" i="101"/>
  <c r="AF39" i="101"/>
  <c r="AF31" i="101"/>
  <c r="AF32" i="101"/>
  <c r="AF56" i="101" s="1"/>
  <c r="AF36" i="101"/>
  <c r="AB32" i="101"/>
  <c r="AB56" i="101" s="1"/>
  <c r="AB31" i="101"/>
  <c r="AB35" i="101"/>
  <c r="AB36" i="101"/>
  <c r="AB39" i="101"/>
  <c r="F31" i="102"/>
  <c r="F39" i="102"/>
  <c r="F35" i="102"/>
  <c r="F32" i="102"/>
  <c r="F56" i="102" s="1"/>
  <c r="F36" i="102"/>
  <c r="Z35" i="102"/>
  <c r="Z36" i="102"/>
  <c r="Z32" i="102"/>
  <c r="Z56" i="102" s="1"/>
  <c r="Z31" i="102"/>
  <c r="Z39" i="102"/>
  <c r="L39" i="101"/>
  <c r="L31" i="101"/>
  <c r="L32" i="101"/>
  <c r="L56" i="101" s="1"/>
  <c r="L35" i="101"/>
  <c r="L36" i="101"/>
  <c r="T31" i="101"/>
  <c r="T36" i="101"/>
  <c r="T39" i="101"/>
  <c r="T32" i="101"/>
  <c r="T56" i="101" s="1"/>
  <c r="T35" i="101"/>
  <c r="P39" i="101"/>
  <c r="P36" i="101"/>
  <c r="P31" i="101"/>
  <c r="P32" i="101"/>
  <c r="P56" i="101" s="1"/>
  <c r="P35" i="101"/>
  <c r="J39" i="102"/>
  <c r="J36" i="102"/>
  <c r="J32" i="102"/>
  <c r="J56" i="102" s="1"/>
  <c r="J31" i="102"/>
  <c r="J35" i="102"/>
  <c r="N31" i="102"/>
  <c r="N36" i="102"/>
  <c r="N32" i="102"/>
  <c r="N56" i="102" s="1"/>
  <c r="N35" i="102"/>
  <c r="N39" i="102"/>
  <c r="AA32" i="101"/>
  <c r="AA56" i="101" s="1"/>
  <c r="AA39" i="101"/>
  <c r="AA36" i="101"/>
  <c r="AA31" i="101"/>
  <c r="AA35" i="101"/>
  <c r="H32" i="101"/>
  <c r="H56" i="101" s="1"/>
  <c r="H39" i="101"/>
  <c r="H36" i="101"/>
  <c r="H31" i="101"/>
  <c r="H35" i="101"/>
  <c r="D32" i="101"/>
  <c r="D36" i="101"/>
  <c r="D35" i="101"/>
  <c r="D31" i="101"/>
  <c r="D39" i="101"/>
  <c r="AG55" i="100"/>
  <c r="V37" i="100"/>
  <c r="AG30" i="98"/>
  <c r="AG33" i="98"/>
  <c r="V54" i="100"/>
  <c r="V53" i="100" s="1"/>
  <c r="V47" i="100" s="1"/>
  <c r="V56" i="100" s="1"/>
  <c r="V30" i="100"/>
  <c r="V33" i="100" s="1"/>
  <c r="C37" i="98"/>
  <c r="AG31" i="100"/>
  <c r="AG32" i="100"/>
  <c r="D53" i="100"/>
  <c r="D33" i="100"/>
  <c r="G28" i="104"/>
  <c r="G29" i="104" s="1"/>
  <c r="M28" i="104"/>
  <c r="M29" i="104" s="1"/>
  <c r="AC28" i="104"/>
  <c r="AC29" i="104" s="1"/>
  <c r="N28" i="104"/>
  <c r="N29" i="104" s="1"/>
  <c r="AD28" i="104"/>
  <c r="AD29" i="104" s="1"/>
  <c r="O28" i="104"/>
  <c r="O29" i="104" s="1"/>
  <c r="AF28" i="104"/>
  <c r="AF29" i="104" s="1"/>
  <c r="F28" i="104"/>
  <c r="F29" i="104" s="1"/>
  <c r="P28" i="104"/>
  <c r="P29" i="104" s="1"/>
  <c r="H28" i="104"/>
  <c r="H29" i="104" s="1"/>
  <c r="I28" i="104"/>
  <c r="I29" i="104" s="1"/>
  <c r="AA28" i="104"/>
  <c r="AA29" i="104" s="1"/>
  <c r="C28" i="104"/>
  <c r="C29" i="104" s="1"/>
  <c r="AB28" i="104"/>
  <c r="AB29" i="104" s="1"/>
  <c r="Z28" i="104"/>
  <c r="Z29" i="104" s="1"/>
  <c r="E28" i="104"/>
  <c r="E29" i="104" s="1"/>
  <c r="Q28" i="104"/>
  <c r="Q29" i="104" s="1"/>
  <c r="R28" i="104"/>
  <c r="R29" i="104" s="1"/>
  <c r="D28" i="104"/>
  <c r="D29" i="104" s="1"/>
  <c r="T28" i="104"/>
  <c r="T29" i="104" s="1"/>
  <c r="U28" i="104"/>
  <c r="U29" i="104" s="1"/>
  <c r="Y28" i="104"/>
  <c r="Y29" i="104" s="1"/>
  <c r="L28" i="104"/>
  <c r="L29" i="104" s="1"/>
  <c r="W28" i="104"/>
  <c r="W29" i="104" s="1"/>
  <c r="AE28" i="104"/>
  <c r="AE29" i="104" s="1"/>
  <c r="X28" i="104"/>
  <c r="X29" i="104" s="1"/>
  <c r="K28" i="104"/>
  <c r="K29" i="104" s="1"/>
  <c r="V28" i="104"/>
  <c r="V29" i="104" s="1"/>
  <c r="J28" i="104"/>
  <c r="S28" i="104"/>
  <c r="S29" i="104" s="1"/>
  <c r="AL39" i="120"/>
  <c r="D28" i="103"/>
  <c r="D29" i="103" s="1"/>
  <c r="Q28" i="103"/>
  <c r="Q29" i="103" s="1"/>
  <c r="R28" i="103"/>
  <c r="R29" i="103" s="1"/>
  <c r="T28" i="103"/>
  <c r="T29" i="103" s="1"/>
  <c r="AA28" i="103"/>
  <c r="AA29" i="103" s="1"/>
  <c r="F28" i="103"/>
  <c r="F29" i="103" s="1"/>
  <c r="AF28" i="103"/>
  <c r="AF29" i="103" s="1"/>
  <c r="C28" i="103"/>
  <c r="C29" i="103" s="1"/>
  <c r="AC28" i="103"/>
  <c r="AC29" i="103" s="1"/>
  <c r="E28" i="103"/>
  <c r="E29" i="103" s="1"/>
  <c r="AD28" i="103"/>
  <c r="AD29" i="103" s="1"/>
  <c r="H28" i="103"/>
  <c r="H29" i="103" s="1"/>
  <c r="I28" i="103"/>
  <c r="I29" i="103" s="1"/>
  <c r="N28" i="103"/>
  <c r="N29" i="103" s="1"/>
  <c r="O28" i="103"/>
  <c r="O29" i="103" s="1"/>
  <c r="J28" i="103"/>
  <c r="J29" i="103" s="1"/>
  <c r="U28" i="103"/>
  <c r="U29" i="103" s="1"/>
  <c r="Z28" i="103"/>
  <c r="Z29" i="103" s="1"/>
  <c r="V28" i="103"/>
  <c r="V29" i="103" s="1"/>
  <c r="K28" i="103"/>
  <c r="K29" i="103" s="1"/>
  <c r="AE28" i="103"/>
  <c r="AE29" i="103" s="1"/>
  <c r="AB28" i="103"/>
  <c r="AB29" i="103" s="1"/>
  <c r="P28" i="103"/>
  <c r="P29" i="103" s="1"/>
  <c r="L28" i="103"/>
  <c r="L29" i="103" s="1"/>
  <c r="S28" i="103"/>
  <c r="S29" i="103" s="1"/>
  <c r="G28" i="103"/>
  <c r="W28" i="103"/>
  <c r="W29" i="103" s="1"/>
  <c r="M28" i="103"/>
  <c r="M29" i="103" s="1"/>
  <c r="Y28" i="103"/>
  <c r="Y29" i="103" s="1"/>
  <c r="X28" i="103"/>
  <c r="X29" i="103" s="1"/>
  <c r="AL34" i="120"/>
  <c r="AH354" i="119"/>
  <c r="AL26" i="119" s="1"/>
  <c r="AH360" i="119"/>
  <c r="AL32" i="119" s="1"/>
  <c r="AH359" i="119"/>
  <c r="AL31" i="119" s="1"/>
  <c r="AH349" i="119"/>
  <c r="AL21" i="119" s="1"/>
  <c r="AH348" i="119"/>
  <c r="AL20" i="119" s="1"/>
  <c r="AH361" i="119"/>
  <c r="AH351" i="119"/>
  <c r="AL23" i="119" s="1"/>
  <c r="AH362" i="119"/>
  <c r="AH363" i="119"/>
  <c r="AF47" i="98"/>
  <c r="AG53" i="98"/>
  <c r="Z73" i="61"/>
  <c r="AE28" i="105" l="1"/>
  <c r="AE29" i="105" s="1"/>
  <c r="O28" i="105"/>
  <c r="O29" i="105" s="1"/>
  <c r="E28" i="105"/>
  <c r="E29" i="105" s="1"/>
  <c r="J28" i="105"/>
  <c r="J29" i="105" s="1"/>
  <c r="F28" i="105"/>
  <c r="F29" i="105" s="1"/>
  <c r="H28" i="105"/>
  <c r="H29" i="105" s="1"/>
  <c r="L28" i="105"/>
  <c r="L29" i="105" s="1"/>
  <c r="Q28" i="105"/>
  <c r="Q29" i="105" s="1"/>
  <c r="T28" i="105"/>
  <c r="T29" i="105" s="1"/>
  <c r="X28" i="105"/>
  <c r="X29" i="105" s="1"/>
  <c r="AC28" i="105"/>
  <c r="AC29" i="105" s="1"/>
  <c r="W28" i="105"/>
  <c r="W29" i="105" s="1"/>
  <c r="AF28" i="105"/>
  <c r="AF29" i="105" s="1"/>
  <c r="R28" i="105"/>
  <c r="R29" i="105" s="1"/>
  <c r="I28" i="105"/>
  <c r="I29" i="105" s="1"/>
  <c r="M28" i="105"/>
  <c r="M29" i="105" s="1"/>
  <c r="U28" i="105"/>
  <c r="U29" i="105" s="1"/>
  <c r="Y28" i="105"/>
  <c r="Y29" i="105" s="1"/>
  <c r="AA28" i="105"/>
  <c r="AA29" i="105" s="1"/>
  <c r="Z28" i="105"/>
  <c r="Z29" i="105" s="1"/>
  <c r="AD28" i="105"/>
  <c r="AD29" i="105" s="1"/>
  <c r="D28" i="105"/>
  <c r="G28" i="105"/>
  <c r="G29" i="105" s="1"/>
  <c r="K28" i="105"/>
  <c r="K29" i="105" s="1"/>
  <c r="P28" i="105"/>
  <c r="P29" i="105" s="1"/>
  <c r="S28" i="105"/>
  <c r="S29" i="105" s="1"/>
  <c r="AB28" i="105"/>
  <c r="AB29" i="105" s="1"/>
  <c r="V28" i="105"/>
  <c r="V29" i="105" s="1"/>
  <c r="N28" i="105"/>
  <c r="N29" i="105" s="1"/>
  <c r="P28" i="106"/>
  <c r="P29" i="106" s="1"/>
  <c r="T28" i="106"/>
  <c r="T29" i="106" s="1"/>
  <c r="Y28" i="106"/>
  <c r="Y29" i="106" s="1"/>
  <c r="R28" i="106"/>
  <c r="R29" i="106" s="1"/>
  <c r="V28" i="106"/>
  <c r="V29" i="106" s="1"/>
  <c r="AB28" i="106"/>
  <c r="AB29" i="106" s="1"/>
  <c r="AF28" i="106"/>
  <c r="AF29" i="106" s="1"/>
  <c r="E28" i="106"/>
  <c r="E29" i="106" s="1"/>
  <c r="X28" i="106"/>
  <c r="X29" i="106" s="1"/>
  <c r="G28" i="106"/>
  <c r="G29" i="106" s="1"/>
  <c r="D28" i="106"/>
  <c r="Q28" i="106"/>
  <c r="Q29" i="106" s="1"/>
  <c r="I28" i="106"/>
  <c r="I29" i="106" s="1"/>
  <c r="AC28" i="106"/>
  <c r="AC29" i="106" s="1"/>
  <c r="U28" i="106"/>
  <c r="U29" i="106" s="1"/>
  <c r="M28" i="106"/>
  <c r="M29" i="106" s="1"/>
  <c r="F28" i="106"/>
  <c r="F29" i="106" s="1"/>
  <c r="J28" i="106"/>
  <c r="J29" i="106" s="1"/>
  <c r="N28" i="106"/>
  <c r="N29" i="106" s="1"/>
  <c r="W28" i="106"/>
  <c r="W29" i="106" s="1"/>
  <c r="Z28" i="106"/>
  <c r="Z29" i="106" s="1"/>
  <c r="S28" i="106"/>
  <c r="S29" i="106" s="1"/>
  <c r="L28" i="106"/>
  <c r="L29" i="106" s="1"/>
  <c r="O28" i="106"/>
  <c r="O29" i="106" s="1"/>
  <c r="AE28" i="106"/>
  <c r="AE29" i="106" s="1"/>
  <c r="H28" i="106"/>
  <c r="H29" i="106" s="1"/>
  <c r="AA28" i="106"/>
  <c r="AA29" i="106" s="1"/>
  <c r="AD28" i="106"/>
  <c r="AD29" i="106" s="1"/>
  <c r="K28" i="106"/>
  <c r="K29" i="106" s="1"/>
  <c r="C28" i="110" a="1"/>
  <c r="E28" i="110" s="1"/>
  <c r="E29" i="110" s="1"/>
  <c r="C28" i="135" a="1"/>
  <c r="AH371" i="121"/>
  <c r="AL39" i="121"/>
  <c r="AH40" i="121"/>
  <c r="AH355" i="121" s="1"/>
  <c r="AL27" i="121" s="1"/>
  <c r="G37" i="102"/>
  <c r="X37" i="101"/>
  <c r="J37" i="101"/>
  <c r="F37" i="102"/>
  <c r="R37" i="101"/>
  <c r="G37" i="101"/>
  <c r="E37" i="102"/>
  <c r="U37" i="101"/>
  <c r="O37" i="101"/>
  <c r="W37" i="101"/>
  <c r="Z37" i="101"/>
  <c r="K37" i="101"/>
  <c r="N37" i="101"/>
  <c r="O37" i="102"/>
  <c r="X37" i="102"/>
  <c r="AA37" i="102"/>
  <c r="AG54" i="100"/>
  <c r="AG33" i="100"/>
  <c r="AG30" i="100"/>
  <c r="R37" i="102"/>
  <c r="T37" i="102"/>
  <c r="AF37" i="102"/>
  <c r="M37" i="102"/>
  <c r="N37" i="102"/>
  <c r="H37" i="101"/>
  <c r="Q37" i="101"/>
  <c r="I37" i="102"/>
  <c r="F37" i="101"/>
  <c r="S37" i="101"/>
  <c r="J37" i="102"/>
  <c r="Z37" i="102"/>
  <c r="D37" i="102"/>
  <c r="AD37" i="102"/>
  <c r="P37" i="102"/>
  <c r="Q37" i="102"/>
  <c r="D56" i="101"/>
  <c r="AG56" i="101" s="1"/>
  <c r="AG32" i="101"/>
  <c r="Q55" i="101"/>
  <c r="Q54" i="101" s="1"/>
  <c r="Q47" i="101" s="1"/>
  <c r="Q57" i="101" s="1"/>
  <c r="Q30" i="101"/>
  <c r="Q33" i="101" s="1"/>
  <c r="V30" i="101"/>
  <c r="V33" i="101" s="1"/>
  <c r="V55" i="101"/>
  <c r="V54" i="101" s="1"/>
  <c r="V47" i="101" s="1"/>
  <c r="V57" i="101" s="1"/>
  <c r="C35" i="101"/>
  <c r="C33" i="101"/>
  <c r="C36" i="101"/>
  <c r="C39" i="101"/>
  <c r="B39" i="101" s="1"/>
  <c r="AG29" i="101"/>
  <c r="AB37" i="101"/>
  <c r="M30" i="101"/>
  <c r="M33" i="101" s="1"/>
  <c r="M55" i="101"/>
  <c r="M54" i="101" s="1"/>
  <c r="M47" i="101" s="1"/>
  <c r="M57" i="101" s="1"/>
  <c r="AC37" i="101"/>
  <c r="S37" i="102"/>
  <c r="H30" i="102"/>
  <c r="H33" i="102" s="1"/>
  <c r="H55" i="102"/>
  <c r="H54" i="102" s="1"/>
  <c r="H47" i="102" s="1"/>
  <c r="H57" i="102" s="1"/>
  <c r="AE37" i="101"/>
  <c r="H55" i="101"/>
  <c r="H54" i="101" s="1"/>
  <c r="H47" i="101" s="1"/>
  <c r="H57" i="101" s="1"/>
  <c r="H30" i="101"/>
  <c r="H33" i="101" s="1"/>
  <c r="T37" i="101"/>
  <c r="Z30" i="102"/>
  <c r="Z33" i="102" s="1"/>
  <c r="Z55" i="102"/>
  <c r="Z54" i="102" s="1"/>
  <c r="Z47" i="102" s="1"/>
  <c r="Z57" i="102" s="1"/>
  <c r="AB30" i="101"/>
  <c r="AB33" i="101" s="1"/>
  <c r="AB55" i="101"/>
  <c r="AB54" i="101" s="1"/>
  <c r="AB47" i="101" s="1"/>
  <c r="AB57" i="101" s="1"/>
  <c r="E37" i="101"/>
  <c r="S55" i="102"/>
  <c r="S54" i="102" s="1"/>
  <c r="S47" i="102" s="1"/>
  <c r="S57" i="102" s="1"/>
  <c r="S30" i="102"/>
  <c r="S33" i="102" s="1"/>
  <c r="L55" i="102"/>
  <c r="L54" i="102" s="1"/>
  <c r="L47" i="102" s="1"/>
  <c r="L57" i="102" s="1"/>
  <c r="L30" i="102"/>
  <c r="L33" i="102" s="1"/>
  <c r="H37" i="102"/>
  <c r="AC37" i="102"/>
  <c r="AE55" i="101"/>
  <c r="AE54" i="101" s="1"/>
  <c r="AE47" i="101" s="1"/>
  <c r="AE57" i="101" s="1"/>
  <c r="AE30" i="101"/>
  <c r="AE33" i="101" s="1"/>
  <c r="N55" i="102"/>
  <c r="N54" i="102" s="1"/>
  <c r="N47" i="102" s="1"/>
  <c r="N57" i="102" s="1"/>
  <c r="N30" i="102"/>
  <c r="N33" i="102" s="1"/>
  <c r="C39" i="102"/>
  <c r="B39" i="102" s="1"/>
  <c r="C35" i="102"/>
  <c r="C36" i="102"/>
  <c r="C33" i="102"/>
  <c r="AG29" i="102"/>
  <c r="N55" i="101"/>
  <c r="N54" i="101" s="1"/>
  <c r="N47" i="101" s="1"/>
  <c r="N57" i="101" s="1"/>
  <c r="N30" i="101"/>
  <c r="N33" i="101" s="1"/>
  <c r="G55" i="102"/>
  <c r="G54" i="102" s="1"/>
  <c r="G47" i="102" s="1"/>
  <c r="G57" i="102" s="1"/>
  <c r="G30" i="102"/>
  <c r="G33" i="102" s="1"/>
  <c r="Z55" i="101"/>
  <c r="Z54" i="101" s="1"/>
  <c r="Z47" i="101" s="1"/>
  <c r="Z57" i="101" s="1"/>
  <c r="Z30" i="101"/>
  <c r="Z33" i="101" s="1"/>
  <c r="AE37" i="102"/>
  <c r="O30" i="101"/>
  <c r="O33" i="101" s="1"/>
  <c r="O55" i="101"/>
  <c r="O54" i="101" s="1"/>
  <c r="O47" i="101" s="1"/>
  <c r="O57" i="101" s="1"/>
  <c r="U37" i="102"/>
  <c r="O30" i="102"/>
  <c r="O33" i="102" s="1"/>
  <c r="O55" i="102"/>
  <c r="O54" i="102" s="1"/>
  <c r="O47" i="102" s="1"/>
  <c r="O57" i="102" s="1"/>
  <c r="K55" i="102"/>
  <c r="K54" i="102" s="1"/>
  <c r="K47" i="102" s="1"/>
  <c r="K57" i="102" s="1"/>
  <c r="K30" i="102"/>
  <c r="K33" i="102" s="1"/>
  <c r="W55" i="102"/>
  <c r="W54" i="102" s="1"/>
  <c r="W47" i="102" s="1"/>
  <c r="W57" i="102" s="1"/>
  <c r="W30" i="102"/>
  <c r="W33" i="102" s="1"/>
  <c r="AE55" i="102"/>
  <c r="AE54" i="102" s="1"/>
  <c r="AE47" i="102" s="1"/>
  <c r="AE57" i="102" s="1"/>
  <c r="AE30" i="102"/>
  <c r="AE33" i="102" s="1"/>
  <c r="L37" i="102"/>
  <c r="AC30" i="102"/>
  <c r="AC33" i="102" s="1"/>
  <c r="AC55" i="102"/>
  <c r="AC54" i="102" s="1"/>
  <c r="AC47" i="102" s="1"/>
  <c r="AC57" i="102" s="1"/>
  <c r="J55" i="102"/>
  <c r="J54" i="102" s="1"/>
  <c r="J47" i="102" s="1"/>
  <c r="J57" i="102" s="1"/>
  <c r="J30" i="102"/>
  <c r="J33" i="102" s="1"/>
  <c r="I55" i="101"/>
  <c r="I54" i="101" s="1"/>
  <c r="I47" i="101" s="1"/>
  <c r="I57" i="101" s="1"/>
  <c r="I30" i="101"/>
  <c r="I33" i="101" s="1"/>
  <c r="AA55" i="102"/>
  <c r="AA54" i="102" s="1"/>
  <c r="AA47" i="102" s="1"/>
  <c r="AA57" i="102" s="1"/>
  <c r="AA30" i="102"/>
  <c r="AA33" i="102" s="1"/>
  <c r="AC55" i="101"/>
  <c r="AC54" i="101" s="1"/>
  <c r="AC47" i="101" s="1"/>
  <c r="AC57" i="101" s="1"/>
  <c r="AC30" i="101"/>
  <c r="AC33" i="101" s="1"/>
  <c r="D55" i="102"/>
  <c r="D30" i="102"/>
  <c r="AG31" i="102"/>
  <c r="F55" i="101"/>
  <c r="F54" i="101" s="1"/>
  <c r="F47" i="101" s="1"/>
  <c r="F57" i="101" s="1"/>
  <c r="F30" i="101"/>
  <c r="F33" i="101" s="1"/>
  <c r="X55" i="102"/>
  <c r="X54" i="102" s="1"/>
  <c r="X47" i="102" s="1"/>
  <c r="X57" i="102" s="1"/>
  <c r="X30" i="102"/>
  <c r="X33" i="102" s="1"/>
  <c r="W30" i="101"/>
  <c r="W33" i="101" s="1"/>
  <c r="W55" i="101"/>
  <c r="W54" i="101" s="1"/>
  <c r="W47" i="101" s="1"/>
  <c r="W57" i="101" s="1"/>
  <c r="U55" i="102"/>
  <c r="U54" i="102" s="1"/>
  <c r="U47" i="102" s="1"/>
  <c r="U57" i="102" s="1"/>
  <c r="U30" i="102"/>
  <c r="U33" i="102" s="1"/>
  <c r="AA37" i="101"/>
  <c r="T55" i="101"/>
  <c r="T54" i="101" s="1"/>
  <c r="T47" i="101" s="1"/>
  <c r="T57" i="101" s="1"/>
  <c r="T30" i="101"/>
  <c r="T33" i="101" s="1"/>
  <c r="R55" i="102"/>
  <c r="R54" i="102" s="1"/>
  <c r="R47" i="102" s="1"/>
  <c r="R57" i="102" s="1"/>
  <c r="R30" i="102"/>
  <c r="R33" i="102" s="1"/>
  <c r="D56" i="102"/>
  <c r="AG56" i="102" s="1"/>
  <c r="AG32" i="102"/>
  <c r="K30" i="101"/>
  <c r="K33" i="101" s="1"/>
  <c r="K55" i="101"/>
  <c r="K54" i="101" s="1"/>
  <c r="K47" i="101" s="1"/>
  <c r="K57" i="101" s="1"/>
  <c r="AA30" i="101"/>
  <c r="AA33" i="101" s="1"/>
  <c r="AA55" i="101"/>
  <c r="AA54" i="101" s="1"/>
  <c r="AA47" i="101" s="1"/>
  <c r="AA57" i="101" s="1"/>
  <c r="AF30" i="101"/>
  <c r="AF33" i="101" s="1"/>
  <c r="AF55" i="101"/>
  <c r="AF54" i="101" s="1"/>
  <c r="AF47" i="101" s="1"/>
  <c r="AF57" i="101" s="1"/>
  <c r="I37" i="101"/>
  <c r="AD30" i="102"/>
  <c r="AD33" i="102" s="1"/>
  <c r="AD55" i="102"/>
  <c r="AD54" i="102" s="1"/>
  <c r="AD47" i="102" s="1"/>
  <c r="AD57" i="102" s="1"/>
  <c r="K37" i="102"/>
  <c r="W37" i="102"/>
  <c r="V37" i="102"/>
  <c r="R55" i="101"/>
  <c r="R54" i="101" s="1"/>
  <c r="R47" i="101" s="1"/>
  <c r="R57" i="101" s="1"/>
  <c r="R30" i="101"/>
  <c r="R33" i="101" s="1"/>
  <c r="AD30" i="101"/>
  <c r="AD33" i="101" s="1"/>
  <c r="AD55" i="101"/>
  <c r="AD54" i="101" s="1"/>
  <c r="AD47" i="101" s="1"/>
  <c r="AD57" i="101" s="1"/>
  <c r="T55" i="102"/>
  <c r="T54" i="102" s="1"/>
  <c r="T47" i="102" s="1"/>
  <c r="T57" i="102" s="1"/>
  <c r="T30" i="102"/>
  <c r="T33" i="102" s="1"/>
  <c r="I30" i="102"/>
  <c r="I33" i="102" s="1"/>
  <c r="I55" i="102"/>
  <c r="I54" i="102" s="1"/>
  <c r="I47" i="102" s="1"/>
  <c r="I57" i="102" s="1"/>
  <c r="D30" i="101"/>
  <c r="D55" i="101"/>
  <c r="AG31" i="101"/>
  <c r="P37" i="101"/>
  <c r="L37" i="101"/>
  <c r="AF37" i="101"/>
  <c r="M37" i="101"/>
  <c r="U55" i="101"/>
  <c r="U54" i="101" s="1"/>
  <c r="U47" i="101" s="1"/>
  <c r="U57" i="101" s="1"/>
  <c r="U30" i="101"/>
  <c r="U33" i="101" s="1"/>
  <c r="P55" i="102"/>
  <c r="P54" i="102" s="1"/>
  <c r="P47" i="102" s="1"/>
  <c r="P57" i="102" s="1"/>
  <c r="P30" i="102"/>
  <c r="P33" i="102" s="1"/>
  <c r="G55" i="101"/>
  <c r="G54" i="101" s="1"/>
  <c r="G47" i="101" s="1"/>
  <c r="G57" i="101" s="1"/>
  <c r="G30" i="101"/>
  <c r="G33" i="101" s="1"/>
  <c r="AF55" i="102"/>
  <c r="AF54" i="102" s="1"/>
  <c r="AF47" i="102" s="1"/>
  <c r="AF57" i="102" s="1"/>
  <c r="AF30" i="102"/>
  <c r="AF33" i="102" s="1"/>
  <c r="D37" i="101"/>
  <c r="F55" i="102"/>
  <c r="F54" i="102" s="1"/>
  <c r="F47" i="102" s="1"/>
  <c r="F57" i="102" s="1"/>
  <c r="F30" i="102"/>
  <c r="F33" i="102" s="1"/>
  <c r="Y30" i="101"/>
  <c r="Y33" i="101" s="1"/>
  <c r="Y55" i="101"/>
  <c r="Y54" i="101" s="1"/>
  <c r="Y47" i="101" s="1"/>
  <c r="Y57" i="101" s="1"/>
  <c r="V30" i="102"/>
  <c r="V33" i="102" s="1"/>
  <c r="V55" i="102"/>
  <c r="V54" i="102" s="1"/>
  <c r="V47" i="102" s="1"/>
  <c r="V57" i="102" s="1"/>
  <c r="J55" i="101"/>
  <c r="J54" i="101" s="1"/>
  <c r="J47" i="101" s="1"/>
  <c r="J57" i="101" s="1"/>
  <c r="J30" i="101"/>
  <c r="J33" i="101" s="1"/>
  <c r="V37" i="101"/>
  <c r="AB30" i="102"/>
  <c r="AB33" i="102" s="1"/>
  <c r="AB55" i="102"/>
  <c r="AB54" i="102" s="1"/>
  <c r="AB47" i="102" s="1"/>
  <c r="AB57" i="102" s="1"/>
  <c r="E55" i="102"/>
  <c r="E54" i="102" s="1"/>
  <c r="E47" i="102" s="1"/>
  <c r="E57" i="102" s="1"/>
  <c r="E30" i="102"/>
  <c r="E33" i="102" s="1"/>
  <c r="Q30" i="102"/>
  <c r="Q33" i="102" s="1"/>
  <c r="Q55" i="102"/>
  <c r="Q54" i="102" s="1"/>
  <c r="Q47" i="102" s="1"/>
  <c r="Q57" i="102" s="1"/>
  <c r="M30" i="102"/>
  <c r="M33" i="102" s="1"/>
  <c r="M55" i="102"/>
  <c r="M54" i="102" s="1"/>
  <c r="M47" i="102" s="1"/>
  <c r="M57" i="102" s="1"/>
  <c r="Y37" i="102"/>
  <c r="P55" i="101"/>
  <c r="P54" i="101" s="1"/>
  <c r="P47" i="101" s="1"/>
  <c r="P57" i="101" s="1"/>
  <c r="P30" i="101"/>
  <c r="P33" i="101" s="1"/>
  <c r="L55" i="101"/>
  <c r="L54" i="101" s="1"/>
  <c r="L47" i="101" s="1"/>
  <c r="L57" i="101" s="1"/>
  <c r="L30" i="101"/>
  <c r="L33" i="101" s="1"/>
  <c r="X55" i="101"/>
  <c r="X54" i="101" s="1"/>
  <c r="X47" i="101" s="1"/>
  <c r="X57" i="101" s="1"/>
  <c r="X30" i="101"/>
  <c r="X33" i="101" s="1"/>
  <c r="E30" i="101"/>
  <c r="E33" i="101" s="1"/>
  <c r="E55" i="101"/>
  <c r="E54" i="101" s="1"/>
  <c r="E47" i="101" s="1"/>
  <c r="E57" i="101" s="1"/>
  <c r="Y37" i="101"/>
  <c r="AB37" i="102"/>
  <c r="AD37" i="101"/>
  <c r="S30" i="101"/>
  <c r="S33" i="101" s="1"/>
  <c r="S55" i="101"/>
  <c r="S54" i="101" s="1"/>
  <c r="S47" i="101" s="1"/>
  <c r="S57" i="101" s="1"/>
  <c r="Y30" i="102"/>
  <c r="Y33" i="102" s="1"/>
  <c r="Y55" i="102"/>
  <c r="Y54" i="102" s="1"/>
  <c r="Y47" i="102" s="1"/>
  <c r="Y57" i="102" s="1"/>
  <c r="D47" i="100"/>
  <c r="AG53" i="100"/>
  <c r="L36" i="103"/>
  <c r="L39" i="103"/>
  <c r="L32" i="103"/>
  <c r="L55" i="103" s="1"/>
  <c r="L35" i="103"/>
  <c r="L31" i="103"/>
  <c r="D36" i="104"/>
  <c r="D31" i="104"/>
  <c r="D35" i="104"/>
  <c r="D32" i="104"/>
  <c r="D39" i="104"/>
  <c r="AD31" i="103"/>
  <c r="AD32" i="103"/>
  <c r="AD55" i="103" s="1"/>
  <c r="AD36" i="103"/>
  <c r="AD35" i="103"/>
  <c r="AD39" i="103"/>
  <c r="AB39" i="103"/>
  <c r="AB36" i="103"/>
  <c r="AB32" i="103"/>
  <c r="AB55" i="103" s="1"/>
  <c r="AB31" i="103"/>
  <c r="AB35" i="103"/>
  <c r="E36" i="103"/>
  <c r="E39" i="103"/>
  <c r="E32" i="103"/>
  <c r="E55" i="103" s="1"/>
  <c r="E31" i="103"/>
  <c r="E35" i="103"/>
  <c r="AG28" i="104"/>
  <c r="J29" i="104"/>
  <c r="Q36" i="104"/>
  <c r="Q31" i="104"/>
  <c r="Q39" i="104"/>
  <c r="Q35" i="104"/>
  <c r="Q32" i="104"/>
  <c r="Q55" i="104" s="1"/>
  <c r="AD31" i="104"/>
  <c r="AD36" i="104"/>
  <c r="AD39" i="104"/>
  <c r="AD35" i="104"/>
  <c r="AD32" i="104"/>
  <c r="AD55" i="104" s="1"/>
  <c r="AE31" i="103"/>
  <c r="AE35" i="103"/>
  <c r="AE32" i="103"/>
  <c r="AE55" i="103" s="1"/>
  <c r="AE39" i="103"/>
  <c r="AE36" i="103"/>
  <c r="AC32" i="103"/>
  <c r="AC55" i="103" s="1"/>
  <c r="AC31" i="103"/>
  <c r="AC35" i="103"/>
  <c r="AC36" i="103"/>
  <c r="AC39" i="103"/>
  <c r="V35" i="104"/>
  <c r="V31" i="104"/>
  <c r="V32" i="104"/>
  <c r="V55" i="104" s="1"/>
  <c r="V39" i="104"/>
  <c r="V36" i="104"/>
  <c r="E36" i="104"/>
  <c r="E35" i="104"/>
  <c r="E31" i="104"/>
  <c r="E39" i="104"/>
  <c r="E32" i="104"/>
  <c r="E55" i="104" s="1"/>
  <c r="N31" i="104"/>
  <c r="N36" i="104"/>
  <c r="N32" i="104"/>
  <c r="N55" i="104" s="1"/>
  <c r="N35" i="104"/>
  <c r="N39" i="104"/>
  <c r="K32" i="103"/>
  <c r="K55" i="103" s="1"/>
  <c r="K39" i="103"/>
  <c r="K36" i="103"/>
  <c r="K31" i="103"/>
  <c r="K35" i="103"/>
  <c r="C39" i="103"/>
  <c r="C33" i="103"/>
  <c r="C36" i="103"/>
  <c r="C35" i="103"/>
  <c r="K39" i="104"/>
  <c r="K36" i="104"/>
  <c r="K35" i="104"/>
  <c r="K32" i="104"/>
  <c r="K55" i="104" s="1"/>
  <c r="K31" i="104"/>
  <c r="Z35" i="104"/>
  <c r="Z39" i="104"/>
  <c r="Z32" i="104"/>
  <c r="Z55" i="104" s="1"/>
  <c r="Z31" i="104"/>
  <c r="Z36" i="104"/>
  <c r="AC32" i="104"/>
  <c r="AC55" i="104" s="1"/>
  <c r="AC39" i="104"/>
  <c r="AC35" i="104"/>
  <c r="AC36" i="104"/>
  <c r="AC31" i="104"/>
  <c r="V35" i="103"/>
  <c r="V39" i="103"/>
  <c r="V31" i="103"/>
  <c r="V36" i="103"/>
  <c r="V32" i="103"/>
  <c r="V55" i="103" s="1"/>
  <c r="AF31" i="103"/>
  <c r="AF35" i="103"/>
  <c r="AF39" i="103"/>
  <c r="AF32" i="103"/>
  <c r="AF55" i="103" s="1"/>
  <c r="AF36" i="103"/>
  <c r="X39" i="104"/>
  <c r="X35" i="104"/>
  <c r="X36" i="104"/>
  <c r="X31" i="104"/>
  <c r="X32" i="104"/>
  <c r="X55" i="104" s="1"/>
  <c r="AB32" i="104"/>
  <c r="AB55" i="104" s="1"/>
  <c r="AB35" i="104"/>
  <c r="AB39" i="104"/>
  <c r="AB36" i="104"/>
  <c r="AB31" i="104"/>
  <c r="M35" i="104"/>
  <c r="M31" i="104"/>
  <c r="M32" i="104"/>
  <c r="M55" i="104" s="1"/>
  <c r="M39" i="104"/>
  <c r="M36" i="104"/>
  <c r="M32" i="103"/>
  <c r="M55" i="103" s="1"/>
  <c r="M31" i="103"/>
  <c r="M35" i="103"/>
  <c r="M36" i="103"/>
  <c r="M39" i="103"/>
  <c r="J35" i="103"/>
  <c r="J36" i="103"/>
  <c r="J39" i="103"/>
  <c r="J31" i="103"/>
  <c r="J32" i="103"/>
  <c r="J55" i="103" s="1"/>
  <c r="T32" i="103"/>
  <c r="T55" i="103" s="1"/>
  <c r="T36" i="103"/>
  <c r="T35" i="103"/>
  <c r="T39" i="103"/>
  <c r="T31" i="103"/>
  <c r="L35" i="104"/>
  <c r="L39" i="104"/>
  <c r="L31" i="104"/>
  <c r="L32" i="104"/>
  <c r="L55" i="104" s="1"/>
  <c r="L36" i="104"/>
  <c r="I35" i="104"/>
  <c r="I32" i="104"/>
  <c r="I55" i="104" s="1"/>
  <c r="I31" i="104"/>
  <c r="I39" i="104"/>
  <c r="I36" i="104"/>
  <c r="AF31" i="104"/>
  <c r="AF35" i="104"/>
  <c r="AF32" i="104"/>
  <c r="AF55" i="104" s="1"/>
  <c r="AF36" i="104"/>
  <c r="AF39" i="104"/>
  <c r="X31" i="103"/>
  <c r="X35" i="103"/>
  <c r="X39" i="103"/>
  <c r="X32" i="103"/>
  <c r="X55" i="103" s="1"/>
  <c r="X36" i="103"/>
  <c r="Z35" i="103"/>
  <c r="Z36" i="103"/>
  <c r="Z32" i="103"/>
  <c r="Z55" i="103" s="1"/>
  <c r="Z31" i="103"/>
  <c r="Z39" i="103"/>
  <c r="F39" i="103"/>
  <c r="F32" i="103"/>
  <c r="F55" i="103" s="1"/>
  <c r="F36" i="103"/>
  <c r="F35" i="103"/>
  <c r="F31" i="103"/>
  <c r="AE39" i="104"/>
  <c r="AE32" i="104"/>
  <c r="AE55" i="104" s="1"/>
  <c r="AE36" i="104"/>
  <c r="AE31" i="104"/>
  <c r="AE35" i="104"/>
  <c r="C35" i="104"/>
  <c r="C36" i="104"/>
  <c r="C33" i="104"/>
  <c r="C39" i="104"/>
  <c r="G31" i="104"/>
  <c r="G39" i="104"/>
  <c r="G32" i="104"/>
  <c r="G55" i="104" s="1"/>
  <c r="G35" i="104"/>
  <c r="G36" i="104"/>
  <c r="Y39" i="103"/>
  <c r="Y32" i="103"/>
  <c r="Y55" i="103" s="1"/>
  <c r="Y35" i="103"/>
  <c r="Y31" i="103"/>
  <c r="Y36" i="103"/>
  <c r="U32" i="103"/>
  <c r="U55" i="103" s="1"/>
  <c r="U36" i="103"/>
  <c r="U35" i="103"/>
  <c r="U31" i="103"/>
  <c r="U39" i="103"/>
  <c r="AA39" i="103"/>
  <c r="AA36" i="103"/>
  <c r="AA35" i="103"/>
  <c r="AA32" i="103"/>
  <c r="AA55" i="103" s="1"/>
  <c r="AA31" i="103"/>
  <c r="W32" i="104"/>
  <c r="W55" i="104" s="1"/>
  <c r="W31" i="104"/>
  <c r="W36" i="104"/>
  <c r="W39" i="104"/>
  <c r="W35" i="104"/>
  <c r="AA35" i="104"/>
  <c r="AA32" i="104"/>
  <c r="AA55" i="104" s="1"/>
  <c r="AA31" i="104"/>
  <c r="AA36" i="104"/>
  <c r="AA39" i="104"/>
  <c r="W31" i="103"/>
  <c r="W35" i="103"/>
  <c r="W36" i="103"/>
  <c r="W32" i="103"/>
  <c r="W55" i="103" s="1"/>
  <c r="W39" i="103"/>
  <c r="O31" i="103"/>
  <c r="O35" i="103"/>
  <c r="O39" i="103"/>
  <c r="O32" i="103"/>
  <c r="O55" i="103" s="1"/>
  <c r="O36" i="103"/>
  <c r="R35" i="103"/>
  <c r="R39" i="103"/>
  <c r="R36" i="103"/>
  <c r="R32" i="103"/>
  <c r="R55" i="103" s="1"/>
  <c r="R31" i="103"/>
  <c r="Y32" i="104"/>
  <c r="Y55" i="104" s="1"/>
  <c r="Y35" i="104"/>
  <c r="Y31" i="104"/>
  <c r="Y36" i="104"/>
  <c r="Y39" i="104"/>
  <c r="H35" i="104"/>
  <c r="H39" i="104"/>
  <c r="H32" i="104"/>
  <c r="H55" i="104" s="1"/>
  <c r="H31" i="104"/>
  <c r="H36" i="104"/>
  <c r="AG28" i="103"/>
  <c r="G29" i="103"/>
  <c r="N32" i="103"/>
  <c r="N55" i="103" s="1"/>
  <c r="N35" i="103"/>
  <c r="N31" i="103"/>
  <c r="N39" i="103"/>
  <c r="N36" i="103"/>
  <c r="Q31" i="103"/>
  <c r="Q35" i="103"/>
  <c r="Q39" i="103"/>
  <c r="Q32" i="103"/>
  <c r="Q55" i="103" s="1"/>
  <c r="Q36" i="103"/>
  <c r="U31" i="104"/>
  <c r="U39" i="104"/>
  <c r="U36" i="104"/>
  <c r="U32" i="104"/>
  <c r="U55" i="104" s="1"/>
  <c r="U35" i="104"/>
  <c r="P32" i="104"/>
  <c r="P55" i="104" s="1"/>
  <c r="P35" i="104"/>
  <c r="P39" i="104"/>
  <c r="P36" i="104"/>
  <c r="P31" i="104"/>
  <c r="H35" i="103"/>
  <c r="H39" i="103"/>
  <c r="H32" i="103"/>
  <c r="H55" i="103" s="1"/>
  <c r="H31" i="103"/>
  <c r="H36" i="103"/>
  <c r="P39" i="103"/>
  <c r="P36" i="103"/>
  <c r="P32" i="103"/>
  <c r="P55" i="103" s="1"/>
  <c r="P31" i="103"/>
  <c r="P35" i="103"/>
  <c r="S39" i="104"/>
  <c r="S32" i="104"/>
  <c r="S55" i="104" s="1"/>
  <c r="S31" i="104"/>
  <c r="S35" i="104"/>
  <c r="S36" i="104"/>
  <c r="R36" i="104"/>
  <c r="R35" i="104"/>
  <c r="R31" i="104"/>
  <c r="R32" i="104"/>
  <c r="R55" i="104" s="1"/>
  <c r="R39" i="104"/>
  <c r="O39" i="104"/>
  <c r="O35" i="104"/>
  <c r="O31" i="104"/>
  <c r="O32" i="104"/>
  <c r="O55" i="104" s="1"/>
  <c r="O36" i="104"/>
  <c r="S31" i="103"/>
  <c r="S39" i="103"/>
  <c r="S36" i="103"/>
  <c r="S35" i="103"/>
  <c r="S32" i="103"/>
  <c r="S55" i="103" s="1"/>
  <c r="I32" i="103"/>
  <c r="I55" i="103" s="1"/>
  <c r="I39" i="103"/>
  <c r="I36" i="103"/>
  <c r="I35" i="103"/>
  <c r="I31" i="103"/>
  <c r="D35" i="103"/>
  <c r="D31" i="103"/>
  <c r="D39" i="103"/>
  <c r="D36" i="103"/>
  <c r="D32" i="103"/>
  <c r="T39" i="104"/>
  <c r="T32" i="104"/>
  <c r="T55" i="104" s="1"/>
  <c r="T35" i="104"/>
  <c r="T31" i="104"/>
  <c r="T36" i="104"/>
  <c r="F31" i="104"/>
  <c r="F35" i="104"/>
  <c r="F36" i="104"/>
  <c r="F39" i="104"/>
  <c r="F32" i="104"/>
  <c r="F55" i="104" s="1"/>
  <c r="AF56" i="98"/>
  <c r="AG47" i="98"/>
  <c r="AA73" i="61"/>
  <c r="W32" i="105" l="1"/>
  <c r="W54" i="105" s="1"/>
  <c r="W36" i="105"/>
  <c r="W39" i="105"/>
  <c r="W31" i="105"/>
  <c r="W35" i="105"/>
  <c r="X32" i="105"/>
  <c r="X54" i="105" s="1"/>
  <c r="X36" i="105"/>
  <c r="X39" i="105"/>
  <c r="X31" i="105"/>
  <c r="X35" i="105"/>
  <c r="AD35" i="106"/>
  <c r="AD32" i="106"/>
  <c r="AD54" i="106" s="1"/>
  <c r="AD39" i="106"/>
  <c r="AD36" i="106"/>
  <c r="AD31" i="106"/>
  <c r="T35" i="105"/>
  <c r="T31" i="105"/>
  <c r="T32" i="105"/>
  <c r="T54" i="105" s="1"/>
  <c r="T39" i="105"/>
  <c r="T36" i="105"/>
  <c r="U32" i="106"/>
  <c r="U54" i="106" s="1"/>
  <c r="U31" i="106"/>
  <c r="U35" i="106"/>
  <c r="U36" i="106"/>
  <c r="U39" i="106"/>
  <c r="Z32" i="105"/>
  <c r="Z54" i="105" s="1"/>
  <c r="Z31" i="105"/>
  <c r="Z35" i="105"/>
  <c r="Z39" i="105"/>
  <c r="Z36" i="105"/>
  <c r="AC35" i="106"/>
  <c r="AC32" i="106"/>
  <c r="AC54" i="106" s="1"/>
  <c r="AC39" i="106"/>
  <c r="AC36" i="106"/>
  <c r="AC31" i="106"/>
  <c r="L31" i="105"/>
  <c r="L35" i="105"/>
  <c r="L36" i="105"/>
  <c r="L39" i="105"/>
  <c r="L32" i="105"/>
  <c r="L54" i="105" s="1"/>
  <c r="AE39" i="106"/>
  <c r="AE35" i="106"/>
  <c r="AE36" i="106"/>
  <c r="AE31" i="106"/>
  <c r="AE32" i="106"/>
  <c r="AE54" i="106" s="1"/>
  <c r="I36" i="106"/>
  <c r="I31" i="106"/>
  <c r="I39" i="106"/>
  <c r="I32" i="106"/>
  <c r="I54" i="106" s="1"/>
  <c r="I35" i="106"/>
  <c r="P39" i="106"/>
  <c r="P36" i="106"/>
  <c r="P32" i="106"/>
  <c r="P54" i="106" s="1"/>
  <c r="P31" i="106"/>
  <c r="P35" i="106"/>
  <c r="Y35" i="105"/>
  <c r="Y32" i="105"/>
  <c r="Y54" i="105" s="1"/>
  <c r="Y31" i="105"/>
  <c r="Y39" i="105"/>
  <c r="Y36" i="105"/>
  <c r="H39" i="105"/>
  <c r="H36" i="105"/>
  <c r="H35" i="105"/>
  <c r="H31" i="105"/>
  <c r="H32" i="105"/>
  <c r="H54" i="105" s="1"/>
  <c r="N31" i="106"/>
  <c r="N35" i="106"/>
  <c r="N32" i="106"/>
  <c r="N54" i="106" s="1"/>
  <c r="N39" i="106"/>
  <c r="N36" i="106"/>
  <c r="M32" i="106"/>
  <c r="M54" i="106" s="1"/>
  <c r="M31" i="106"/>
  <c r="M35" i="106"/>
  <c r="M36" i="106"/>
  <c r="M39" i="106"/>
  <c r="AD32" i="105"/>
  <c r="AD54" i="105" s="1"/>
  <c r="AD39" i="105"/>
  <c r="AD36" i="105"/>
  <c r="AD35" i="105"/>
  <c r="AD31" i="105"/>
  <c r="AA36" i="106"/>
  <c r="AA35" i="106"/>
  <c r="AA32" i="106"/>
  <c r="AA54" i="106" s="1"/>
  <c r="AA39" i="106"/>
  <c r="AA31" i="106"/>
  <c r="Y39" i="106"/>
  <c r="Y32" i="106"/>
  <c r="Y54" i="106" s="1"/>
  <c r="Y36" i="106"/>
  <c r="Y31" i="106"/>
  <c r="Y35" i="106"/>
  <c r="Q32" i="105"/>
  <c r="Q54" i="105" s="1"/>
  <c r="Q39" i="105"/>
  <c r="Q31" i="105"/>
  <c r="Q35" i="105"/>
  <c r="Q36" i="105"/>
  <c r="H39" i="106"/>
  <c r="H36" i="106"/>
  <c r="H31" i="106"/>
  <c r="H35" i="106"/>
  <c r="H32" i="106"/>
  <c r="H54" i="106" s="1"/>
  <c r="T31" i="106"/>
  <c r="T36" i="106"/>
  <c r="T39" i="106"/>
  <c r="T35" i="106"/>
  <c r="T32" i="106"/>
  <c r="T54" i="106" s="1"/>
  <c r="AA39" i="105"/>
  <c r="AA32" i="105"/>
  <c r="AA54" i="105" s="1"/>
  <c r="AA35" i="105"/>
  <c r="AA36" i="105"/>
  <c r="AA31" i="105"/>
  <c r="O39" i="106"/>
  <c r="O31" i="106"/>
  <c r="O35" i="106"/>
  <c r="O32" i="106"/>
  <c r="O54" i="106" s="1"/>
  <c r="O36" i="106"/>
  <c r="Q32" i="106"/>
  <c r="Q54" i="106" s="1"/>
  <c r="Q36" i="106"/>
  <c r="Q39" i="106"/>
  <c r="Q31" i="106"/>
  <c r="Q35" i="106"/>
  <c r="N31" i="105"/>
  <c r="N32" i="105"/>
  <c r="N54" i="105" s="1"/>
  <c r="N35" i="105"/>
  <c r="N36" i="105"/>
  <c r="N39" i="105"/>
  <c r="U35" i="105"/>
  <c r="U32" i="105"/>
  <c r="U54" i="105" s="1"/>
  <c r="U36" i="105"/>
  <c r="U31" i="105"/>
  <c r="U39" i="105"/>
  <c r="F31" i="105"/>
  <c r="F35" i="105"/>
  <c r="F39" i="105"/>
  <c r="F36" i="105"/>
  <c r="F32" i="105"/>
  <c r="F54" i="105" s="1"/>
  <c r="AC31" i="105"/>
  <c r="AC35" i="105"/>
  <c r="AC36" i="105"/>
  <c r="AC32" i="105"/>
  <c r="AC54" i="105" s="1"/>
  <c r="AC39" i="105"/>
  <c r="L35" i="106"/>
  <c r="L39" i="106"/>
  <c r="L36" i="106"/>
  <c r="L32" i="106"/>
  <c r="L54" i="106" s="1"/>
  <c r="L31" i="106"/>
  <c r="AG28" i="106"/>
  <c r="D29" i="106"/>
  <c r="V35" i="105"/>
  <c r="V39" i="105"/>
  <c r="V32" i="105"/>
  <c r="V54" i="105" s="1"/>
  <c r="V36" i="105"/>
  <c r="V31" i="105"/>
  <c r="M35" i="105"/>
  <c r="M31" i="105"/>
  <c r="M36" i="105"/>
  <c r="M32" i="105"/>
  <c r="M54" i="105" s="1"/>
  <c r="M39" i="105"/>
  <c r="J32" i="105"/>
  <c r="J54" i="105" s="1"/>
  <c r="J39" i="105"/>
  <c r="J36" i="105"/>
  <c r="J31" i="105"/>
  <c r="J35" i="105"/>
  <c r="K32" i="106"/>
  <c r="K54" i="106" s="1"/>
  <c r="K31" i="106"/>
  <c r="K39" i="106"/>
  <c r="K36" i="106"/>
  <c r="K35" i="106"/>
  <c r="V31" i="106"/>
  <c r="V32" i="106"/>
  <c r="V54" i="106" s="1"/>
  <c r="V36" i="106"/>
  <c r="V39" i="106"/>
  <c r="V35" i="106"/>
  <c r="R32" i="106"/>
  <c r="R54" i="106" s="1"/>
  <c r="R35" i="106"/>
  <c r="R36" i="106"/>
  <c r="R31" i="106"/>
  <c r="R39" i="106"/>
  <c r="S32" i="106"/>
  <c r="S54" i="106" s="1"/>
  <c r="S31" i="106"/>
  <c r="S35" i="106"/>
  <c r="S39" i="106"/>
  <c r="S36" i="106"/>
  <c r="G39" i="106"/>
  <c r="G36" i="106"/>
  <c r="G31" i="106"/>
  <c r="G35" i="106"/>
  <c r="G32" i="106"/>
  <c r="G54" i="106" s="1"/>
  <c r="AB31" i="105"/>
  <c r="AB36" i="105"/>
  <c r="AB39" i="105"/>
  <c r="AB35" i="105"/>
  <c r="AB32" i="105"/>
  <c r="AB54" i="105" s="1"/>
  <c r="I39" i="105"/>
  <c r="I32" i="105"/>
  <c r="I54" i="105" s="1"/>
  <c r="I31" i="105"/>
  <c r="I35" i="105"/>
  <c r="I36" i="105"/>
  <c r="E35" i="105"/>
  <c r="E32" i="105"/>
  <c r="E54" i="105" s="1"/>
  <c r="E31" i="105"/>
  <c r="E39" i="105"/>
  <c r="E36" i="105"/>
  <c r="AF39" i="106"/>
  <c r="AF31" i="106"/>
  <c r="AF35" i="106"/>
  <c r="AF36" i="106"/>
  <c r="AF32" i="106"/>
  <c r="AF54" i="106" s="1"/>
  <c r="AB36" i="106"/>
  <c r="AB35" i="106"/>
  <c r="AB32" i="106"/>
  <c r="AB54" i="106" s="1"/>
  <c r="AB39" i="106"/>
  <c r="AB31" i="106"/>
  <c r="F36" i="106"/>
  <c r="F31" i="106"/>
  <c r="F39" i="106"/>
  <c r="F32" i="106"/>
  <c r="F54" i="106" s="1"/>
  <c r="F35" i="106"/>
  <c r="AG28" i="105"/>
  <c r="D29" i="105"/>
  <c r="Z35" i="106"/>
  <c r="Z32" i="106"/>
  <c r="Z54" i="106" s="1"/>
  <c r="Z39" i="106"/>
  <c r="Z36" i="106"/>
  <c r="Z31" i="106"/>
  <c r="X35" i="106"/>
  <c r="X36" i="106"/>
  <c r="X31" i="106"/>
  <c r="X39" i="106"/>
  <c r="X32" i="106"/>
  <c r="X54" i="106" s="1"/>
  <c r="S31" i="105"/>
  <c r="S39" i="105"/>
  <c r="S35" i="105"/>
  <c r="S32" i="105"/>
  <c r="S54" i="105" s="1"/>
  <c r="S36" i="105"/>
  <c r="R32" i="105"/>
  <c r="R54" i="105" s="1"/>
  <c r="R36" i="105"/>
  <c r="R35" i="105"/>
  <c r="R39" i="105"/>
  <c r="R31" i="105"/>
  <c r="O36" i="105"/>
  <c r="O31" i="105"/>
  <c r="O39" i="105"/>
  <c r="O32" i="105"/>
  <c r="O54" i="105" s="1"/>
  <c r="O35" i="105"/>
  <c r="K32" i="105"/>
  <c r="K54" i="105" s="1"/>
  <c r="K36" i="105"/>
  <c r="K39" i="105"/>
  <c r="K35" i="105"/>
  <c r="K31" i="105"/>
  <c r="J32" i="106"/>
  <c r="J54" i="106" s="1"/>
  <c r="J36" i="106"/>
  <c r="J35" i="106"/>
  <c r="J31" i="106"/>
  <c r="J39" i="106"/>
  <c r="G32" i="105"/>
  <c r="G54" i="105" s="1"/>
  <c r="G36" i="105"/>
  <c r="G31" i="105"/>
  <c r="G35" i="105"/>
  <c r="G39" i="105"/>
  <c r="W35" i="106"/>
  <c r="W31" i="106"/>
  <c r="W32" i="106"/>
  <c r="W54" i="106" s="1"/>
  <c r="W39" i="106"/>
  <c r="W36" i="106"/>
  <c r="E39" i="106"/>
  <c r="E31" i="106"/>
  <c r="E35" i="106"/>
  <c r="E36" i="106"/>
  <c r="E32" i="106"/>
  <c r="E54" i="106" s="1"/>
  <c r="P39" i="105"/>
  <c r="P36" i="105"/>
  <c r="P31" i="105"/>
  <c r="P35" i="105"/>
  <c r="P32" i="105"/>
  <c r="P54" i="105" s="1"/>
  <c r="AF35" i="105"/>
  <c r="AF32" i="105"/>
  <c r="AF54" i="105" s="1"/>
  <c r="AF36" i="105"/>
  <c r="AF31" i="105"/>
  <c r="AF39" i="105"/>
  <c r="AE31" i="105"/>
  <c r="AE32" i="105"/>
  <c r="AE54" i="105" s="1"/>
  <c r="AE35" i="105"/>
  <c r="AE39" i="105"/>
  <c r="AE36" i="105"/>
  <c r="AF28" i="110"/>
  <c r="AF29" i="110" s="1"/>
  <c r="AF36" i="110" s="1"/>
  <c r="K28" i="110"/>
  <c r="K29" i="110" s="1"/>
  <c r="K36" i="110" s="1"/>
  <c r="P28" i="110"/>
  <c r="P29" i="110" s="1"/>
  <c r="P32" i="110" s="1"/>
  <c r="P54" i="110" s="1"/>
  <c r="U28" i="110"/>
  <c r="U29" i="110" s="1"/>
  <c r="U35" i="110" s="1"/>
  <c r="O28" i="110"/>
  <c r="O29" i="110" s="1"/>
  <c r="O31" i="110" s="1"/>
  <c r="X28" i="110"/>
  <c r="X29" i="110" s="1"/>
  <c r="X31" i="110" s="1"/>
  <c r="S28" i="110"/>
  <c r="S29" i="110" s="1"/>
  <c r="S32" i="110" s="1"/>
  <c r="S54" i="110" s="1"/>
  <c r="M28" i="110"/>
  <c r="M29" i="110" s="1"/>
  <c r="M31" i="110" s="1"/>
  <c r="L28" i="110"/>
  <c r="L29" i="110" s="1"/>
  <c r="L35" i="110" s="1"/>
  <c r="AB28" i="110"/>
  <c r="AB29" i="110" s="1"/>
  <c r="AB31" i="110" s="1"/>
  <c r="I28" i="110"/>
  <c r="I29" i="110" s="1"/>
  <c r="I35" i="110" s="1"/>
  <c r="V28" i="110"/>
  <c r="V29" i="110" s="1"/>
  <c r="V39" i="110" s="1"/>
  <c r="F28" i="110"/>
  <c r="F29" i="110" s="1"/>
  <c r="F35" i="110" s="1"/>
  <c r="Z28" i="110"/>
  <c r="Z29" i="110" s="1"/>
  <c r="Z36" i="110" s="1"/>
  <c r="Y28" i="110"/>
  <c r="Y29" i="110" s="1"/>
  <c r="Y32" i="110" s="1"/>
  <c r="Y54" i="110" s="1"/>
  <c r="N28" i="110"/>
  <c r="N29" i="110" s="1"/>
  <c r="N31" i="110" s="1"/>
  <c r="W28" i="110"/>
  <c r="W29" i="110" s="1"/>
  <c r="W32" i="110" s="1"/>
  <c r="W54" i="110" s="1"/>
  <c r="AC28" i="110"/>
  <c r="AC29" i="110" s="1"/>
  <c r="AC31" i="110" s="1"/>
  <c r="AE28" i="110"/>
  <c r="AE29" i="110" s="1"/>
  <c r="AE31" i="110" s="1"/>
  <c r="C28" i="110"/>
  <c r="C29" i="110" s="1"/>
  <c r="R28" i="110"/>
  <c r="R29" i="110" s="1"/>
  <c r="R39" i="110" s="1"/>
  <c r="Q28" i="110"/>
  <c r="Q29" i="110" s="1"/>
  <c r="Q35" i="110" s="1"/>
  <c r="H28" i="110"/>
  <c r="H29" i="110" s="1"/>
  <c r="H31" i="110" s="1"/>
  <c r="D28" i="110"/>
  <c r="D29" i="110" s="1"/>
  <c r="D35" i="110" s="1"/>
  <c r="AD28" i="110"/>
  <c r="AD29" i="110" s="1"/>
  <c r="AD36" i="110" s="1"/>
  <c r="AA28" i="110"/>
  <c r="AA29" i="110" s="1"/>
  <c r="AA32" i="110" s="1"/>
  <c r="AA54" i="110" s="1"/>
  <c r="T28" i="110"/>
  <c r="T29" i="110" s="1"/>
  <c r="T32" i="110" s="1"/>
  <c r="T54" i="110" s="1"/>
  <c r="G28" i="110"/>
  <c r="G29" i="110" s="1"/>
  <c r="G39" i="110" s="1"/>
  <c r="J28" i="110"/>
  <c r="J29" i="110" s="1"/>
  <c r="J36" i="110" s="1"/>
  <c r="W28" i="135"/>
  <c r="W29" i="135" s="1"/>
  <c r="V28" i="135"/>
  <c r="V29" i="135" s="1"/>
  <c r="P28" i="135"/>
  <c r="P29" i="135" s="1"/>
  <c r="Z28" i="135"/>
  <c r="Z29" i="135" s="1"/>
  <c r="Y28" i="135"/>
  <c r="Y29" i="135" s="1"/>
  <c r="E28" i="135"/>
  <c r="E29" i="135" s="1"/>
  <c r="X28" i="135"/>
  <c r="X29" i="135" s="1"/>
  <c r="D28" i="135"/>
  <c r="D29" i="135" s="1"/>
  <c r="O28" i="135"/>
  <c r="O29" i="135" s="1"/>
  <c r="AE28" i="135"/>
  <c r="AE29" i="135" s="1"/>
  <c r="AC28" i="135"/>
  <c r="AC29" i="135" s="1"/>
  <c r="AB28" i="135"/>
  <c r="AB29" i="135" s="1"/>
  <c r="J28" i="135"/>
  <c r="J29" i="135" s="1"/>
  <c r="N28" i="135"/>
  <c r="N29" i="135" s="1"/>
  <c r="M28" i="135"/>
  <c r="M29" i="135" s="1"/>
  <c r="L28" i="135"/>
  <c r="L29" i="135" s="1"/>
  <c r="K28" i="135"/>
  <c r="K29" i="135" s="1"/>
  <c r="AA28" i="135"/>
  <c r="AA29" i="135" s="1"/>
  <c r="G28" i="135"/>
  <c r="G29" i="135" s="1"/>
  <c r="F28" i="135"/>
  <c r="F29" i="135" s="1"/>
  <c r="Q28" i="135"/>
  <c r="Q29" i="135" s="1"/>
  <c r="AD28" i="135"/>
  <c r="AD29" i="135" s="1"/>
  <c r="I28" i="135"/>
  <c r="I29" i="135" s="1"/>
  <c r="AF28" i="135"/>
  <c r="AF29" i="135" s="1"/>
  <c r="T28" i="135"/>
  <c r="T29" i="135" s="1"/>
  <c r="C28" i="135"/>
  <c r="U28" i="135"/>
  <c r="U29" i="135" s="1"/>
  <c r="S28" i="135"/>
  <c r="S29" i="135" s="1"/>
  <c r="H28" i="135"/>
  <c r="H29" i="135" s="1"/>
  <c r="R28" i="135"/>
  <c r="R29" i="135" s="1"/>
  <c r="E35" i="110"/>
  <c r="E31" i="110"/>
  <c r="E36" i="110"/>
  <c r="E32" i="110"/>
  <c r="E54" i="110" s="1"/>
  <c r="E39" i="110"/>
  <c r="D54" i="101"/>
  <c r="AG55" i="101"/>
  <c r="C37" i="101"/>
  <c r="AG30" i="101"/>
  <c r="D33" i="101"/>
  <c r="AG33" i="101" s="1"/>
  <c r="AG30" i="102"/>
  <c r="D33" i="102"/>
  <c r="AG33" i="102" s="1"/>
  <c r="C37" i="102"/>
  <c r="D54" i="102"/>
  <c r="AG55" i="102"/>
  <c r="D56" i="100"/>
  <c r="AG47" i="100"/>
  <c r="N37" i="104"/>
  <c r="AD37" i="103"/>
  <c r="D37" i="104"/>
  <c r="V37" i="104"/>
  <c r="L37" i="103"/>
  <c r="I37" i="103"/>
  <c r="U37" i="104"/>
  <c r="AC37" i="104"/>
  <c r="X37" i="104"/>
  <c r="E37" i="103"/>
  <c r="O37" i="103"/>
  <c r="W37" i="104"/>
  <c r="L37" i="104"/>
  <c r="F37" i="103"/>
  <c r="T37" i="103"/>
  <c r="C37" i="104"/>
  <c r="AD37" i="104"/>
  <c r="AE37" i="104"/>
  <c r="M37" i="104"/>
  <c r="S37" i="104"/>
  <c r="N37" i="103"/>
  <c r="T37" i="104"/>
  <c r="U37" i="103"/>
  <c r="H37" i="103"/>
  <c r="K37" i="103"/>
  <c r="AB37" i="103"/>
  <c r="H37" i="104"/>
  <c r="AE37" i="103"/>
  <c r="O30" i="103"/>
  <c r="O33" i="103" s="1"/>
  <c r="O54" i="103"/>
  <c r="O53" i="103" s="1"/>
  <c r="O47" i="103" s="1"/>
  <c r="O56" i="103" s="1"/>
  <c r="O30" i="104"/>
  <c r="O33" i="104" s="1"/>
  <c r="O54" i="104"/>
  <c r="O53" i="104" s="1"/>
  <c r="O47" i="104" s="1"/>
  <c r="O56" i="104" s="1"/>
  <c r="Z30" i="104"/>
  <c r="Z33" i="104" s="1"/>
  <c r="Z54" i="104"/>
  <c r="Z53" i="104" s="1"/>
  <c r="Z47" i="104" s="1"/>
  <c r="Z56" i="104" s="1"/>
  <c r="D37" i="103"/>
  <c r="AB30" i="104"/>
  <c r="AB33" i="104" s="1"/>
  <c r="AB54" i="104"/>
  <c r="AB53" i="104" s="1"/>
  <c r="AB47" i="104" s="1"/>
  <c r="AB56" i="104" s="1"/>
  <c r="AF37" i="104"/>
  <c r="M30" i="103"/>
  <c r="M33" i="103" s="1"/>
  <c r="M54" i="103"/>
  <c r="M53" i="103" s="1"/>
  <c r="M47" i="103" s="1"/>
  <c r="M56" i="103" s="1"/>
  <c r="N54" i="104"/>
  <c r="N53" i="104" s="1"/>
  <c r="N47" i="104" s="1"/>
  <c r="N56" i="104" s="1"/>
  <c r="N30" i="104"/>
  <c r="N33" i="104" s="1"/>
  <c r="D30" i="104"/>
  <c r="D54" i="104"/>
  <c r="S30" i="104"/>
  <c r="S33" i="104" s="1"/>
  <c r="S54" i="104"/>
  <c r="S53" i="104" s="1"/>
  <c r="S47" i="104" s="1"/>
  <c r="S56" i="104" s="1"/>
  <c r="K54" i="103"/>
  <c r="K53" i="103" s="1"/>
  <c r="K47" i="103" s="1"/>
  <c r="K56" i="103" s="1"/>
  <c r="K30" i="103"/>
  <c r="K33" i="103" s="1"/>
  <c r="J35" i="104"/>
  <c r="J32" i="104"/>
  <c r="J55" i="104" s="1"/>
  <c r="J31" i="104"/>
  <c r="J39" i="104"/>
  <c r="B39" i="104" s="1"/>
  <c r="J36" i="104"/>
  <c r="Z37" i="103"/>
  <c r="O37" i="104"/>
  <c r="AG29" i="103"/>
  <c r="G36" i="103"/>
  <c r="G35" i="103"/>
  <c r="G31" i="103"/>
  <c r="AG31" i="103" s="1"/>
  <c r="G39" i="103"/>
  <c r="B39" i="103" s="1"/>
  <c r="G32" i="103"/>
  <c r="G55" i="103" s="1"/>
  <c r="Y37" i="104"/>
  <c r="R54" i="103"/>
  <c r="R53" i="103" s="1"/>
  <c r="R47" i="103" s="1"/>
  <c r="R56" i="103" s="1"/>
  <c r="R30" i="103"/>
  <c r="R33" i="103" s="1"/>
  <c r="W30" i="104"/>
  <c r="W33" i="104" s="1"/>
  <c r="W54" i="104"/>
  <c r="W53" i="104" s="1"/>
  <c r="W47" i="104" s="1"/>
  <c r="W56" i="104" s="1"/>
  <c r="G37" i="104"/>
  <c r="W30" i="103"/>
  <c r="W33" i="103" s="1"/>
  <c r="W54" i="103"/>
  <c r="W53" i="103" s="1"/>
  <c r="W47" i="103" s="1"/>
  <c r="W56" i="103" s="1"/>
  <c r="F30" i="103"/>
  <c r="F33" i="103" s="1"/>
  <c r="F54" i="103"/>
  <c r="F53" i="103" s="1"/>
  <c r="F47" i="103" s="1"/>
  <c r="F56" i="103" s="1"/>
  <c r="X37" i="103"/>
  <c r="AF54" i="104"/>
  <c r="AF53" i="104" s="1"/>
  <c r="AF47" i="104" s="1"/>
  <c r="AF56" i="104" s="1"/>
  <c r="AF30" i="104"/>
  <c r="AF33" i="104" s="1"/>
  <c r="X54" i="103"/>
  <c r="X53" i="103" s="1"/>
  <c r="X47" i="103" s="1"/>
  <c r="X56" i="103" s="1"/>
  <c r="X30" i="103"/>
  <c r="X33" i="103" s="1"/>
  <c r="K30" i="104"/>
  <c r="K33" i="104" s="1"/>
  <c r="K54" i="104"/>
  <c r="K53" i="104" s="1"/>
  <c r="K47" i="104" s="1"/>
  <c r="K56" i="104" s="1"/>
  <c r="AC37" i="103"/>
  <c r="AD30" i="104"/>
  <c r="AD33" i="104" s="1"/>
  <c r="AD54" i="104"/>
  <c r="AD53" i="104" s="1"/>
  <c r="AD47" i="104" s="1"/>
  <c r="AD56" i="104" s="1"/>
  <c r="F37" i="104"/>
  <c r="R37" i="104"/>
  <c r="Q37" i="103"/>
  <c r="H54" i="104"/>
  <c r="H53" i="104" s="1"/>
  <c r="H47" i="104" s="1"/>
  <c r="H56" i="104" s="1"/>
  <c r="H30" i="104"/>
  <c r="H33" i="104" s="1"/>
  <c r="AA37" i="104"/>
  <c r="AA30" i="103"/>
  <c r="AA33" i="103" s="1"/>
  <c r="AA54" i="103"/>
  <c r="AA53" i="103" s="1"/>
  <c r="AA47" i="103" s="1"/>
  <c r="AA56" i="103" s="1"/>
  <c r="Y37" i="103"/>
  <c r="AG29" i="104"/>
  <c r="I37" i="104"/>
  <c r="C37" i="103"/>
  <c r="E54" i="104"/>
  <c r="E53" i="104" s="1"/>
  <c r="E47" i="104" s="1"/>
  <c r="E56" i="104" s="1"/>
  <c r="E30" i="104"/>
  <c r="E33" i="104" s="1"/>
  <c r="AC54" i="103"/>
  <c r="AC53" i="103" s="1"/>
  <c r="AC47" i="103" s="1"/>
  <c r="AC56" i="103" s="1"/>
  <c r="AC30" i="103"/>
  <c r="AC33" i="103" s="1"/>
  <c r="E30" i="103"/>
  <c r="E33" i="103" s="1"/>
  <c r="E54" i="103"/>
  <c r="E53" i="103" s="1"/>
  <c r="E47" i="103" s="1"/>
  <c r="E56" i="103" s="1"/>
  <c r="D55" i="103"/>
  <c r="P30" i="103"/>
  <c r="P33" i="103" s="1"/>
  <c r="P54" i="103"/>
  <c r="P53" i="103" s="1"/>
  <c r="P47" i="103" s="1"/>
  <c r="P56" i="103" s="1"/>
  <c r="P54" i="104"/>
  <c r="P53" i="104" s="1"/>
  <c r="P47" i="104" s="1"/>
  <c r="P56" i="104" s="1"/>
  <c r="P30" i="104"/>
  <c r="P33" i="104" s="1"/>
  <c r="J37" i="103"/>
  <c r="U54" i="103"/>
  <c r="U53" i="103" s="1"/>
  <c r="U47" i="103" s="1"/>
  <c r="U56" i="103" s="1"/>
  <c r="U30" i="103"/>
  <c r="U33" i="103" s="1"/>
  <c r="V54" i="104"/>
  <c r="V53" i="104" s="1"/>
  <c r="V47" i="104" s="1"/>
  <c r="V56" i="104" s="1"/>
  <c r="V30" i="104"/>
  <c r="V33" i="104" s="1"/>
  <c r="D30" i="103"/>
  <c r="D54" i="103"/>
  <c r="D55" i="104"/>
  <c r="T30" i="103"/>
  <c r="T33" i="103" s="1"/>
  <c r="T54" i="103"/>
  <c r="T53" i="103" s="1"/>
  <c r="T47" i="103" s="1"/>
  <c r="T56" i="103" s="1"/>
  <c r="AD30" i="103"/>
  <c r="AD33" i="103" s="1"/>
  <c r="AD54" i="103"/>
  <c r="AD53" i="103" s="1"/>
  <c r="AD47" i="103" s="1"/>
  <c r="AD56" i="103" s="1"/>
  <c r="Y30" i="103"/>
  <c r="Y33" i="103" s="1"/>
  <c r="Y54" i="103"/>
  <c r="Y53" i="103" s="1"/>
  <c r="Y47" i="103" s="1"/>
  <c r="Y56" i="103" s="1"/>
  <c r="AB37" i="104"/>
  <c r="F54" i="104"/>
  <c r="F53" i="104" s="1"/>
  <c r="F47" i="104" s="1"/>
  <c r="F56" i="104" s="1"/>
  <c r="F30" i="104"/>
  <c r="F33" i="104" s="1"/>
  <c r="Q54" i="103"/>
  <c r="Q53" i="103" s="1"/>
  <c r="Q47" i="103" s="1"/>
  <c r="Q56" i="103" s="1"/>
  <c r="Q30" i="103"/>
  <c r="Q33" i="103" s="1"/>
  <c r="AA30" i="104"/>
  <c r="AA33" i="104" s="1"/>
  <c r="AA54" i="104"/>
  <c r="AA53" i="104" s="1"/>
  <c r="AA47" i="104" s="1"/>
  <c r="AA56" i="104" s="1"/>
  <c r="V37" i="103"/>
  <c r="AC30" i="104"/>
  <c r="AC33" i="104" s="1"/>
  <c r="AC54" i="104"/>
  <c r="AC53" i="104" s="1"/>
  <c r="AC47" i="104" s="1"/>
  <c r="AC56" i="104" s="1"/>
  <c r="K37" i="104"/>
  <c r="E37" i="104"/>
  <c r="Q37" i="104"/>
  <c r="H30" i="103"/>
  <c r="H33" i="103" s="1"/>
  <c r="H54" i="103"/>
  <c r="H53" i="103" s="1"/>
  <c r="H47" i="103" s="1"/>
  <c r="H56" i="103" s="1"/>
  <c r="N30" i="103"/>
  <c r="N33" i="103" s="1"/>
  <c r="N54" i="103"/>
  <c r="N53" i="103" s="1"/>
  <c r="N47" i="103" s="1"/>
  <c r="N56" i="103" s="1"/>
  <c r="S54" i="103"/>
  <c r="S53" i="103" s="1"/>
  <c r="S47" i="103" s="1"/>
  <c r="S56" i="103" s="1"/>
  <c r="S30" i="103"/>
  <c r="S33" i="103" s="1"/>
  <c r="Y30" i="104"/>
  <c r="Y33" i="104" s="1"/>
  <c r="Y54" i="104"/>
  <c r="Y53" i="104" s="1"/>
  <c r="Y47" i="104" s="1"/>
  <c r="Y56" i="104" s="1"/>
  <c r="AE30" i="104"/>
  <c r="AE33" i="104" s="1"/>
  <c r="AE54" i="104"/>
  <c r="AE53" i="104" s="1"/>
  <c r="AE47" i="104" s="1"/>
  <c r="AE56" i="104" s="1"/>
  <c r="M30" i="104"/>
  <c r="M33" i="104" s="1"/>
  <c r="M54" i="104"/>
  <c r="M53" i="104" s="1"/>
  <c r="M47" i="104" s="1"/>
  <c r="M56" i="104" s="1"/>
  <c r="AE54" i="103"/>
  <c r="AE53" i="103" s="1"/>
  <c r="AE47" i="103" s="1"/>
  <c r="AE56" i="103" s="1"/>
  <c r="AE30" i="103"/>
  <c r="AE33" i="103" s="1"/>
  <c r="P37" i="104"/>
  <c r="W37" i="103"/>
  <c r="L54" i="103"/>
  <c r="L53" i="103" s="1"/>
  <c r="L47" i="103" s="1"/>
  <c r="L56" i="103" s="1"/>
  <c r="L30" i="103"/>
  <c r="L33" i="103" s="1"/>
  <c r="I54" i="103"/>
  <c r="I53" i="103" s="1"/>
  <c r="I47" i="103" s="1"/>
  <c r="I56" i="103" s="1"/>
  <c r="I30" i="103"/>
  <c r="I33" i="103" s="1"/>
  <c r="I54" i="104"/>
  <c r="I53" i="104" s="1"/>
  <c r="I47" i="104" s="1"/>
  <c r="I56" i="104" s="1"/>
  <c r="I30" i="104"/>
  <c r="I33" i="104" s="1"/>
  <c r="Z37" i="104"/>
  <c r="R54" i="104"/>
  <c r="R53" i="104" s="1"/>
  <c r="R47" i="104" s="1"/>
  <c r="R56" i="104" s="1"/>
  <c r="R30" i="104"/>
  <c r="R33" i="104" s="1"/>
  <c r="R37" i="103"/>
  <c r="G54" i="104"/>
  <c r="G53" i="104" s="1"/>
  <c r="G47" i="104" s="1"/>
  <c r="G56" i="104" s="1"/>
  <c r="G30" i="104"/>
  <c r="G33" i="104" s="1"/>
  <c r="V30" i="103"/>
  <c r="V33" i="103" s="1"/>
  <c r="V54" i="103"/>
  <c r="V53" i="103" s="1"/>
  <c r="V47" i="103" s="1"/>
  <c r="V56" i="103" s="1"/>
  <c r="U54" i="104"/>
  <c r="U53" i="104" s="1"/>
  <c r="U47" i="104" s="1"/>
  <c r="U56" i="104" s="1"/>
  <c r="U30" i="104"/>
  <c r="U33" i="104" s="1"/>
  <c r="AA37" i="103"/>
  <c r="J30" i="103"/>
  <c r="J33" i="103" s="1"/>
  <c r="J54" i="103"/>
  <c r="J53" i="103" s="1"/>
  <c r="J47" i="103" s="1"/>
  <c r="J56" i="103" s="1"/>
  <c r="X30" i="104"/>
  <c r="X33" i="104" s="1"/>
  <c r="X54" i="104"/>
  <c r="X53" i="104" s="1"/>
  <c r="X47" i="104" s="1"/>
  <c r="X56" i="104" s="1"/>
  <c r="AB54" i="103"/>
  <c r="AB53" i="103" s="1"/>
  <c r="AB47" i="103" s="1"/>
  <c r="AB56" i="103" s="1"/>
  <c r="AB30" i="103"/>
  <c r="AB33" i="103" s="1"/>
  <c r="AF37" i="103"/>
  <c r="M37" i="103"/>
  <c r="AF30" i="103"/>
  <c r="AF33" i="103" s="1"/>
  <c r="AF54" i="103"/>
  <c r="AF53" i="103" s="1"/>
  <c r="AF47" i="103" s="1"/>
  <c r="AF56" i="103" s="1"/>
  <c r="T30" i="104"/>
  <c r="T33" i="104" s="1"/>
  <c r="T54" i="104"/>
  <c r="T53" i="104" s="1"/>
  <c r="T47" i="104" s="1"/>
  <c r="T56" i="104" s="1"/>
  <c r="S37" i="103"/>
  <c r="P37" i="103"/>
  <c r="Z30" i="103"/>
  <c r="Z33" i="103" s="1"/>
  <c r="Z54" i="103"/>
  <c r="Z53" i="103" s="1"/>
  <c r="Z47" i="103" s="1"/>
  <c r="Z56" i="103" s="1"/>
  <c r="L54" i="104"/>
  <c r="L53" i="104" s="1"/>
  <c r="L47" i="104" s="1"/>
  <c r="L56" i="104" s="1"/>
  <c r="L30" i="104"/>
  <c r="L33" i="104" s="1"/>
  <c r="Q54" i="104"/>
  <c r="Q53" i="104" s="1"/>
  <c r="Q47" i="104" s="1"/>
  <c r="Q56" i="104" s="1"/>
  <c r="Q30" i="104"/>
  <c r="Q33" i="104" s="1"/>
  <c r="C57" i="98"/>
  <c r="AG56" i="98"/>
  <c r="AB73" i="61"/>
  <c r="P37" i="106" l="1"/>
  <c r="P37" i="105"/>
  <c r="R37" i="105"/>
  <c r="J37" i="106"/>
  <c r="AA37" i="106"/>
  <c r="X37" i="105"/>
  <c r="AD37" i="105"/>
  <c r="K37" i="105"/>
  <c r="T37" i="106"/>
  <c r="H37" i="106"/>
  <c r="N37" i="105"/>
  <c r="S37" i="106"/>
  <c r="F37" i="105"/>
  <c r="Q37" i="106"/>
  <c r="AA37" i="105"/>
  <c r="AF37" i="105"/>
  <c r="AB37" i="105"/>
  <c r="K37" i="106"/>
  <c r="AD37" i="106"/>
  <c r="AC37" i="105"/>
  <c r="S37" i="105"/>
  <c r="Z37" i="106"/>
  <c r="I37" i="105"/>
  <c r="Z37" i="105"/>
  <c r="M37" i="106"/>
  <c r="R53" i="105"/>
  <c r="R52" i="105" s="1"/>
  <c r="R47" i="105" s="1"/>
  <c r="R55" i="105" s="1"/>
  <c r="R30" i="105"/>
  <c r="R33" i="105" s="1"/>
  <c r="Q30" i="105"/>
  <c r="Q33" i="105" s="1"/>
  <c r="Q53" i="105"/>
  <c r="Q52" i="105" s="1"/>
  <c r="Q47" i="105" s="1"/>
  <c r="Q55" i="105" s="1"/>
  <c r="M53" i="106"/>
  <c r="M52" i="106" s="1"/>
  <c r="M47" i="106" s="1"/>
  <c r="M55" i="106" s="1"/>
  <c r="M30" i="106"/>
  <c r="M33" i="106" s="1"/>
  <c r="Q37" i="105"/>
  <c r="U30" i="106"/>
  <c r="U33" i="106" s="1"/>
  <c r="U53" i="106"/>
  <c r="U52" i="106" s="1"/>
  <c r="U47" i="106" s="1"/>
  <c r="U55" i="106" s="1"/>
  <c r="U53" i="105"/>
  <c r="U52" i="105" s="1"/>
  <c r="U47" i="105" s="1"/>
  <c r="U55" i="105" s="1"/>
  <c r="U30" i="105"/>
  <c r="U33" i="105" s="1"/>
  <c r="P53" i="105"/>
  <c r="P52" i="105" s="1"/>
  <c r="P47" i="105" s="1"/>
  <c r="P55" i="105" s="1"/>
  <c r="P30" i="105"/>
  <c r="P33" i="105" s="1"/>
  <c r="Z53" i="106"/>
  <c r="Z52" i="106" s="1"/>
  <c r="Z47" i="106" s="1"/>
  <c r="Z55" i="106" s="1"/>
  <c r="Z30" i="106"/>
  <c r="Z33" i="106" s="1"/>
  <c r="E53" i="105"/>
  <c r="E52" i="105" s="1"/>
  <c r="E47" i="105" s="1"/>
  <c r="E55" i="105" s="1"/>
  <c r="E30" i="105"/>
  <c r="E33" i="105" s="1"/>
  <c r="AD30" i="105"/>
  <c r="AD33" i="105" s="1"/>
  <c r="AD53" i="105"/>
  <c r="AD52" i="105" s="1"/>
  <c r="AD47" i="105" s="1"/>
  <c r="AD55" i="105" s="1"/>
  <c r="AE37" i="105"/>
  <c r="G37" i="105"/>
  <c r="E37" i="105"/>
  <c r="G37" i="106"/>
  <c r="R37" i="106"/>
  <c r="J37" i="105"/>
  <c r="U37" i="105"/>
  <c r="Y37" i="106"/>
  <c r="N53" i="106"/>
  <c r="N52" i="106" s="1"/>
  <c r="N47" i="106" s="1"/>
  <c r="N55" i="106" s="1"/>
  <c r="N30" i="106"/>
  <c r="N33" i="106" s="1"/>
  <c r="P30" i="106"/>
  <c r="P33" i="106" s="1"/>
  <c r="P53" i="106"/>
  <c r="P52" i="106" s="1"/>
  <c r="P47" i="106" s="1"/>
  <c r="P55" i="106" s="1"/>
  <c r="AE37" i="106"/>
  <c r="AF53" i="106"/>
  <c r="AF52" i="106" s="1"/>
  <c r="AF47" i="106" s="1"/>
  <c r="AF55" i="106" s="1"/>
  <c r="AF30" i="106"/>
  <c r="AF33" i="106" s="1"/>
  <c r="L30" i="105"/>
  <c r="L33" i="105" s="1"/>
  <c r="L53" i="105"/>
  <c r="L52" i="105" s="1"/>
  <c r="L47" i="105" s="1"/>
  <c r="L55" i="105" s="1"/>
  <c r="Q30" i="106"/>
  <c r="Q33" i="106" s="1"/>
  <c r="Q53" i="106"/>
  <c r="Q52" i="106" s="1"/>
  <c r="Q47" i="106" s="1"/>
  <c r="Q55" i="106" s="1"/>
  <c r="F53" i="106"/>
  <c r="F52" i="106" s="1"/>
  <c r="F47" i="106" s="1"/>
  <c r="F55" i="106" s="1"/>
  <c r="F30" i="106"/>
  <c r="F33" i="106" s="1"/>
  <c r="M53" i="105"/>
  <c r="M52" i="105" s="1"/>
  <c r="M47" i="105" s="1"/>
  <c r="M55" i="105" s="1"/>
  <c r="M30" i="105"/>
  <c r="M33" i="105" s="1"/>
  <c r="K30" i="105"/>
  <c r="K33" i="105" s="1"/>
  <c r="K53" i="105"/>
  <c r="K52" i="105" s="1"/>
  <c r="K47" i="105" s="1"/>
  <c r="K55" i="105" s="1"/>
  <c r="W37" i="106"/>
  <c r="AB30" i="106"/>
  <c r="AB33" i="106" s="1"/>
  <c r="AB53" i="106"/>
  <c r="AB52" i="106" s="1"/>
  <c r="AB47" i="106" s="1"/>
  <c r="AB55" i="106" s="1"/>
  <c r="AB30" i="105"/>
  <c r="AB33" i="105" s="1"/>
  <c r="AB53" i="105"/>
  <c r="AB52" i="105" s="1"/>
  <c r="AB47" i="105" s="1"/>
  <c r="AB55" i="105" s="1"/>
  <c r="R53" i="106"/>
  <c r="R52" i="106" s="1"/>
  <c r="R47" i="106" s="1"/>
  <c r="R55" i="106" s="1"/>
  <c r="R30" i="106"/>
  <c r="R33" i="106" s="1"/>
  <c r="K30" i="106"/>
  <c r="K33" i="106" s="1"/>
  <c r="K53" i="106"/>
  <c r="K52" i="106" s="1"/>
  <c r="K47" i="106" s="1"/>
  <c r="K55" i="106" s="1"/>
  <c r="V53" i="105"/>
  <c r="V52" i="105" s="1"/>
  <c r="V47" i="105" s="1"/>
  <c r="V55" i="105" s="1"/>
  <c r="V30" i="105"/>
  <c r="V33" i="105" s="1"/>
  <c r="Y37" i="105"/>
  <c r="AE53" i="106"/>
  <c r="AE52" i="106" s="1"/>
  <c r="AE47" i="106" s="1"/>
  <c r="AE55" i="106" s="1"/>
  <c r="AE30" i="106"/>
  <c r="AE33" i="106" s="1"/>
  <c r="N37" i="106"/>
  <c r="AC37" i="106"/>
  <c r="G53" i="105"/>
  <c r="G52" i="105" s="1"/>
  <c r="G47" i="105" s="1"/>
  <c r="G55" i="105" s="1"/>
  <c r="G30" i="105"/>
  <c r="G33" i="105" s="1"/>
  <c r="AB37" i="106"/>
  <c r="G53" i="106"/>
  <c r="G52" i="106" s="1"/>
  <c r="G47" i="106" s="1"/>
  <c r="G55" i="106" s="1"/>
  <c r="G30" i="106"/>
  <c r="G33" i="106" s="1"/>
  <c r="J30" i="105"/>
  <c r="J33" i="105" s="1"/>
  <c r="J53" i="105"/>
  <c r="J52" i="105" s="1"/>
  <c r="J47" i="105" s="1"/>
  <c r="J55" i="105" s="1"/>
  <c r="O37" i="106"/>
  <c r="T53" i="106"/>
  <c r="T52" i="106" s="1"/>
  <c r="T47" i="106" s="1"/>
  <c r="T55" i="106" s="1"/>
  <c r="T30" i="106"/>
  <c r="T33" i="106" s="1"/>
  <c r="Y30" i="106"/>
  <c r="Y33" i="106" s="1"/>
  <c r="Y53" i="106"/>
  <c r="Y52" i="106" s="1"/>
  <c r="Y47" i="106" s="1"/>
  <c r="Y55" i="106" s="1"/>
  <c r="T53" i="105"/>
  <c r="T52" i="105" s="1"/>
  <c r="T47" i="105" s="1"/>
  <c r="T55" i="105" s="1"/>
  <c r="T30" i="105"/>
  <c r="T33" i="105" s="1"/>
  <c r="W37" i="105"/>
  <c r="V53" i="106"/>
  <c r="V52" i="106" s="1"/>
  <c r="V47" i="106" s="1"/>
  <c r="V55" i="106" s="1"/>
  <c r="V30" i="106"/>
  <c r="V33" i="106" s="1"/>
  <c r="X53" i="106"/>
  <c r="X52" i="106" s="1"/>
  <c r="X47" i="106" s="1"/>
  <c r="X55" i="106" s="1"/>
  <c r="X30" i="106"/>
  <c r="X33" i="106" s="1"/>
  <c r="S53" i="106"/>
  <c r="S52" i="106" s="1"/>
  <c r="S47" i="106" s="1"/>
  <c r="S55" i="106" s="1"/>
  <c r="S30" i="106"/>
  <c r="S33" i="106" s="1"/>
  <c r="I53" i="106"/>
  <c r="I52" i="106" s="1"/>
  <c r="I47" i="106" s="1"/>
  <c r="I55" i="106" s="1"/>
  <c r="I30" i="106"/>
  <c r="I33" i="106" s="1"/>
  <c r="L37" i="106"/>
  <c r="AE53" i="105"/>
  <c r="AE52" i="105" s="1"/>
  <c r="AE47" i="105" s="1"/>
  <c r="AE55" i="105" s="1"/>
  <c r="AE30" i="105"/>
  <c r="AE33" i="105" s="1"/>
  <c r="O37" i="105"/>
  <c r="V37" i="106"/>
  <c r="V37" i="105"/>
  <c r="AC30" i="105"/>
  <c r="AC33" i="105" s="1"/>
  <c r="AC53" i="105"/>
  <c r="AC52" i="105" s="1"/>
  <c r="AC47" i="105" s="1"/>
  <c r="AC55" i="105" s="1"/>
  <c r="O30" i="106"/>
  <c r="O33" i="106" s="1"/>
  <c r="O53" i="106"/>
  <c r="O52" i="106" s="1"/>
  <c r="O47" i="106" s="1"/>
  <c r="O55" i="106" s="1"/>
  <c r="H30" i="105"/>
  <c r="H33" i="105" s="1"/>
  <c r="H53" i="105"/>
  <c r="H52" i="105" s="1"/>
  <c r="H47" i="105" s="1"/>
  <c r="H55" i="105" s="1"/>
  <c r="T37" i="105"/>
  <c r="W30" i="105"/>
  <c r="W33" i="105" s="1"/>
  <c r="W53" i="105"/>
  <c r="W52" i="105" s="1"/>
  <c r="W47" i="105" s="1"/>
  <c r="W55" i="105" s="1"/>
  <c r="E37" i="106"/>
  <c r="D31" i="105"/>
  <c r="D35" i="105"/>
  <c r="D39" i="105"/>
  <c r="B39" i="105" s="1"/>
  <c r="D32" i="105"/>
  <c r="AG29" i="105"/>
  <c r="D36" i="105"/>
  <c r="I30" i="105"/>
  <c r="I33" i="105" s="1"/>
  <c r="I53" i="105"/>
  <c r="I52" i="105" s="1"/>
  <c r="I47" i="105" s="1"/>
  <c r="I55" i="105" s="1"/>
  <c r="AG29" i="106"/>
  <c r="D31" i="106"/>
  <c r="D36" i="106"/>
  <c r="D39" i="106"/>
  <c r="B39" i="106" s="1"/>
  <c r="D32" i="106"/>
  <c r="D35" i="106"/>
  <c r="H37" i="105"/>
  <c r="Z53" i="105"/>
  <c r="Z52" i="105" s="1"/>
  <c r="Z47" i="105" s="1"/>
  <c r="Z55" i="105" s="1"/>
  <c r="Z30" i="105"/>
  <c r="Z33" i="105" s="1"/>
  <c r="AD30" i="106"/>
  <c r="AD33" i="106" s="1"/>
  <c r="AD53" i="106"/>
  <c r="AD52" i="106" s="1"/>
  <c r="AD47" i="106" s="1"/>
  <c r="AD55" i="106" s="1"/>
  <c r="F53" i="105"/>
  <c r="F52" i="105" s="1"/>
  <c r="F47" i="105" s="1"/>
  <c r="F55" i="105" s="1"/>
  <c r="F30" i="105"/>
  <c r="F33" i="105" s="1"/>
  <c r="U37" i="106"/>
  <c r="Y30" i="105"/>
  <c r="Y33" i="105" s="1"/>
  <c r="Y53" i="105"/>
  <c r="Y52" i="105" s="1"/>
  <c r="Y47" i="105" s="1"/>
  <c r="Y55" i="105" s="1"/>
  <c r="X53" i="105"/>
  <c r="X52" i="105" s="1"/>
  <c r="X47" i="105" s="1"/>
  <c r="X55" i="105" s="1"/>
  <c r="X30" i="105"/>
  <c r="X33" i="105" s="1"/>
  <c r="AF53" i="105"/>
  <c r="AF52" i="105" s="1"/>
  <c r="AF47" i="105" s="1"/>
  <c r="AF55" i="105" s="1"/>
  <c r="AF30" i="105"/>
  <c r="AF33" i="105" s="1"/>
  <c r="E30" i="106"/>
  <c r="E33" i="106" s="1"/>
  <c r="E53" i="106"/>
  <c r="E52" i="106" s="1"/>
  <c r="E47" i="106" s="1"/>
  <c r="E55" i="106" s="1"/>
  <c r="S30" i="105"/>
  <c r="S33" i="105" s="1"/>
  <c r="S53" i="105"/>
  <c r="S52" i="105" s="1"/>
  <c r="S47" i="105" s="1"/>
  <c r="S55" i="105" s="1"/>
  <c r="AA53" i="105"/>
  <c r="AA52" i="105" s="1"/>
  <c r="AA47" i="105" s="1"/>
  <c r="AA55" i="105" s="1"/>
  <c r="AA30" i="105"/>
  <c r="AA33" i="105" s="1"/>
  <c r="H53" i="106"/>
  <c r="H52" i="106" s="1"/>
  <c r="H47" i="106" s="1"/>
  <c r="H55" i="106" s="1"/>
  <c r="H30" i="106"/>
  <c r="H33" i="106" s="1"/>
  <c r="I37" i="106"/>
  <c r="AC30" i="106"/>
  <c r="AC33" i="106" s="1"/>
  <c r="AC53" i="106"/>
  <c r="AC52" i="106" s="1"/>
  <c r="AC47" i="106" s="1"/>
  <c r="AC55" i="106" s="1"/>
  <c r="W30" i="106"/>
  <c r="W33" i="106" s="1"/>
  <c r="W53" i="106"/>
  <c r="W52" i="106" s="1"/>
  <c r="W47" i="106" s="1"/>
  <c r="W55" i="106" s="1"/>
  <c r="X37" i="106"/>
  <c r="M37" i="105"/>
  <c r="J30" i="106"/>
  <c r="J33" i="106" s="1"/>
  <c r="J53" i="106"/>
  <c r="J52" i="106" s="1"/>
  <c r="J47" i="106" s="1"/>
  <c r="J55" i="106" s="1"/>
  <c r="O30" i="105"/>
  <c r="O33" i="105" s="1"/>
  <c r="O53" i="105"/>
  <c r="O52" i="105" s="1"/>
  <c r="O47" i="105" s="1"/>
  <c r="O55" i="105" s="1"/>
  <c r="F37" i="106"/>
  <c r="AF37" i="106"/>
  <c r="L53" i="106"/>
  <c r="L52" i="106" s="1"/>
  <c r="L47" i="106" s="1"/>
  <c r="L55" i="106" s="1"/>
  <c r="L30" i="106"/>
  <c r="L33" i="106" s="1"/>
  <c r="N53" i="105"/>
  <c r="N52" i="105" s="1"/>
  <c r="N47" i="105" s="1"/>
  <c r="N55" i="105" s="1"/>
  <c r="N30" i="105"/>
  <c r="N33" i="105" s="1"/>
  <c r="AA30" i="106"/>
  <c r="AA33" i="106" s="1"/>
  <c r="AA53" i="106"/>
  <c r="AA52" i="106" s="1"/>
  <c r="AA47" i="106" s="1"/>
  <c r="AA55" i="106" s="1"/>
  <c r="L37" i="105"/>
  <c r="P36" i="110"/>
  <c r="P35" i="110"/>
  <c r="U31" i="110"/>
  <c r="U53" i="110" s="1"/>
  <c r="U36" i="110"/>
  <c r="U37" i="110" s="1"/>
  <c r="W31" i="110"/>
  <c r="W53" i="110" s="1"/>
  <c r="W52" i="110" s="1"/>
  <c r="W47" i="110" s="1"/>
  <c r="W55" i="110" s="1"/>
  <c r="W36" i="110"/>
  <c r="K39" i="110"/>
  <c r="K32" i="110"/>
  <c r="K54" i="110" s="1"/>
  <c r="U39" i="110"/>
  <c r="S31" i="110"/>
  <c r="S30" i="110" s="1"/>
  <c r="S33" i="110" s="1"/>
  <c r="N35" i="110"/>
  <c r="M36" i="110"/>
  <c r="H32" i="110"/>
  <c r="H54" i="110" s="1"/>
  <c r="H39" i="110"/>
  <c r="W35" i="110"/>
  <c r="V31" i="110"/>
  <c r="V53" i="110" s="1"/>
  <c r="V36" i="110"/>
  <c r="I36" i="110"/>
  <c r="I37" i="110" s="1"/>
  <c r="I32" i="110"/>
  <c r="I54" i="110" s="1"/>
  <c r="H36" i="110"/>
  <c r="P31" i="110"/>
  <c r="P53" i="110" s="1"/>
  <c r="P52" i="110" s="1"/>
  <c r="P47" i="110" s="1"/>
  <c r="P55" i="110" s="1"/>
  <c r="Q36" i="110"/>
  <c r="Q37" i="110" s="1"/>
  <c r="Q31" i="110"/>
  <c r="Q53" i="110" s="1"/>
  <c r="L32" i="110"/>
  <c r="L54" i="110" s="1"/>
  <c r="R35" i="110"/>
  <c r="L39" i="110"/>
  <c r="J39" i="110"/>
  <c r="R31" i="110"/>
  <c r="L36" i="110"/>
  <c r="L37" i="110" s="1"/>
  <c r="AB36" i="110"/>
  <c r="J32" i="110"/>
  <c r="J54" i="110" s="1"/>
  <c r="R36" i="110"/>
  <c r="L31" i="110"/>
  <c r="L53" i="110" s="1"/>
  <c r="AB39" i="110"/>
  <c r="J31" i="110"/>
  <c r="J53" i="110" s="1"/>
  <c r="R32" i="110"/>
  <c r="R54" i="110" s="1"/>
  <c r="M39" i="110"/>
  <c r="AB32" i="110"/>
  <c r="AB54" i="110" s="1"/>
  <c r="P39" i="110"/>
  <c r="J35" i="110"/>
  <c r="J37" i="110" s="1"/>
  <c r="M32" i="110"/>
  <c r="M54" i="110" s="1"/>
  <c r="O36" i="110"/>
  <c r="G32" i="110"/>
  <c r="G54" i="110" s="1"/>
  <c r="W39" i="110"/>
  <c r="M35" i="110"/>
  <c r="O39" i="110"/>
  <c r="AF31" i="110"/>
  <c r="AF53" i="110" s="1"/>
  <c r="G31" i="110"/>
  <c r="O32" i="110"/>
  <c r="O54" i="110" s="1"/>
  <c r="AF32" i="110"/>
  <c r="AF54" i="110" s="1"/>
  <c r="AF35" i="110"/>
  <c r="AF37" i="110" s="1"/>
  <c r="AA35" i="110"/>
  <c r="K35" i="110"/>
  <c r="K37" i="110" s="1"/>
  <c r="AF39" i="110"/>
  <c r="AE32" i="110"/>
  <c r="AE54" i="110" s="1"/>
  <c r="K31" i="110"/>
  <c r="Q39" i="110"/>
  <c r="S36" i="110"/>
  <c r="AB35" i="110"/>
  <c r="AD39" i="110"/>
  <c r="G35" i="110"/>
  <c r="N32" i="110"/>
  <c r="N54" i="110" s="1"/>
  <c r="S35" i="110"/>
  <c r="AD32" i="110"/>
  <c r="AD54" i="110" s="1"/>
  <c r="F39" i="110"/>
  <c r="AC32" i="110"/>
  <c r="AC54" i="110" s="1"/>
  <c r="V32" i="110"/>
  <c r="V54" i="110" s="1"/>
  <c r="AD35" i="110"/>
  <c r="AD37" i="110" s="1"/>
  <c r="D31" i="110"/>
  <c r="D53" i="110" s="1"/>
  <c r="AD31" i="110"/>
  <c r="AD53" i="110" s="1"/>
  <c r="D36" i="110"/>
  <c r="D37" i="110" s="1"/>
  <c r="F31" i="110"/>
  <c r="F53" i="110" s="1"/>
  <c r="X39" i="110"/>
  <c r="H35" i="110"/>
  <c r="O35" i="110"/>
  <c r="V35" i="110"/>
  <c r="AD39" i="135"/>
  <c r="AD32" i="135"/>
  <c r="AD54" i="135" s="1"/>
  <c r="AD35" i="135"/>
  <c r="AD36" i="135"/>
  <c r="AD31" i="135"/>
  <c r="T39" i="110"/>
  <c r="O32" i="135"/>
  <c r="O54" i="135" s="1"/>
  <c r="O31" i="135"/>
  <c r="O39" i="135"/>
  <c r="O36" i="135"/>
  <c r="O35" i="135"/>
  <c r="T31" i="110"/>
  <c r="Z31" i="110"/>
  <c r="Z53" i="110" s="1"/>
  <c r="D35" i="135"/>
  <c r="D39" i="135"/>
  <c r="D32" i="135"/>
  <c r="D31" i="135"/>
  <c r="D36" i="135"/>
  <c r="G36" i="110"/>
  <c r="N39" i="110"/>
  <c r="Z32" i="110"/>
  <c r="Z54" i="110" s="1"/>
  <c r="AA36" i="110"/>
  <c r="G36" i="135"/>
  <c r="G32" i="135"/>
  <c r="G54" i="135" s="1"/>
  <c r="G39" i="135"/>
  <c r="G31" i="135"/>
  <c r="G35" i="135"/>
  <c r="T35" i="110"/>
  <c r="AA39" i="110"/>
  <c r="AC35" i="110"/>
  <c r="R39" i="135"/>
  <c r="R35" i="135"/>
  <c r="R31" i="135"/>
  <c r="R36" i="135"/>
  <c r="R32" i="135"/>
  <c r="R54" i="135" s="1"/>
  <c r="E36" i="135"/>
  <c r="E39" i="135"/>
  <c r="E35" i="135"/>
  <c r="E31" i="135"/>
  <c r="E32" i="135"/>
  <c r="E54" i="135" s="1"/>
  <c r="T36" i="110"/>
  <c r="N36" i="110"/>
  <c r="Z35" i="110"/>
  <c r="Z37" i="110" s="1"/>
  <c r="X36" i="110"/>
  <c r="AC36" i="110"/>
  <c r="K32" i="135"/>
  <c r="K54" i="135" s="1"/>
  <c r="K36" i="135"/>
  <c r="K35" i="135"/>
  <c r="K39" i="135"/>
  <c r="K31" i="135"/>
  <c r="D32" i="110"/>
  <c r="Q32" i="110"/>
  <c r="Q54" i="110" s="1"/>
  <c r="Y39" i="110"/>
  <c r="Z39" i="110"/>
  <c r="I39" i="110"/>
  <c r="X35" i="110"/>
  <c r="AE36" i="110"/>
  <c r="AC39" i="110"/>
  <c r="S31" i="135"/>
  <c r="S39" i="135"/>
  <c r="S36" i="135"/>
  <c r="S35" i="135"/>
  <c r="S32" i="135"/>
  <c r="S54" i="135" s="1"/>
  <c r="L31" i="135"/>
  <c r="L32" i="135"/>
  <c r="L54" i="135" s="1"/>
  <c r="L35" i="135"/>
  <c r="L36" i="135"/>
  <c r="L39" i="135"/>
  <c r="Z31" i="135"/>
  <c r="Z36" i="135"/>
  <c r="Z39" i="135"/>
  <c r="Z32" i="135"/>
  <c r="Z54" i="135" s="1"/>
  <c r="Z35" i="135"/>
  <c r="Q31" i="135"/>
  <c r="Q36" i="135"/>
  <c r="Q32" i="135"/>
  <c r="Q54" i="135" s="1"/>
  <c r="Q39" i="135"/>
  <c r="Q35" i="135"/>
  <c r="AA31" i="110"/>
  <c r="AA30" i="110" s="1"/>
  <c r="AA33" i="110" s="1"/>
  <c r="F39" i="135"/>
  <c r="F32" i="135"/>
  <c r="F54" i="135" s="1"/>
  <c r="F35" i="135"/>
  <c r="F31" i="135"/>
  <c r="F36" i="135"/>
  <c r="X31" i="135"/>
  <c r="X32" i="135"/>
  <c r="X54" i="135" s="1"/>
  <c r="X35" i="135"/>
  <c r="X36" i="135"/>
  <c r="X39" i="135"/>
  <c r="X32" i="110"/>
  <c r="X54" i="110" s="1"/>
  <c r="AA31" i="135"/>
  <c r="AA32" i="135"/>
  <c r="AA54" i="135" s="1"/>
  <c r="AA36" i="135"/>
  <c r="AA39" i="135"/>
  <c r="AA35" i="135"/>
  <c r="D39" i="110"/>
  <c r="I31" i="110"/>
  <c r="H36" i="135"/>
  <c r="H31" i="135"/>
  <c r="H32" i="135"/>
  <c r="H54" i="135" s="1"/>
  <c r="H39" i="135"/>
  <c r="H35" i="135"/>
  <c r="Y32" i="135"/>
  <c r="Y54" i="135" s="1"/>
  <c r="Y39" i="135"/>
  <c r="Y35" i="135"/>
  <c r="Y31" i="135"/>
  <c r="Y36" i="135"/>
  <c r="AG28" i="110"/>
  <c r="Y36" i="110"/>
  <c r="F36" i="110"/>
  <c r="F37" i="110" s="1"/>
  <c r="AE39" i="110"/>
  <c r="U35" i="135"/>
  <c r="U39" i="135"/>
  <c r="U31" i="135"/>
  <c r="U32" i="135"/>
  <c r="U54" i="135" s="1"/>
  <c r="U36" i="135"/>
  <c r="M35" i="135"/>
  <c r="M31" i="135"/>
  <c r="M39" i="135"/>
  <c r="M36" i="135"/>
  <c r="M32" i="135"/>
  <c r="M54" i="135" s="1"/>
  <c r="P31" i="135"/>
  <c r="P39" i="135"/>
  <c r="P35" i="135"/>
  <c r="P32" i="135"/>
  <c r="P54" i="135" s="1"/>
  <c r="P36" i="135"/>
  <c r="N36" i="135"/>
  <c r="N31" i="135"/>
  <c r="N32" i="135"/>
  <c r="N54" i="135" s="1"/>
  <c r="N39" i="135"/>
  <c r="N35" i="135"/>
  <c r="V39" i="135"/>
  <c r="V36" i="135"/>
  <c r="V31" i="135"/>
  <c r="V35" i="135"/>
  <c r="V32" i="135"/>
  <c r="V54" i="135" s="1"/>
  <c r="AE35" i="135"/>
  <c r="AE39" i="135"/>
  <c r="AE32" i="135"/>
  <c r="AE54" i="135" s="1"/>
  <c r="AE31" i="135"/>
  <c r="AE36" i="135"/>
  <c r="Y35" i="110"/>
  <c r="AG28" i="135"/>
  <c r="C29" i="135"/>
  <c r="Y31" i="110"/>
  <c r="Y53" i="110" s="1"/>
  <c r="Y52" i="110" s="1"/>
  <c r="Y47" i="110" s="1"/>
  <c r="Y55" i="110" s="1"/>
  <c r="S39" i="110"/>
  <c r="F32" i="110"/>
  <c r="F54" i="110" s="1"/>
  <c r="AE35" i="110"/>
  <c r="U32" i="110"/>
  <c r="U54" i="110" s="1"/>
  <c r="T35" i="135"/>
  <c r="T32" i="135"/>
  <c r="T54" i="135" s="1"/>
  <c r="T39" i="135"/>
  <c r="T36" i="135"/>
  <c r="T31" i="135"/>
  <c r="J31" i="135"/>
  <c r="J32" i="135"/>
  <c r="J54" i="135" s="1"/>
  <c r="J39" i="135"/>
  <c r="J35" i="135"/>
  <c r="J36" i="135"/>
  <c r="W31" i="135"/>
  <c r="W36" i="135"/>
  <c r="W39" i="135"/>
  <c r="W32" i="135"/>
  <c r="W54" i="135" s="1"/>
  <c r="W35" i="135"/>
  <c r="AF35" i="135"/>
  <c r="AF32" i="135"/>
  <c r="AF54" i="135" s="1"/>
  <c r="AF39" i="135"/>
  <c r="AF36" i="135"/>
  <c r="AF31" i="135"/>
  <c r="AB39" i="135"/>
  <c r="AB35" i="135"/>
  <c r="AB32" i="135"/>
  <c r="AB54" i="135" s="1"/>
  <c r="AB36" i="135"/>
  <c r="AB31" i="135"/>
  <c r="I31" i="135"/>
  <c r="I39" i="135"/>
  <c r="I35" i="135"/>
  <c r="I36" i="135"/>
  <c r="I32" i="135"/>
  <c r="I54" i="135" s="1"/>
  <c r="AC36" i="135"/>
  <c r="AC39" i="135"/>
  <c r="AC31" i="135"/>
  <c r="AC35" i="135"/>
  <c r="AC32" i="135"/>
  <c r="AC54" i="135" s="1"/>
  <c r="C61" i="98"/>
  <c r="F5" i="85"/>
  <c r="AB53" i="110"/>
  <c r="X53" i="110"/>
  <c r="AC53" i="110"/>
  <c r="E53" i="110"/>
  <c r="E52" i="110" s="1"/>
  <c r="E47" i="110" s="1"/>
  <c r="E55" i="110" s="1"/>
  <c r="E30" i="110"/>
  <c r="E33" i="110" s="1"/>
  <c r="E37" i="110"/>
  <c r="N53" i="110"/>
  <c r="O53" i="110"/>
  <c r="AE53" i="110"/>
  <c r="AG29" i="110"/>
  <c r="C39" i="110"/>
  <c r="C36" i="110"/>
  <c r="C33" i="110"/>
  <c r="C35" i="110"/>
  <c r="M53" i="110"/>
  <c r="H53" i="110"/>
  <c r="D47" i="102"/>
  <c r="AG54" i="102"/>
  <c r="D47" i="101"/>
  <c r="AG54" i="101"/>
  <c r="C57" i="100"/>
  <c r="AG56" i="100"/>
  <c r="J37" i="104"/>
  <c r="G37" i="103"/>
  <c r="AG55" i="103"/>
  <c r="AG55" i="104"/>
  <c r="AG32" i="103"/>
  <c r="D53" i="104"/>
  <c r="J54" i="104"/>
  <c r="J53" i="104" s="1"/>
  <c r="J47" i="104" s="1"/>
  <c r="J56" i="104" s="1"/>
  <c r="J30" i="104"/>
  <c r="J33" i="104" s="1"/>
  <c r="D53" i="103"/>
  <c r="AG31" i="104"/>
  <c r="D33" i="104"/>
  <c r="AG32" i="104"/>
  <c r="G30" i="103"/>
  <c r="G33" i="103" s="1"/>
  <c r="G54" i="103"/>
  <c r="G53" i="103" s="1"/>
  <c r="G47" i="103" s="1"/>
  <c r="G56" i="103" s="1"/>
  <c r="D33" i="103"/>
  <c r="AC73" i="61"/>
  <c r="AG32" i="105" l="1"/>
  <c r="D54" i="105"/>
  <c r="AG54" i="105" s="1"/>
  <c r="D37" i="106"/>
  <c r="D37" i="105"/>
  <c r="D54" i="106"/>
  <c r="AG54" i="106" s="1"/>
  <c r="AG32" i="106"/>
  <c r="AG31" i="105"/>
  <c r="D53" i="105"/>
  <c r="D30" i="105"/>
  <c r="D53" i="106"/>
  <c r="D30" i="106"/>
  <c r="AG31" i="106"/>
  <c r="K30" i="110"/>
  <c r="K33" i="110" s="1"/>
  <c r="X37" i="110"/>
  <c r="P37" i="110"/>
  <c r="O30" i="110"/>
  <c r="O33" i="110" s="1"/>
  <c r="H52" i="110"/>
  <c r="H47" i="110" s="1"/>
  <c r="H55" i="110" s="1"/>
  <c r="O52" i="110"/>
  <c r="O47" i="110" s="1"/>
  <c r="O55" i="110" s="1"/>
  <c r="H30" i="110"/>
  <c r="H33" i="110" s="1"/>
  <c r="W30" i="110"/>
  <c r="W33" i="110" s="1"/>
  <c r="W37" i="110"/>
  <c r="N37" i="110"/>
  <c r="M37" i="110"/>
  <c r="L52" i="110"/>
  <c r="L47" i="110" s="1"/>
  <c r="L55" i="110" s="1"/>
  <c r="O37" i="110"/>
  <c r="G30" i="110"/>
  <c r="G33" i="110" s="1"/>
  <c r="K53" i="110"/>
  <c r="K52" i="110" s="1"/>
  <c r="K47" i="110" s="1"/>
  <c r="K55" i="110" s="1"/>
  <c r="AF52" i="110"/>
  <c r="AF47" i="110" s="1"/>
  <c r="AF55" i="110" s="1"/>
  <c r="W37" i="135"/>
  <c r="AB30" i="110"/>
  <c r="AB33" i="110" s="1"/>
  <c r="S53" i="110"/>
  <c r="S52" i="110" s="1"/>
  <c r="S47" i="110" s="1"/>
  <c r="S55" i="110" s="1"/>
  <c r="Q52" i="110"/>
  <c r="Q47" i="110" s="1"/>
  <c r="Q55" i="110" s="1"/>
  <c r="P30" i="110"/>
  <c r="P33" i="110" s="1"/>
  <c r="AF30" i="110"/>
  <c r="AF33" i="110" s="1"/>
  <c r="U30" i="110"/>
  <c r="U33" i="110" s="1"/>
  <c r="V37" i="110"/>
  <c r="D30" i="110"/>
  <c r="D33" i="110" s="1"/>
  <c r="D37" i="135"/>
  <c r="I30" i="110"/>
  <c r="I33" i="110" s="1"/>
  <c r="R30" i="110"/>
  <c r="R33" i="110" s="1"/>
  <c r="U52" i="110"/>
  <c r="U47" i="110" s="1"/>
  <c r="U55" i="110" s="1"/>
  <c r="S37" i="110"/>
  <c r="I53" i="110"/>
  <c r="I52" i="110" s="1"/>
  <c r="I47" i="110" s="1"/>
  <c r="I55" i="110" s="1"/>
  <c r="H37" i="110"/>
  <c r="AE37" i="110"/>
  <c r="AC37" i="110"/>
  <c r="G37" i="110"/>
  <c r="R37" i="110"/>
  <c r="F52" i="110"/>
  <c r="F47" i="110" s="1"/>
  <c r="F55" i="110" s="1"/>
  <c r="AC30" i="110"/>
  <c r="AC33" i="110" s="1"/>
  <c r="D54" i="110"/>
  <c r="AG54" i="110" s="1"/>
  <c r="J52" i="110"/>
  <c r="J47" i="110" s="1"/>
  <c r="J55" i="110" s="1"/>
  <c r="V30" i="110"/>
  <c r="V33" i="110" s="1"/>
  <c r="Y37" i="110"/>
  <c r="AA37" i="110"/>
  <c r="R53" i="110"/>
  <c r="R52" i="110" s="1"/>
  <c r="R47" i="110" s="1"/>
  <c r="R55" i="110" s="1"/>
  <c r="J30" i="110"/>
  <c r="J33" i="110" s="1"/>
  <c r="V52" i="110"/>
  <c r="V47" i="110" s="1"/>
  <c r="V55" i="110" s="1"/>
  <c r="AF37" i="135"/>
  <c r="M37" i="135"/>
  <c r="Y37" i="135"/>
  <c r="M52" i="110"/>
  <c r="M47" i="110" s="1"/>
  <c r="M55" i="110" s="1"/>
  <c r="F30" i="110"/>
  <c r="F33" i="110" s="1"/>
  <c r="AD52" i="110"/>
  <c r="AD47" i="110" s="1"/>
  <c r="AD55" i="110" s="1"/>
  <c r="M30" i="110"/>
  <c r="M33" i="110" s="1"/>
  <c r="AE52" i="110"/>
  <c r="AE47" i="110" s="1"/>
  <c r="AE55" i="110" s="1"/>
  <c r="L30" i="110"/>
  <c r="L33" i="110" s="1"/>
  <c r="AB37" i="110"/>
  <c r="AD30" i="110"/>
  <c r="AD33" i="110" s="1"/>
  <c r="AE30" i="110"/>
  <c r="AE33" i="110" s="1"/>
  <c r="Q30" i="110"/>
  <c r="Q33" i="110" s="1"/>
  <c r="Q37" i="135"/>
  <c r="Y30" i="110"/>
  <c r="Y33" i="110" s="1"/>
  <c r="G53" i="110"/>
  <c r="G52" i="110" s="1"/>
  <c r="G47" i="110" s="1"/>
  <c r="G55" i="110" s="1"/>
  <c r="AB52" i="110"/>
  <c r="AB47" i="110" s="1"/>
  <c r="AB55" i="110" s="1"/>
  <c r="T37" i="110"/>
  <c r="H37" i="135"/>
  <c r="AC52" i="110"/>
  <c r="AC47" i="110" s="1"/>
  <c r="AC55" i="110" s="1"/>
  <c r="N30" i="110"/>
  <c r="N33" i="110" s="1"/>
  <c r="N52" i="110"/>
  <c r="N47" i="110" s="1"/>
  <c r="N55" i="110" s="1"/>
  <c r="X30" i="110"/>
  <c r="X33" i="110" s="1"/>
  <c r="V37" i="135"/>
  <c r="E37" i="135"/>
  <c r="I37" i="135"/>
  <c r="Z52" i="110"/>
  <c r="Z47" i="110" s="1"/>
  <c r="Z55" i="110" s="1"/>
  <c r="Z30" i="110"/>
  <c r="Z33" i="110" s="1"/>
  <c r="AG31" i="110"/>
  <c r="O37" i="135"/>
  <c r="P37" i="135"/>
  <c r="L30" i="135"/>
  <c r="L33" i="135" s="1"/>
  <c r="L53" i="135"/>
  <c r="L52" i="135" s="1"/>
  <c r="L47" i="135" s="1"/>
  <c r="L55" i="135" s="1"/>
  <c r="AB37" i="135"/>
  <c r="H30" i="135"/>
  <c r="H33" i="135" s="1"/>
  <c r="H53" i="135"/>
  <c r="H52" i="135" s="1"/>
  <c r="H47" i="135" s="1"/>
  <c r="H55" i="135" s="1"/>
  <c r="B39" i="110"/>
  <c r="T53" i="110"/>
  <c r="T52" i="110" s="1"/>
  <c r="T47" i="110" s="1"/>
  <c r="T55" i="110" s="1"/>
  <c r="AC53" i="135"/>
  <c r="AC52" i="135" s="1"/>
  <c r="AC47" i="135" s="1"/>
  <c r="AC55" i="135" s="1"/>
  <c r="AC30" i="135"/>
  <c r="AC33" i="135" s="1"/>
  <c r="J37" i="135"/>
  <c r="V53" i="135"/>
  <c r="V52" i="135" s="1"/>
  <c r="V47" i="135" s="1"/>
  <c r="V55" i="135" s="1"/>
  <c r="V30" i="135"/>
  <c r="V33" i="135" s="1"/>
  <c r="P30" i="135"/>
  <c r="P33" i="135" s="1"/>
  <c r="P53" i="135"/>
  <c r="P52" i="135" s="1"/>
  <c r="P47" i="135" s="1"/>
  <c r="P55" i="135" s="1"/>
  <c r="Q53" i="135"/>
  <c r="Q52" i="135" s="1"/>
  <c r="Q47" i="135" s="1"/>
  <c r="Q55" i="135" s="1"/>
  <c r="Q30" i="135"/>
  <c r="Q33" i="135" s="1"/>
  <c r="AE30" i="135"/>
  <c r="AE33" i="135" s="1"/>
  <c r="AE53" i="135"/>
  <c r="AE52" i="135" s="1"/>
  <c r="AE47" i="135" s="1"/>
  <c r="AE55" i="135" s="1"/>
  <c r="R53" i="135"/>
  <c r="R52" i="135" s="1"/>
  <c r="R47" i="135" s="1"/>
  <c r="R55" i="135" s="1"/>
  <c r="R30" i="135"/>
  <c r="R33" i="135" s="1"/>
  <c r="AB53" i="135"/>
  <c r="AB52" i="135" s="1"/>
  <c r="AB47" i="135" s="1"/>
  <c r="AB55" i="135" s="1"/>
  <c r="AB30" i="135"/>
  <c r="AB33" i="135" s="1"/>
  <c r="AE37" i="135"/>
  <c r="W53" i="135"/>
  <c r="W52" i="135" s="1"/>
  <c r="W47" i="135" s="1"/>
  <c r="W55" i="135" s="1"/>
  <c r="W30" i="135"/>
  <c r="W33" i="135" s="1"/>
  <c r="U37" i="135"/>
  <c r="O53" i="135"/>
  <c r="O52" i="135" s="1"/>
  <c r="O47" i="135" s="1"/>
  <c r="O55" i="135" s="1"/>
  <c r="O30" i="135"/>
  <c r="O33" i="135" s="1"/>
  <c r="AC37" i="135"/>
  <c r="X37" i="135"/>
  <c r="T30" i="110"/>
  <c r="T33" i="110" s="1"/>
  <c r="AF53" i="135"/>
  <c r="AF52" i="135" s="1"/>
  <c r="AF47" i="135" s="1"/>
  <c r="AF55" i="135" s="1"/>
  <c r="AF30" i="135"/>
  <c r="AF33" i="135" s="1"/>
  <c r="X53" i="135"/>
  <c r="X52" i="135" s="1"/>
  <c r="X47" i="135" s="1"/>
  <c r="X55" i="135" s="1"/>
  <c r="X30" i="135"/>
  <c r="X33" i="135" s="1"/>
  <c r="Z37" i="135"/>
  <c r="S37" i="135"/>
  <c r="E30" i="135"/>
  <c r="E33" i="135" s="1"/>
  <c r="E53" i="135"/>
  <c r="E52" i="135" s="1"/>
  <c r="E47" i="135" s="1"/>
  <c r="E55" i="135" s="1"/>
  <c r="D30" i="135"/>
  <c r="D53" i="135"/>
  <c r="AG31" i="135"/>
  <c r="AD53" i="135"/>
  <c r="AD52" i="135" s="1"/>
  <c r="AD47" i="135" s="1"/>
  <c r="AD55" i="135" s="1"/>
  <c r="AD30" i="135"/>
  <c r="AD33" i="135" s="1"/>
  <c r="T37" i="135"/>
  <c r="L37" i="135"/>
  <c r="G37" i="135"/>
  <c r="K53" i="135"/>
  <c r="K52" i="135" s="1"/>
  <c r="K47" i="135" s="1"/>
  <c r="K55" i="135" s="1"/>
  <c r="K30" i="135"/>
  <c r="K33" i="135" s="1"/>
  <c r="D54" i="135"/>
  <c r="AG54" i="135" s="1"/>
  <c r="AG32" i="135"/>
  <c r="AA53" i="110"/>
  <c r="AA52" i="110" s="1"/>
  <c r="AA47" i="110" s="1"/>
  <c r="AA55" i="110" s="1"/>
  <c r="J53" i="135"/>
  <c r="J52" i="135" s="1"/>
  <c r="J47" i="135" s="1"/>
  <c r="J55" i="135" s="1"/>
  <c r="J30" i="135"/>
  <c r="J33" i="135" s="1"/>
  <c r="N37" i="135"/>
  <c r="AA37" i="135"/>
  <c r="F53" i="135"/>
  <c r="F52" i="135" s="1"/>
  <c r="F47" i="135" s="1"/>
  <c r="F55" i="135" s="1"/>
  <c r="F30" i="135"/>
  <c r="F33" i="135" s="1"/>
  <c r="G30" i="135"/>
  <c r="G33" i="135" s="1"/>
  <c r="G53" i="135"/>
  <c r="G52" i="135" s="1"/>
  <c r="G47" i="135" s="1"/>
  <c r="G55" i="135" s="1"/>
  <c r="AD37" i="135"/>
  <c r="N53" i="135"/>
  <c r="N52" i="135" s="1"/>
  <c r="N47" i="135" s="1"/>
  <c r="N55" i="135" s="1"/>
  <c r="N30" i="135"/>
  <c r="N33" i="135" s="1"/>
  <c r="I30" i="135"/>
  <c r="I33" i="135" s="1"/>
  <c r="I53" i="135"/>
  <c r="I52" i="135" s="1"/>
  <c r="I47" i="135" s="1"/>
  <c r="I55" i="135" s="1"/>
  <c r="AA30" i="135"/>
  <c r="AA33" i="135" s="1"/>
  <c r="AA53" i="135"/>
  <c r="AA52" i="135" s="1"/>
  <c r="AA47" i="135" s="1"/>
  <c r="AA55" i="135" s="1"/>
  <c r="U30" i="135"/>
  <c r="U33" i="135" s="1"/>
  <c r="U53" i="135"/>
  <c r="U52" i="135" s="1"/>
  <c r="U47" i="135" s="1"/>
  <c r="U55" i="135" s="1"/>
  <c r="R37" i="135"/>
  <c r="AG32" i="110"/>
  <c r="C36" i="135"/>
  <c r="C33" i="135"/>
  <c r="C39" i="135"/>
  <c r="B39" i="135" s="1"/>
  <c r="C35" i="135"/>
  <c r="AG29" i="135"/>
  <c r="X52" i="110"/>
  <c r="X47" i="110" s="1"/>
  <c r="X55" i="110" s="1"/>
  <c r="T53" i="135"/>
  <c r="T52" i="135" s="1"/>
  <c r="T47" i="135" s="1"/>
  <c r="T55" i="135" s="1"/>
  <c r="T30" i="135"/>
  <c r="T33" i="135" s="1"/>
  <c r="M53" i="135"/>
  <c r="M52" i="135" s="1"/>
  <c r="M47" i="135" s="1"/>
  <c r="M55" i="135" s="1"/>
  <c r="M30" i="135"/>
  <c r="M33" i="135" s="1"/>
  <c r="Y30" i="135"/>
  <c r="Y33" i="135" s="1"/>
  <c r="Y53" i="135"/>
  <c r="Y52" i="135" s="1"/>
  <c r="Y47" i="135" s="1"/>
  <c r="Y55" i="135" s="1"/>
  <c r="F37" i="135"/>
  <c r="S53" i="135"/>
  <c r="S52" i="135" s="1"/>
  <c r="S47" i="135" s="1"/>
  <c r="S55" i="135" s="1"/>
  <c r="S30" i="135"/>
  <c r="S33" i="135" s="1"/>
  <c r="K37" i="135"/>
  <c r="Z53" i="135"/>
  <c r="Z52" i="135" s="1"/>
  <c r="Z47" i="135" s="1"/>
  <c r="Z55" i="135" s="1"/>
  <c r="Z30" i="135"/>
  <c r="Z33" i="135" s="1"/>
  <c r="G5" i="85"/>
  <c r="C37" i="110"/>
  <c r="D57" i="101"/>
  <c r="AG47" i="101"/>
  <c r="D57" i="102"/>
  <c r="AG47" i="102"/>
  <c r="C61" i="100"/>
  <c r="D5" i="100"/>
  <c r="AG30" i="103"/>
  <c r="AG33" i="103"/>
  <c r="D47" i="104"/>
  <c r="AG53" i="104"/>
  <c r="AG33" i="104"/>
  <c r="AG54" i="103"/>
  <c r="D47" i="103"/>
  <c r="AG53" i="103"/>
  <c r="AG54" i="104"/>
  <c r="AG30" i="104"/>
  <c r="AD73" i="61"/>
  <c r="D33" i="105" l="1"/>
  <c r="AG33" i="105" s="1"/>
  <c r="AG30" i="105"/>
  <c r="D52" i="105"/>
  <c r="AG53" i="105"/>
  <c r="D52" i="106"/>
  <c r="AG53" i="106"/>
  <c r="AG30" i="106"/>
  <c r="D33" i="106"/>
  <c r="AG33" i="106" s="1"/>
  <c r="D52" i="110"/>
  <c r="AG52" i="110" s="1"/>
  <c r="AG53" i="110"/>
  <c r="AG33" i="110"/>
  <c r="C37" i="135"/>
  <c r="D52" i="135"/>
  <c r="AG53" i="135"/>
  <c r="AG30" i="110"/>
  <c r="AG30" i="135"/>
  <c r="D33" i="135"/>
  <c r="AG33" i="135" s="1"/>
  <c r="AG57" i="102"/>
  <c r="C58" i="102"/>
  <c r="AG57" i="101"/>
  <c r="C58" i="101"/>
  <c r="D56" i="103"/>
  <c r="AG47" i="103"/>
  <c r="D56" i="104"/>
  <c r="AG47" i="104"/>
  <c r="AE73" i="61"/>
  <c r="D47" i="105" l="1"/>
  <c r="AG52" i="105"/>
  <c r="D47" i="106"/>
  <c r="AG52" i="106"/>
  <c r="D47" i="110"/>
  <c r="D55" i="110" s="1"/>
  <c r="C56" i="110" s="1"/>
  <c r="D47" i="135"/>
  <c r="AG52" i="135"/>
  <c r="C62" i="101"/>
  <c r="G8" i="85" s="1"/>
  <c r="F8" i="85"/>
  <c r="D5" i="102"/>
  <c r="C62" i="102"/>
  <c r="C57" i="104"/>
  <c r="AG56" i="104"/>
  <c r="AG56" i="103"/>
  <c r="C57" i="103"/>
  <c r="AF73" i="61"/>
  <c r="D55" i="105" l="1"/>
  <c r="AG47" i="105"/>
  <c r="AG47" i="106"/>
  <c r="D55" i="106"/>
  <c r="AG47" i="110"/>
  <c r="D55" i="135"/>
  <c r="AG47" i="135"/>
  <c r="C61" i="103"/>
  <c r="F11" i="85"/>
  <c r="AG55" i="110"/>
  <c r="D5" i="104"/>
  <c r="C61" i="104"/>
  <c r="AG73" i="61"/>
  <c r="AG55" i="105" l="1"/>
  <c r="C56" i="105"/>
  <c r="C56" i="106"/>
  <c r="AG55" i="106"/>
  <c r="AG55" i="135"/>
  <c r="C56" i="135"/>
  <c r="C60" i="110"/>
  <c r="F18" i="85"/>
  <c r="G11" i="85"/>
  <c r="AH73" i="61"/>
  <c r="D5" i="106" l="1"/>
  <c r="C60" i="106"/>
  <c r="F13" i="85"/>
  <c r="C60" i="105"/>
  <c r="G13" i="85" s="1"/>
  <c r="C60" i="135"/>
  <c r="D5" i="135"/>
  <c r="G18" i="85"/>
  <c r="AI73" i="61"/>
  <c r="AJ73" i="61" l="1"/>
  <c r="AK73" i="61" l="1"/>
  <c r="AL73" i="61" l="1"/>
  <c r="G44" i="61" l="1"/>
  <c r="G39" i="61"/>
  <c r="AN39" i="61" s="1"/>
  <c r="G38" i="61"/>
  <c r="AN38" i="61" s="1"/>
  <c r="G36" i="61"/>
  <c r="G35" i="61"/>
  <c r="AN35" i="61" s="1"/>
  <c r="G34" i="61"/>
  <c r="AN34" i="61" s="1"/>
  <c r="G33" i="61"/>
  <c r="G71" i="61" s="1"/>
  <c r="G31" i="61"/>
  <c r="AN31" i="61" s="1"/>
  <c r="G30" i="61"/>
  <c r="AN30" i="61" s="1"/>
  <c r="G29" i="61"/>
  <c r="AN29" i="61" s="1"/>
  <c r="G25" i="61"/>
  <c r="AN25" i="61" s="1"/>
  <c r="G24" i="61"/>
  <c r="AN24" i="61" s="1"/>
  <c r="G23" i="61"/>
  <c r="AN23" i="61" s="1"/>
  <c r="G33" i="70"/>
  <c r="E33" i="70"/>
  <c r="F33" i="70" s="1"/>
  <c r="C33" i="70"/>
  <c r="G32" i="70"/>
  <c r="E32" i="70"/>
  <c r="F32" i="70" s="1"/>
  <c r="C32" i="70"/>
  <c r="G31" i="70"/>
  <c r="E31" i="70"/>
  <c r="F31" i="70" s="1"/>
  <c r="C31" i="70"/>
  <c r="G30" i="70"/>
  <c r="E30" i="70"/>
  <c r="F30" i="70" s="1"/>
  <c r="C30" i="70"/>
  <c r="G29" i="70"/>
  <c r="E29" i="70"/>
  <c r="F29" i="70" s="1"/>
  <c r="C29" i="70"/>
  <c r="G28" i="70"/>
  <c r="E28" i="70"/>
  <c r="F28" i="70" s="1"/>
  <c r="C28" i="70"/>
  <c r="G27" i="70"/>
  <c r="E27" i="70"/>
  <c r="F27" i="70" s="1"/>
  <c r="C27" i="70"/>
  <c r="G26" i="70"/>
  <c r="E26" i="70"/>
  <c r="F26" i="70" s="1"/>
  <c r="C26" i="70"/>
  <c r="G25" i="70"/>
  <c r="E25" i="70"/>
  <c r="F25" i="70" s="1"/>
  <c r="C25" i="70"/>
  <c r="G24" i="70"/>
  <c r="E24" i="70"/>
  <c r="F24" i="70" s="1"/>
  <c r="C24" i="70"/>
  <c r="G23" i="70"/>
  <c r="E23" i="70"/>
  <c r="F23" i="70" s="1"/>
  <c r="C23" i="70"/>
  <c r="G22" i="70"/>
  <c r="E22" i="70"/>
  <c r="F22" i="70" s="1"/>
  <c r="C22" i="70"/>
  <c r="G21" i="70"/>
  <c r="E21" i="70"/>
  <c r="F21" i="70" s="1"/>
  <c r="C21" i="70"/>
  <c r="G20" i="70"/>
  <c r="E20" i="70"/>
  <c r="F20" i="70" s="1"/>
  <c r="C20" i="70"/>
  <c r="G19" i="70"/>
  <c r="E19" i="70"/>
  <c r="F19" i="70" s="1"/>
  <c r="C19" i="70"/>
  <c r="G18" i="70"/>
  <c r="F18" i="70"/>
  <c r="E18" i="70"/>
  <c r="C18" i="70"/>
  <c r="G17" i="70"/>
  <c r="E17" i="70"/>
  <c r="F17" i="70" s="1"/>
  <c r="C17" i="70"/>
  <c r="G16" i="70"/>
  <c r="E16" i="70"/>
  <c r="F16" i="70" s="1"/>
  <c r="C16" i="70"/>
  <c r="G15" i="70"/>
  <c r="E15" i="70"/>
  <c r="F15" i="70" s="1"/>
  <c r="C15" i="70"/>
  <c r="G14" i="70"/>
  <c r="E14" i="70"/>
  <c r="F14" i="70" s="1"/>
  <c r="C14" i="70"/>
  <c r="G13" i="70"/>
  <c r="E13" i="70"/>
  <c r="F13" i="70" s="1"/>
  <c r="C13" i="70"/>
  <c r="G12" i="70"/>
  <c r="E12" i="70"/>
  <c r="F12" i="70" s="1"/>
  <c r="C12" i="70"/>
  <c r="G11" i="70"/>
  <c r="E11" i="70"/>
  <c r="F11" i="70" s="1"/>
  <c r="C11" i="70"/>
  <c r="G10" i="70"/>
  <c r="E10" i="70"/>
  <c r="F10" i="70" s="1"/>
  <c r="C10" i="70"/>
  <c r="G9" i="70"/>
  <c r="E9" i="70"/>
  <c r="F9" i="70" s="1"/>
  <c r="C9" i="70"/>
  <c r="G8" i="70"/>
  <c r="E8" i="70"/>
  <c r="F8" i="70" s="1"/>
  <c r="C8" i="70"/>
  <c r="G7" i="70"/>
  <c r="F7" i="70"/>
  <c r="C7" i="70"/>
  <c r="G6" i="70"/>
  <c r="F6" i="70"/>
  <c r="C6" i="70"/>
  <c r="G5" i="70"/>
  <c r="F5" i="70"/>
  <c r="C5" i="70"/>
  <c r="G4" i="70"/>
  <c r="F4" i="70"/>
  <c r="C4" i="70"/>
  <c r="Q3" i="70"/>
  <c r="H32" i="70" s="1"/>
  <c r="F36" i="70" l="1"/>
  <c r="H5" i="70"/>
  <c r="H7" i="70"/>
  <c r="D11" i="70"/>
  <c r="H11" i="70"/>
  <c r="D15" i="70"/>
  <c r="H15" i="70"/>
  <c r="D19" i="70"/>
  <c r="H19" i="70"/>
  <c r="D23" i="70"/>
  <c r="H23" i="70"/>
  <c r="D27" i="70"/>
  <c r="H27" i="70"/>
  <c r="D31" i="70"/>
  <c r="H31" i="70"/>
  <c r="H4" i="70"/>
  <c r="H6" i="70"/>
  <c r="D9" i="70"/>
  <c r="H9" i="70"/>
  <c r="D13" i="70"/>
  <c r="H13" i="70"/>
  <c r="D17" i="70"/>
  <c r="H17" i="70"/>
  <c r="J17" i="70" s="1"/>
  <c r="D21" i="70"/>
  <c r="J21" i="70" s="1"/>
  <c r="H21" i="70"/>
  <c r="D25" i="70"/>
  <c r="H25" i="70"/>
  <c r="D29" i="70"/>
  <c r="J29" i="70" s="1"/>
  <c r="H29" i="70"/>
  <c r="D33" i="70"/>
  <c r="J33" i="70" s="1"/>
  <c r="H33" i="70"/>
  <c r="AN28" i="61"/>
  <c r="D36" i="61"/>
  <c r="AN36" i="61"/>
  <c r="D44" i="61"/>
  <c r="AN44" i="61"/>
  <c r="G42" i="61"/>
  <c r="G43" i="61"/>
  <c r="AN43" i="61" s="1"/>
  <c r="L20" i="61"/>
  <c r="G20" i="61"/>
  <c r="AN33" i="61"/>
  <c r="G27" i="61"/>
  <c r="AN27" i="61" s="1"/>
  <c r="G41" i="61"/>
  <c r="AN41" i="61" s="1"/>
  <c r="J9" i="70"/>
  <c r="J13" i="70"/>
  <c r="J25" i="70"/>
  <c r="D4" i="70"/>
  <c r="D5" i="70"/>
  <c r="J5" i="70" s="1"/>
  <c r="D6" i="70"/>
  <c r="J6" i="70" s="1"/>
  <c r="D7" i="70"/>
  <c r="J7" i="70" s="1"/>
  <c r="D8" i="70"/>
  <c r="H8" i="70"/>
  <c r="D10" i="70"/>
  <c r="H10" i="70"/>
  <c r="D12" i="70"/>
  <c r="H12" i="70"/>
  <c r="D14" i="70"/>
  <c r="H14" i="70"/>
  <c r="D16" i="70"/>
  <c r="H16" i="70"/>
  <c r="D18" i="70"/>
  <c r="H18" i="70"/>
  <c r="D20" i="70"/>
  <c r="H20" i="70"/>
  <c r="D22" i="70"/>
  <c r="H22" i="70"/>
  <c r="D24" i="70"/>
  <c r="H24" i="70"/>
  <c r="D26" i="70"/>
  <c r="H26" i="70"/>
  <c r="D28" i="70"/>
  <c r="H28" i="70"/>
  <c r="D30" i="70"/>
  <c r="H30" i="70"/>
  <c r="D32" i="70"/>
  <c r="J32" i="70" s="1"/>
  <c r="J31" i="70" l="1"/>
  <c r="J27" i="70"/>
  <c r="J23" i="70"/>
  <c r="J19" i="70"/>
  <c r="J15" i="70"/>
  <c r="J11" i="70"/>
  <c r="H36" i="70"/>
  <c r="AN42" i="61"/>
  <c r="G22" i="61"/>
  <c r="G72" i="61" s="1"/>
  <c r="AN20" i="61"/>
  <c r="F20" i="61"/>
  <c r="AN71" i="61"/>
  <c r="J30" i="70"/>
  <c r="J28" i="70"/>
  <c r="J26" i="70"/>
  <c r="J24" i="70"/>
  <c r="J22" i="70"/>
  <c r="J20" i="70"/>
  <c r="J18" i="70"/>
  <c r="J16" i="70"/>
  <c r="J14" i="70"/>
  <c r="J12" i="70"/>
  <c r="J10" i="70"/>
  <c r="J8" i="70"/>
  <c r="J4" i="70"/>
  <c r="D36" i="70"/>
  <c r="F37" i="70" l="1"/>
  <c r="AN72" i="61"/>
  <c r="AN22" i="61"/>
  <c r="T5" i="47"/>
  <c r="T6" i="47"/>
  <c r="T4" i="47"/>
  <c r="M34" i="47"/>
  <c r="K34" i="47"/>
  <c r="D11" i="47"/>
  <c r="C11" i="47"/>
  <c r="B11" i="47"/>
  <c r="E10" i="47"/>
  <c r="F10" i="47" s="1"/>
  <c r="E9" i="47"/>
  <c r="F9" i="47" s="1"/>
  <c r="E8" i="47"/>
  <c r="F8" i="47" s="1"/>
  <c r="E7" i="47"/>
  <c r="F7" i="47" s="1"/>
  <c r="E6" i="47"/>
  <c r="F6" i="47" s="1"/>
  <c r="E5" i="47"/>
  <c r="F5" i="47" s="1"/>
  <c r="E4" i="47"/>
  <c r="F4" i="47" s="1"/>
  <c r="E11" i="47" l="1"/>
  <c r="F11" i="47" s="1"/>
  <c r="F14" i="47" s="1"/>
  <c r="N32" i="47" s="1"/>
  <c r="M35" i="47"/>
  <c r="M36" i="47" s="1"/>
  <c r="N33" i="47"/>
  <c r="N30" i="47"/>
  <c r="N28" i="47"/>
  <c r="N26" i="47"/>
  <c r="N24" i="47"/>
  <c r="N23" i="47"/>
  <c r="N22" i="47"/>
  <c r="N21" i="47"/>
  <c r="N20" i="47"/>
  <c r="N19" i="47"/>
  <c r="N18" i="47"/>
  <c r="N17" i="47"/>
  <c r="N16" i="47"/>
  <c r="N15" i="47"/>
  <c r="N14" i="47"/>
  <c r="N10" i="47"/>
  <c r="N8" i="47"/>
  <c r="N7" i="47"/>
  <c r="N13" i="47"/>
  <c r="N12" i="47"/>
  <c r="N11" i="47"/>
  <c r="N9" i="47"/>
  <c r="N25" i="47" l="1"/>
  <c r="N27" i="47"/>
  <c r="T27" i="47" s="1"/>
  <c r="N29" i="47"/>
  <c r="N31" i="47"/>
  <c r="O32" i="47"/>
  <c r="T32" i="47"/>
  <c r="O9" i="47"/>
  <c r="T9" i="47"/>
  <c r="O12" i="47"/>
  <c r="T12" i="47"/>
  <c r="O11" i="47"/>
  <c r="T11" i="47"/>
  <c r="O13" i="47"/>
  <c r="T13" i="47"/>
  <c r="O8" i="47"/>
  <c r="T8" i="47"/>
  <c r="O14" i="47"/>
  <c r="T14" i="47"/>
  <c r="O16" i="47"/>
  <c r="T16" i="47"/>
  <c r="O18" i="47"/>
  <c r="T18" i="47"/>
  <c r="O20" i="47"/>
  <c r="T20" i="47"/>
  <c r="O22" i="47"/>
  <c r="T22" i="47"/>
  <c r="O24" i="47"/>
  <c r="T24" i="47"/>
  <c r="O26" i="47"/>
  <c r="T26" i="47"/>
  <c r="O28" i="47"/>
  <c r="T28" i="47"/>
  <c r="O30" i="47"/>
  <c r="T30" i="47"/>
  <c r="O7" i="47"/>
  <c r="T7" i="47"/>
  <c r="O10" i="47"/>
  <c r="T10" i="47"/>
  <c r="O15" i="47"/>
  <c r="T15" i="47"/>
  <c r="O17" i="47"/>
  <c r="T17" i="47"/>
  <c r="O19" i="47"/>
  <c r="T19" i="47"/>
  <c r="O21" i="47"/>
  <c r="T21" i="47"/>
  <c r="O23" i="47"/>
  <c r="T23" i="47"/>
  <c r="O25" i="47"/>
  <c r="T25" i="47"/>
  <c r="O27" i="47"/>
  <c r="O29" i="47"/>
  <c r="T29" i="47"/>
  <c r="O31" i="47"/>
  <c r="T31" i="47"/>
  <c r="O33" i="47"/>
  <c r="T33" i="47"/>
  <c r="O34" i="47"/>
  <c r="O35" i="47" s="1"/>
  <c r="O36" i="47" s="1"/>
  <c r="C16" i="69" l="1"/>
  <c r="F7" i="69"/>
  <c r="F8" i="69" s="1"/>
  <c r="F9" i="69" s="1"/>
  <c r="F10" i="69" s="1"/>
  <c r="F11" i="69" s="1"/>
  <c r="F12" i="69" s="1"/>
  <c r="F13" i="69" s="1"/>
  <c r="F14" i="69" s="1"/>
  <c r="F15" i="69" s="1"/>
  <c r="I15" i="69" s="1"/>
  <c r="I6" i="69"/>
  <c r="I5" i="69"/>
  <c r="I4" i="69"/>
  <c r="I10" i="69" l="1"/>
  <c r="I7" i="69"/>
  <c r="I14" i="69"/>
  <c r="F16" i="69"/>
  <c r="F17" i="69" s="1"/>
  <c r="F18" i="69" s="1"/>
  <c r="F19" i="69" s="1"/>
  <c r="F20" i="69" s="1"/>
  <c r="F21" i="69" s="1"/>
  <c r="F22" i="69" s="1"/>
  <c r="F23" i="69" s="1"/>
  <c r="F24" i="69" s="1"/>
  <c r="F25" i="69" s="1"/>
  <c r="F26" i="69" s="1"/>
  <c r="F27" i="69" s="1"/>
  <c r="F28" i="69" s="1"/>
  <c r="F29" i="69" s="1"/>
  <c r="F30" i="69" s="1"/>
  <c r="F31" i="69" s="1"/>
  <c r="F32" i="69" s="1"/>
  <c r="F33" i="69" s="1"/>
  <c r="I8" i="69"/>
  <c r="I12" i="69"/>
  <c r="C17" i="69"/>
  <c r="C18" i="69" s="1"/>
  <c r="O5" i="69"/>
  <c r="D5" i="69" s="1"/>
  <c r="E5" i="69" s="1"/>
  <c r="Q33" i="69"/>
  <c r="G33" i="69" s="1"/>
  <c r="H33" i="69" s="1"/>
  <c r="O9" i="69"/>
  <c r="D9" i="69" s="1"/>
  <c r="E9" i="69" s="1"/>
  <c r="Q5" i="69"/>
  <c r="G5" i="69" s="1"/>
  <c r="H5" i="69" s="1"/>
  <c r="O13" i="69"/>
  <c r="D13" i="69" s="1"/>
  <c r="E13" i="69" s="1"/>
  <c r="Q9" i="69"/>
  <c r="Q13" i="69"/>
  <c r="G13" i="69" s="1"/>
  <c r="H13" i="69" s="1"/>
  <c r="G9" i="69"/>
  <c r="H9" i="69" s="1"/>
  <c r="Q29" i="69"/>
  <c r="G29" i="69" s="1"/>
  <c r="H29" i="69" s="1"/>
  <c r="Q32" i="69"/>
  <c r="G32" i="69" s="1"/>
  <c r="H32" i="69" s="1"/>
  <c r="Q28" i="69"/>
  <c r="G28" i="69" s="1"/>
  <c r="H28" i="69" s="1"/>
  <c r="Q20" i="69"/>
  <c r="G20" i="69" s="1"/>
  <c r="H20" i="69" s="1"/>
  <c r="Q16" i="69"/>
  <c r="G16" i="69" s="1"/>
  <c r="H16" i="69" s="1"/>
  <c r="Q14" i="69"/>
  <c r="G14" i="69" s="1"/>
  <c r="H14" i="69" s="1"/>
  <c r="Q12" i="69"/>
  <c r="G12" i="69" s="1"/>
  <c r="H12" i="69" s="1"/>
  <c r="Q10" i="69"/>
  <c r="G10" i="69" s="1"/>
  <c r="H10" i="69" s="1"/>
  <c r="Q8" i="69"/>
  <c r="G8" i="69" s="1"/>
  <c r="H8" i="69" s="1"/>
  <c r="Q6" i="69"/>
  <c r="G6" i="69" s="1"/>
  <c r="H6" i="69" s="1"/>
  <c r="Q7" i="69"/>
  <c r="G7" i="69" s="1"/>
  <c r="H7" i="69" s="1"/>
  <c r="Q11" i="69"/>
  <c r="G11" i="69" s="1"/>
  <c r="H11" i="69" s="1"/>
  <c r="Q15" i="69"/>
  <c r="G15" i="69" s="1"/>
  <c r="H15" i="69" s="1"/>
  <c r="Q19" i="69"/>
  <c r="G19" i="69" s="1"/>
  <c r="H19" i="69" s="1"/>
  <c r="Q27" i="69"/>
  <c r="G27" i="69" s="1"/>
  <c r="H27" i="69" s="1"/>
  <c r="I9" i="69"/>
  <c r="I11" i="69"/>
  <c r="I13" i="69"/>
  <c r="Q24" i="69" l="1"/>
  <c r="G24" i="69" s="1"/>
  <c r="H24" i="69" s="1"/>
  <c r="I17" i="69"/>
  <c r="Q31" i="69"/>
  <c r="G31" i="69" s="1"/>
  <c r="H31" i="69" s="1"/>
  <c r="Q23" i="69"/>
  <c r="G23" i="69" s="1"/>
  <c r="H23" i="69" s="1"/>
  <c r="Q18" i="69"/>
  <c r="G18" i="69" s="1"/>
  <c r="H18" i="69" s="1"/>
  <c r="Q22" i="69"/>
  <c r="G22" i="69" s="1"/>
  <c r="H22" i="69" s="1"/>
  <c r="Q26" i="69"/>
  <c r="G26" i="69" s="1"/>
  <c r="H26" i="69" s="1"/>
  <c r="Q30" i="69"/>
  <c r="G30" i="69" s="1"/>
  <c r="H30" i="69" s="1"/>
  <c r="Q25" i="69"/>
  <c r="G25" i="69" s="1"/>
  <c r="H25" i="69" s="1"/>
  <c r="Q21" i="69"/>
  <c r="G21" i="69" s="1"/>
  <c r="H21" i="69" s="1"/>
  <c r="I18" i="69"/>
  <c r="O17" i="69"/>
  <c r="D17" i="69" s="1"/>
  <c r="E17" i="69" s="1"/>
  <c r="Q17" i="69"/>
  <c r="G17" i="69" s="1"/>
  <c r="H17" i="69" s="1"/>
  <c r="I16" i="69"/>
  <c r="C19" i="69"/>
  <c r="I19" i="69" s="1"/>
  <c r="R9" i="69"/>
  <c r="J13" i="69"/>
  <c r="J9" i="69"/>
  <c r="R5" i="69"/>
  <c r="O15" i="69"/>
  <c r="D15" i="69" s="1"/>
  <c r="E15" i="69" s="1"/>
  <c r="J15" i="69" s="1"/>
  <c r="O7" i="69"/>
  <c r="D7" i="69" s="1"/>
  <c r="E7" i="69" s="1"/>
  <c r="J7" i="69" s="1"/>
  <c r="O6" i="69"/>
  <c r="D6" i="69" s="1"/>
  <c r="E6" i="69" s="1"/>
  <c r="J6" i="69" s="1"/>
  <c r="O10" i="69"/>
  <c r="D10" i="69" s="1"/>
  <c r="E10" i="69" s="1"/>
  <c r="J10" i="69" s="1"/>
  <c r="O14" i="69"/>
  <c r="D14" i="69" s="1"/>
  <c r="E14" i="69" s="1"/>
  <c r="J14" i="69" s="1"/>
  <c r="O18" i="69"/>
  <c r="D18" i="69" s="1"/>
  <c r="E18" i="69" s="1"/>
  <c r="J18" i="69" s="1"/>
  <c r="Q4" i="69"/>
  <c r="G4" i="69" s="1"/>
  <c r="H4" i="69" s="1"/>
  <c r="P34" i="69"/>
  <c r="O11" i="69"/>
  <c r="D11" i="69" s="1"/>
  <c r="E11" i="69" s="1"/>
  <c r="J11" i="69" s="1"/>
  <c r="N34" i="69"/>
  <c r="O4" i="69"/>
  <c r="D4" i="69" s="1"/>
  <c r="E4" i="69" s="1"/>
  <c r="O8" i="69"/>
  <c r="D8" i="69" s="1"/>
  <c r="E8" i="69" s="1"/>
  <c r="J8" i="69" s="1"/>
  <c r="O12" i="69"/>
  <c r="D12" i="69" s="1"/>
  <c r="E12" i="69" s="1"/>
  <c r="J12" i="69" s="1"/>
  <c r="O16" i="69"/>
  <c r="D16" i="69" s="1"/>
  <c r="E16" i="69" s="1"/>
  <c r="J16" i="69" s="1"/>
  <c r="J5" i="69"/>
  <c r="R13" i="69"/>
  <c r="H35" i="69" l="1"/>
  <c r="R17" i="69"/>
  <c r="C20" i="69"/>
  <c r="O19" i="69"/>
  <c r="D19" i="69" s="1"/>
  <c r="E19" i="69" s="1"/>
  <c r="J19" i="69" s="1"/>
  <c r="J17" i="69"/>
  <c r="R14" i="69"/>
  <c r="J4" i="69"/>
  <c r="R16" i="69"/>
  <c r="R10" i="69"/>
  <c r="C21" i="69"/>
  <c r="I20" i="69"/>
  <c r="O20" i="69"/>
  <c r="R12" i="69"/>
  <c r="R8" i="69"/>
  <c r="R4" i="69"/>
  <c r="R11" i="69"/>
  <c r="R19" i="69"/>
  <c r="R18" i="69"/>
  <c r="R6" i="69"/>
  <c r="R7" i="69"/>
  <c r="R15" i="69"/>
  <c r="D20" i="69" l="1"/>
  <c r="E20" i="69" s="1"/>
  <c r="R20" i="69"/>
  <c r="I21" i="69"/>
  <c r="C22" i="69"/>
  <c r="O21" i="69"/>
  <c r="C23" i="69" l="1"/>
  <c r="I22" i="69"/>
  <c r="O22" i="69"/>
  <c r="D21" i="69"/>
  <c r="E21" i="69" s="1"/>
  <c r="J21" i="69" s="1"/>
  <c r="R21" i="69"/>
  <c r="J20" i="69"/>
  <c r="D22" i="69" l="1"/>
  <c r="E22" i="69" s="1"/>
  <c r="J22" i="69" s="1"/>
  <c r="R22" i="69"/>
  <c r="I23" i="69"/>
  <c r="C24" i="69"/>
  <c r="O23" i="69"/>
  <c r="D23" i="69" l="1"/>
  <c r="E23" i="69" s="1"/>
  <c r="J23" i="69" s="1"/>
  <c r="R23" i="69"/>
  <c r="C25" i="69"/>
  <c r="I24" i="69"/>
  <c r="O24" i="69"/>
  <c r="D24" i="69" l="1"/>
  <c r="E24" i="69" s="1"/>
  <c r="R24" i="69"/>
  <c r="I25" i="69"/>
  <c r="C26" i="69"/>
  <c r="O25" i="69"/>
  <c r="C27" i="69" l="1"/>
  <c r="I26" i="69"/>
  <c r="O26" i="69"/>
  <c r="D25" i="69"/>
  <c r="E25" i="69" s="1"/>
  <c r="J25" i="69" s="1"/>
  <c r="R25" i="69"/>
  <c r="J24" i="69"/>
  <c r="D26" i="69" l="1"/>
  <c r="E26" i="69" s="1"/>
  <c r="J26" i="69" s="1"/>
  <c r="R26" i="69"/>
  <c r="I27" i="69"/>
  <c r="C28" i="69"/>
  <c r="O27" i="69"/>
  <c r="C29" i="69" l="1"/>
  <c r="I28" i="69"/>
  <c r="O28" i="69"/>
  <c r="D27" i="69"/>
  <c r="E27" i="69" s="1"/>
  <c r="J27" i="69" s="1"/>
  <c r="R27" i="69"/>
  <c r="D28" i="69" l="1"/>
  <c r="E28" i="69" s="1"/>
  <c r="J28" i="69" s="1"/>
  <c r="R28" i="69"/>
  <c r="I29" i="69"/>
  <c r="C30" i="69"/>
  <c r="O29" i="69"/>
  <c r="C31" i="69" l="1"/>
  <c r="I30" i="69"/>
  <c r="O30" i="69"/>
  <c r="D29" i="69"/>
  <c r="E29" i="69" s="1"/>
  <c r="J29" i="69" s="1"/>
  <c r="R29" i="69"/>
  <c r="D30" i="69" l="1"/>
  <c r="E30" i="69" s="1"/>
  <c r="J30" i="69" s="1"/>
  <c r="R30" i="69"/>
  <c r="I31" i="69"/>
  <c r="C32" i="69"/>
  <c r="O31" i="69"/>
  <c r="C33" i="69" l="1"/>
  <c r="I32" i="69"/>
  <c r="O32" i="69"/>
  <c r="D31" i="69"/>
  <c r="E31" i="69" s="1"/>
  <c r="J31" i="69" s="1"/>
  <c r="R31" i="69"/>
  <c r="D32" i="69" l="1"/>
  <c r="E32" i="69" s="1"/>
  <c r="J32" i="69" s="1"/>
  <c r="R32" i="69"/>
  <c r="I33" i="69"/>
  <c r="O33" i="69"/>
  <c r="D33" i="69" l="1"/>
  <c r="E33" i="69" s="1"/>
  <c r="R33" i="69"/>
  <c r="R34" i="69" s="1"/>
  <c r="J33" i="69" l="1"/>
  <c r="J34" i="69" s="1"/>
  <c r="E35" i="69"/>
  <c r="E6" i="68" l="1"/>
  <c r="H5" i="68" l="1"/>
  <c r="H24" i="68" l="1"/>
  <c r="L35" i="68"/>
  <c r="K35" i="68"/>
  <c r="J35" i="68"/>
  <c r="I35" i="68"/>
  <c r="H35" i="68"/>
  <c r="G35" i="68"/>
  <c r="G38" i="68" s="1"/>
  <c r="F35" i="68"/>
  <c r="E35" i="68"/>
  <c r="D35" i="68"/>
  <c r="C34" i="68"/>
  <c r="C33" i="68"/>
  <c r="C32" i="68"/>
  <c r="C31" i="68"/>
  <c r="C30" i="68"/>
  <c r="C29" i="68"/>
  <c r="C28" i="68"/>
  <c r="L24" i="68"/>
  <c r="K24" i="68"/>
  <c r="J24" i="68"/>
  <c r="I24" i="68"/>
  <c r="G24" i="68"/>
  <c r="F24" i="68"/>
  <c r="E24" i="68"/>
  <c r="D24" i="68"/>
  <c r="C23" i="68"/>
  <c r="C22" i="68"/>
  <c r="C21" i="68"/>
  <c r="C20" i="68"/>
  <c r="C19" i="68"/>
  <c r="C18" i="68"/>
  <c r="C17" i="68"/>
  <c r="C16" i="68"/>
  <c r="C15" i="68"/>
  <c r="C14" i="68"/>
  <c r="C13" i="68"/>
  <c r="C12" i="68"/>
  <c r="H38" i="68" l="1"/>
  <c r="I38" i="68" s="1"/>
  <c r="J38" i="68" s="1"/>
  <c r="K38" i="68" s="1"/>
  <c r="L38" i="68" s="1"/>
  <c r="I73" i="67"/>
  <c r="K83" i="67"/>
  <c r="K82" i="67"/>
  <c r="K78" i="67"/>
  <c r="K77" i="67"/>
  <c r="K76" i="67"/>
  <c r="K75" i="67"/>
  <c r="K74" i="67"/>
  <c r="C6" i="51" s="1"/>
  <c r="K73" i="67"/>
  <c r="K70" i="67"/>
  <c r="K69" i="67"/>
  <c r="K68" i="67"/>
  <c r="K67" i="67"/>
  <c r="K65" i="67"/>
  <c r="K64" i="67" s="1"/>
  <c r="K60" i="67"/>
  <c r="K59" i="67"/>
  <c r="L6" i="27" s="1"/>
  <c r="K58" i="67"/>
  <c r="K57" i="67"/>
  <c r="K56" i="67"/>
  <c r="K55" i="67"/>
  <c r="K51" i="67"/>
  <c r="K50" i="67" s="1"/>
  <c r="K49" i="67"/>
  <c r="K46" i="67"/>
  <c r="K45" i="67" s="1"/>
  <c r="K42" i="67"/>
  <c r="K41" i="67" s="1"/>
  <c r="K40" i="67"/>
  <c r="K39" i="67"/>
  <c r="K38" i="67"/>
  <c r="K37" i="67"/>
  <c r="K36" i="67"/>
  <c r="K35" i="67"/>
  <c r="K33" i="67"/>
  <c r="K32" i="67" s="1"/>
  <c r="K31" i="67"/>
  <c r="K30" i="67"/>
  <c r="K29" i="67"/>
  <c r="K28" i="67"/>
  <c r="K27" i="67"/>
  <c r="K26" i="67"/>
  <c r="K25" i="67"/>
  <c r="K24" i="67"/>
  <c r="K22" i="67"/>
  <c r="K21" i="67"/>
  <c r="K20" i="67"/>
  <c r="K19" i="67"/>
  <c r="K18" i="67"/>
  <c r="K17" i="67"/>
  <c r="K16" i="67"/>
  <c r="K15" i="67"/>
  <c r="K14" i="67"/>
  <c r="K13" i="67"/>
  <c r="K12" i="67"/>
  <c r="K11" i="67"/>
  <c r="K9" i="67"/>
  <c r="J83" i="67"/>
  <c r="J82" i="67"/>
  <c r="J78" i="67"/>
  <c r="J77" i="67"/>
  <c r="J76" i="67"/>
  <c r="J75" i="67"/>
  <c r="J74" i="67"/>
  <c r="C5" i="51" s="1"/>
  <c r="J73" i="67"/>
  <c r="J70" i="67"/>
  <c r="J69" i="67"/>
  <c r="J68" i="67"/>
  <c r="J67" i="67"/>
  <c r="J65" i="67"/>
  <c r="J64" i="67" s="1"/>
  <c r="J60" i="67"/>
  <c r="J59" i="67"/>
  <c r="L5" i="27" s="1"/>
  <c r="J58" i="67"/>
  <c r="J57" i="67"/>
  <c r="J56" i="67"/>
  <c r="J55" i="67"/>
  <c r="J54" i="67" s="1"/>
  <c r="J53" i="67" s="1"/>
  <c r="J51" i="67"/>
  <c r="J50" i="67" s="1"/>
  <c r="J49" i="67"/>
  <c r="J46" i="67"/>
  <c r="J42" i="67"/>
  <c r="J41" i="67" s="1"/>
  <c r="J40" i="67"/>
  <c r="J39" i="67"/>
  <c r="J38" i="67"/>
  <c r="J37" i="67"/>
  <c r="J36" i="67"/>
  <c r="J35" i="67"/>
  <c r="J33" i="67"/>
  <c r="J32" i="67" s="1"/>
  <c r="J31" i="67"/>
  <c r="J30" i="67"/>
  <c r="J29" i="67"/>
  <c r="J28" i="67"/>
  <c r="J27" i="67"/>
  <c r="J26" i="67"/>
  <c r="J25" i="67"/>
  <c r="J24" i="67"/>
  <c r="J22" i="67"/>
  <c r="J21" i="67"/>
  <c r="J20" i="67"/>
  <c r="J19" i="67"/>
  <c r="J18" i="67"/>
  <c r="J17" i="67"/>
  <c r="J16" i="67"/>
  <c r="J15" i="67"/>
  <c r="J14" i="67"/>
  <c r="J13" i="67"/>
  <c r="J12" i="67"/>
  <c r="J11" i="67"/>
  <c r="J9" i="67"/>
  <c r="I9" i="67"/>
  <c r="I46" i="67"/>
  <c r="I49" i="67"/>
  <c r="I60" i="67"/>
  <c r="I59" i="67"/>
  <c r="I70" i="67"/>
  <c r="I83" i="67"/>
  <c r="I82" i="67"/>
  <c r="I78" i="67"/>
  <c r="I77" i="67"/>
  <c r="I76" i="67"/>
  <c r="I75" i="67"/>
  <c r="I74" i="67"/>
  <c r="C4" i="51" s="1"/>
  <c r="I69" i="67"/>
  <c r="I68" i="67"/>
  <c r="I67" i="67"/>
  <c r="I65" i="67"/>
  <c r="I64" i="67" s="1"/>
  <c r="I58" i="67"/>
  <c r="I57" i="67"/>
  <c r="I56" i="67"/>
  <c r="I55" i="67"/>
  <c r="I51" i="67"/>
  <c r="I50" i="67" s="1"/>
  <c r="I42" i="67"/>
  <c r="I41" i="67" s="1"/>
  <c r="I40" i="67"/>
  <c r="I39" i="67"/>
  <c r="I38" i="67"/>
  <c r="I37" i="67"/>
  <c r="I36" i="67"/>
  <c r="I35" i="67"/>
  <c r="I33" i="67"/>
  <c r="I32" i="67" s="1"/>
  <c r="I31" i="67"/>
  <c r="I30" i="67"/>
  <c r="I29" i="67"/>
  <c r="I28" i="67"/>
  <c r="I27" i="67"/>
  <c r="I26" i="67"/>
  <c r="I25" i="67"/>
  <c r="I24" i="67"/>
  <c r="I23" i="67" s="1"/>
  <c r="I22" i="67"/>
  <c r="I21" i="67"/>
  <c r="I20" i="67"/>
  <c r="I19" i="67"/>
  <c r="I18" i="67"/>
  <c r="I17" i="67"/>
  <c r="I16" i="67"/>
  <c r="I15" i="67"/>
  <c r="I14" i="67"/>
  <c r="I13" i="67"/>
  <c r="I12" i="67"/>
  <c r="I11" i="67"/>
  <c r="R85" i="67"/>
  <c r="R83" i="67"/>
  <c r="R82" i="67"/>
  <c r="V81" i="67"/>
  <c r="V80" i="67" s="1"/>
  <c r="U81" i="67"/>
  <c r="U80" i="67" s="1"/>
  <c r="T81" i="67"/>
  <c r="T80" i="67" s="1"/>
  <c r="R78" i="67"/>
  <c r="R77" i="67"/>
  <c r="R76" i="67"/>
  <c r="R75" i="67"/>
  <c r="R74" i="67"/>
  <c r="R73" i="67"/>
  <c r="V72" i="67"/>
  <c r="U72" i="67"/>
  <c r="T72" i="67"/>
  <c r="R70" i="67"/>
  <c r="V66" i="67"/>
  <c r="U66" i="67"/>
  <c r="T66" i="67"/>
  <c r="R66" i="67"/>
  <c r="V64" i="67"/>
  <c r="U64" i="67"/>
  <c r="T64" i="67"/>
  <c r="T63" i="67" s="1"/>
  <c r="T62" i="67" s="1"/>
  <c r="R64" i="67"/>
  <c r="R63" i="67" s="1"/>
  <c r="V63" i="67"/>
  <c r="U63" i="67"/>
  <c r="U62" i="67" s="1"/>
  <c r="R60" i="67"/>
  <c r="R59" i="67"/>
  <c r="V54" i="67"/>
  <c r="U54" i="67"/>
  <c r="U53" i="67" s="1"/>
  <c r="T54" i="67"/>
  <c r="T53" i="67" s="1"/>
  <c r="R54" i="67"/>
  <c r="V53" i="67"/>
  <c r="V50" i="67"/>
  <c r="V48" i="67" s="1"/>
  <c r="U50" i="67"/>
  <c r="U48" i="67" s="1"/>
  <c r="T50" i="67"/>
  <c r="T48" i="67" s="1"/>
  <c r="R50" i="67"/>
  <c r="R49" i="67"/>
  <c r="V45" i="67"/>
  <c r="U45" i="67"/>
  <c r="T45" i="67"/>
  <c r="R45" i="67"/>
  <c r="R43" i="67"/>
  <c r="V41" i="67"/>
  <c r="U41" i="67"/>
  <c r="T41" i="67"/>
  <c r="R41" i="67"/>
  <c r="V34" i="67"/>
  <c r="U34" i="67"/>
  <c r="T34" i="67"/>
  <c r="R34" i="67"/>
  <c r="V32" i="67"/>
  <c r="U32" i="67"/>
  <c r="T32" i="67"/>
  <c r="R32" i="67"/>
  <c r="V23" i="67"/>
  <c r="U23" i="67"/>
  <c r="T23" i="67"/>
  <c r="R23" i="67"/>
  <c r="V10" i="67"/>
  <c r="U10" i="67"/>
  <c r="T10" i="67"/>
  <c r="R10" i="67"/>
  <c r="R9" i="67"/>
  <c r="G83" i="67"/>
  <c r="G82" i="67"/>
  <c r="G78" i="67"/>
  <c r="G77" i="67"/>
  <c r="G76" i="67"/>
  <c r="G75" i="67"/>
  <c r="G74" i="67"/>
  <c r="G73" i="67"/>
  <c r="G70" i="67"/>
  <c r="G66" i="67"/>
  <c r="G64" i="67"/>
  <c r="G60" i="67"/>
  <c r="G59" i="67"/>
  <c r="G54" i="67"/>
  <c r="G50" i="67"/>
  <c r="G49" i="67"/>
  <c r="I45" i="67"/>
  <c r="G45" i="67"/>
  <c r="G43" i="67"/>
  <c r="G41" i="67"/>
  <c r="G34" i="67"/>
  <c r="G32" i="67"/>
  <c r="G23" i="67"/>
  <c r="G10" i="67"/>
  <c r="G9" i="67"/>
  <c r="I10" i="67" l="1"/>
  <c r="K10" i="67"/>
  <c r="T8" i="67"/>
  <c r="U8" i="67"/>
  <c r="V8" i="67"/>
  <c r="J81" i="67"/>
  <c r="J80" i="67" s="1"/>
  <c r="J10" i="67"/>
  <c r="K34" i="67"/>
  <c r="K54" i="67"/>
  <c r="K53" i="67" s="1"/>
  <c r="T7" i="67"/>
  <c r="T85" i="67" s="1"/>
  <c r="J6" i="51"/>
  <c r="G63" i="67"/>
  <c r="R53" i="67"/>
  <c r="I54" i="67"/>
  <c r="I53" i="67" s="1"/>
  <c r="I66" i="67"/>
  <c r="I63" i="67" s="1"/>
  <c r="J34" i="67"/>
  <c r="K81" i="67"/>
  <c r="K80" i="67" s="1"/>
  <c r="E6" i="27"/>
  <c r="K6" i="27"/>
  <c r="V7" i="67"/>
  <c r="K4" i="27"/>
  <c r="C4" i="27"/>
  <c r="E5" i="27"/>
  <c r="K5" i="27"/>
  <c r="G53" i="67"/>
  <c r="R72" i="67"/>
  <c r="R62" i="67" s="1"/>
  <c r="I34" i="67"/>
  <c r="L4" i="27"/>
  <c r="J4" i="51"/>
  <c r="I48" i="67"/>
  <c r="I81" i="67"/>
  <c r="I80" i="67" s="1"/>
  <c r="R8" i="67"/>
  <c r="U7" i="67"/>
  <c r="U85" i="67" s="1"/>
  <c r="U84" i="67" s="1"/>
  <c r="R48" i="67"/>
  <c r="V62" i="67"/>
  <c r="R81" i="67"/>
  <c r="R80" i="67" s="1"/>
  <c r="J23" i="67"/>
  <c r="J45" i="67"/>
  <c r="J48" i="67"/>
  <c r="J66" i="67"/>
  <c r="J72" i="67"/>
  <c r="K23" i="67"/>
  <c r="K48" i="67"/>
  <c r="K66" i="67"/>
  <c r="K72" i="67"/>
  <c r="J5" i="51"/>
  <c r="I8" i="67"/>
  <c r="G8" i="67"/>
  <c r="G48" i="67"/>
  <c r="G81" i="67"/>
  <c r="G80" i="67" s="1"/>
  <c r="G72" i="67"/>
  <c r="G62" i="67" l="1"/>
  <c r="V85" i="67"/>
  <c r="V84" i="67" s="1"/>
  <c r="J8" i="67"/>
  <c r="J4" i="27"/>
  <c r="K63" i="67"/>
  <c r="K62" i="67" s="1"/>
  <c r="C6" i="27"/>
  <c r="J6" i="27"/>
  <c r="J63" i="67"/>
  <c r="J62" i="67" s="1"/>
  <c r="C5" i="27"/>
  <c r="D5" i="27" s="1"/>
  <c r="J5" i="27"/>
  <c r="R7" i="67"/>
  <c r="J7" i="67"/>
  <c r="J85" i="67" s="1"/>
  <c r="I7" i="67"/>
  <c r="K8" i="67"/>
  <c r="K7" i="67" s="1"/>
  <c r="G7" i="67"/>
  <c r="G85" i="67"/>
  <c r="K85" i="67" l="1"/>
  <c r="V86" i="67"/>
  <c r="C342" i="65"/>
  <c r="C343" i="65" s="1"/>
  <c r="C344" i="65" s="1"/>
  <c r="C345" i="65" s="1"/>
  <c r="C346" i="65" s="1"/>
  <c r="C347" i="65" s="1"/>
  <c r="C348" i="65" s="1"/>
  <c r="C349" i="65" s="1"/>
  <c r="C350" i="65" s="1"/>
  <c r="C351" i="65" s="1"/>
  <c r="C352" i="65" s="1"/>
  <c r="C353" i="65" s="1"/>
  <c r="C354" i="65" s="1"/>
  <c r="C355" i="65" s="1"/>
  <c r="C356" i="65" s="1"/>
  <c r="C357" i="65" s="1"/>
  <c r="C358" i="65" s="1"/>
  <c r="C359" i="65" s="1"/>
  <c r="C360" i="65" s="1"/>
  <c r="C361" i="65" s="1"/>
  <c r="C362" i="65" s="1"/>
  <c r="C363" i="65" s="1"/>
  <c r="C364" i="65" s="1"/>
  <c r="C365" i="65" s="1"/>
  <c r="C366" i="65" s="1"/>
  <c r="C367" i="65" s="1"/>
  <c r="C368" i="65" s="1"/>
  <c r="C369" i="65" s="1"/>
  <c r="C370" i="65" s="1"/>
  <c r="C371" i="65" s="1"/>
  <c r="E340" i="65"/>
  <c r="F340" i="65" s="1"/>
  <c r="G340" i="65" s="1"/>
  <c r="H340" i="65" s="1"/>
  <c r="I340" i="65" s="1"/>
  <c r="J340" i="65" s="1"/>
  <c r="K340" i="65" s="1"/>
  <c r="L340" i="65" s="1"/>
  <c r="M340" i="65" s="1"/>
  <c r="N340" i="65" s="1"/>
  <c r="O340" i="65" s="1"/>
  <c r="P340" i="65" s="1"/>
  <c r="Q340" i="65" s="1"/>
  <c r="R340" i="65" s="1"/>
  <c r="S340" i="65" s="1"/>
  <c r="T340" i="65" s="1"/>
  <c r="U340" i="65" s="1"/>
  <c r="V340" i="65" s="1"/>
  <c r="W340" i="65" s="1"/>
  <c r="X340" i="65" s="1"/>
  <c r="Y340" i="65" s="1"/>
  <c r="Z340" i="65" s="1"/>
  <c r="AA340" i="65" s="1"/>
  <c r="AB340" i="65" s="1"/>
  <c r="AC340" i="65" s="1"/>
  <c r="AD340" i="65" s="1"/>
  <c r="AE340" i="65" s="1"/>
  <c r="AF340" i="65" s="1"/>
  <c r="AG340" i="65" s="1"/>
  <c r="AH307" i="65"/>
  <c r="C307" i="65"/>
  <c r="C308" i="65" s="1"/>
  <c r="C309" i="65" s="1"/>
  <c r="C310" i="65" s="1"/>
  <c r="C311" i="65" s="1"/>
  <c r="C312" i="65" s="1"/>
  <c r="C313" i="65" s="1"/>
  <c r="C314" i="65" s="1"/>
  <c r="C315" i="65" s="1"/>
  <c r="C316" i="65" s="1"/>
  <c r="C317" i="65" s="1"/>
  <c r="C318" i="65" s="1"/>
  <c r="C319" i="65" s="1"/>
  <c r="C320" i="65" s="1"/>
  <c r="C321" i="65" s="1"/>
  <c r="C322" i="65" s="1"/>
  <c r="C323" i="65" s="1"/>
  <c r="C324" i="65" s="1"/>
  <c r="C325" i="65" s="1"/>
  <c r="C326" i="65" s="1"/>
  <c r="C327" i="65" s="1"/>
  <c r="C328" i="65" s="1"/>
  <c r="C329" i="65" s="1"/>
  <c r="C330" i="65" s="1"/>
  <c r="C331" i="65" s="1"/>
  <c r="C332" i="65" s="1"/>
  <c r="C333" i="65" s="1"/>
  <c r="C334" i="65" s="1"/>
  <c r="C335" i="65" s="1"/>
  <c r="C336" i="65" s="1"/>
  <c r="AH306" i="65"/>
  <c r="E305" i="65"/>
  <c r="F305" i="65" s="1"/>
  <c r="G305" i="65" s="1"/>
  <c r="H305" i="65" s="1"/>
  <c r="I305" i="65" s="1"/>
  <c r="J305" i="65" s="1"/>
  <c r="K305" i="65" s="1"/>
  <c r="L305" i="65" s="1"/>
  <c r="M305" i="65" s="1"/>
  <c r="N305" i="65" s="1"/>
  <c r="O305" i="65" s="1"/>
  <c r="P305" i="65" s="1"/>
  <c r="Q305" i="65" s="1"/>
  <c r="R305" i="65" s="1"/>
  <c r="S305" i="65" s="1"/>
  <c r="T305" i="65" s="1"/>
  <c r="U305" i="65" s="1"/>
  <c r="V305" i="65" s="1"/>
  <c r="W305" i="65" s="1"/>
  <c r="X305" i="65" s="1"/>
  <c r="Y305" i="65" s="1"/>
  <c r="Z305" i="65" s="1"/>
  <c r="AA305" i="65" s="1"/>
  <c r="AB305" i="65" s="1"/>
  <c r="AC305" i="65" s="1"/>
  <c r="AD305" i="65" s="1"/>
  <c r="AE305" i="65" s="1"/>
  <c r="AF305" i="65" s="1"/>
  <c r="AG305" i="65" s="1"/>
  <c r="AG336" i="65"/>
  <c r="AG337" i="65" s="1"/>
  <c r="AF336" i="65"/>
  <c r="AF337" i="65" s="1"/>
  <c r="AE335" i="65"/>
  <c r="AE337" i="65" s="1"/>
  <c r="AD334" i="65"/>
  <c r="AD335" i="65" s="1"/>
  <c r="AD336" i="65" s="1"/>
  <c r="AH336" i="65" s="1"/>
  <c r="AC333" i="65"/>
  <c r="AC337" i="65" s="1"/>
  <c r="AB332" i="65"/>
  <c r="AB333" i="65" s="1"/>
  <c r="AB334" i="65" s="1"/>
  <c r="AH334" i="65" s="1"/>
  <c r="AA331" i="65"/>
  <c r="AA337" i="65" s="1"/>
  <c r="Z330" i="65"/>
  <c r="Z331" i="65" s="1"/>
  <c r="Z332" i="65" s="1"/>
  <c r="AH332" i="65" s="1"/>
  <c r="Y329" i="65"/>
  <c r="X328" i="65"/>
  <c r="X329" i="65" s="1"/>
  <c r="X330" i="65" s="1"/>
  <c r="AH330" i="65" s="1"/>
  <c r="W327" i="65"/>
  <c r="W337" i="65" s="1"/>
  <c r="V326" i="65"/>
  <c r="V327" i="65" s="1"/>
  <c r="V328" i="65" s="1"/>
  <c r="AH328" i="65" s="1"/>
  <c r="U325" i="65"/>
  <c r="U337" i="65" s="1"/>
  <c r="T324" i="65"/>
  <c r="T325" i="65" s="1"/>
  <c r="T326" i="65" s="1"/>
  <c r="AH326" i="65" s="1"/>
  <c r="S323" i="65"/>
  <c r="S337" i="65" s="1"/>
  <c r="R322" i="65"/>
  <c r="R323" i="65" s="1"/>
  <c r="R324" i="65" s="1"/>
  <c r="AH324" i="65" s="1"/>
  <c r="Q321" i="65"/>
  <c r="P320" i="65"/>
  <c r="P321" i="65" s="1"/>
  <c r="P322" i="65" s="1"/>
  <c r="AH322" i="65" s="1"/>
  <c r="O319" i="65"/>
  <c r="O337" i="65" s="1"/>
  <c r="N318" i="65"/>
  <c r="N319" i="65" s="1"/>
  <c r="N320" i="65" s="1"/>
  <c r="AH320" i="65" s="1"/>
  <c r="M317" i="65"/>
  <c r="M337" i="65" s="1"/>
  <c r="L316" i="65"/>
  <c r="L317" i="65" s="1"/>
  <c r="L318" i="65" s="1"/>
  <c r="AH318" i="65" s="1"/>
  <c r="K315" i="65"/>
  <c r="K337" i="65" s="1"/>
  <c r="J314" i="65"/>
  <c r="J315" i="65" s="1"/>
  <c r="J316" i="65" s="1"/>
  <c r="AH316" i="65" s="1"/>
  <c r="I313" i="65"/>
  <c r="H312" i="65"/>
  <c r="H313" i="65" s="1"/>
  <c r="H314" i="65" s="1"/>
  <c r="AH314" i="65" s="1"/>
  <c r="G311" i="65"/>
  <c r="G337" i="65" s="1"/>
  <c r="F310" i="65"/>
  <c r="F311" i="65" s="1"/>
  <c r="F312" i="65" s="1"/>
  <c r="AH312" i="65" s="1"/>
  <c r="E309" i="65"/>
  <c r="D308" i="65"/>
  <c r="AH269" i="65"/>
  <c r="C269" i="65"/>
  <c r="C270" i="65" s="1"/>
  <c r="C271" i="65" s="1"/>
  <c r="C272" i="65" s="1"/>
  <c r="C273" i="65" s="1"/>
  <c r="C274" i="65" s="1"/>
  <c r="C275" i="65" s="1"/>
  <c r="C276" i="65" s="1"/>
  <c r="C277" i="65" s="1"/>
  <c r="C278" i="65" s="1"/>
  <c r="C279" i="65" s="1"/>
  <c r="C280" i="65" s="1"/>
  <c r="C281" i="65" s="1"/>
  <c r="C282" i="65" s="1"/>
  <c r="C283" i="65" s="1"/>
  <c r="C284" i="65" s="1"/>
  <c r="C285" i="65" s="1"/>
  <c r="C286" i="65" s="1"/>
  <c r="C287" i="65" s="1"/>
  <c r="C288" i="65" s="1"/>
  <c r="C289" i="65" s="1"/>
  <c r="C290" i="65" s="1"/>
  <c r="C291" i="65" s="1"/>
  <c r="C292" i="65" s="1"/>
  <c r="C293" i="65" s="1"/>
  <c r="C294" i="65" s="1"/>
  <c r="C295" i="65" s="1"/>
  <c r="C296" i="65" s="1"/>
  <c r="C297" i="65" s="1"/>
  <c r="C298" i="65" s="1"/>
  <c r="AH268" i="65"/>
  <c r="E267" i="65"/>
  <c r="F267" i="65" s="1"/>
  <c r="G267" i="65" s="1"/>
  <c r="H267" i="65" s="1"/>
  <c r="I267" i="65" s="1"/>
  <c r="J267" i="65" s="1"/>
  <c r="K267" i="65" s="1"/>
  <c r="L267" i="65" s="1"/>
  <c r="M267" i="65" s="1"/>
  <c r="N267" i="65" s="1"/>
  <c r="O267" i="65" s="1"/>
  <c r="P267" i="65" s="1"/>
  <c r="Q267" i="65" s="1"/>
  <c r="R267" i="65" s="1"/>
  <c r="S267" i="65" s="1"/>
  <c r="T267" i="65" s="1"/>
  <c r="U267" i="65" s="1"/>
  <c r="V267" i="65" s="1"/>
  <c r="W267" i="65" s="1"/>
  <c r="X267" i="65" s="1"/>
  <c r="Y267" i="65" s="1"/>
  <c r="Z267" i="65" s="1"/>
  <c r="AA267" i="65" s="1"/>
  <c r="AB267" i="65" s="1"/>
  <c r="AC267" i="65" s="1"/>
  <c r="AD267" i="65" s="1"/>
  <c r="AE267" i="65" s="1"/>
  <c r="AF267" i="65" s="1"/>
  <c r="AG267" i="65" s="1"/>
  <c r="AG298" i="65"/>
  <c r="AG299" i="65" s="1"/>
  <c r="AF298" i="65"/>
  <c r="AF299" i="65" s="1"/>
  <c r="AE297" i="65"/>
  <c r="AE298" i="65" s="1"/>
  <c r="AD296" i="65"/>
  <c r="AD299" i="65" s="1"/>
  <c r="AC295" i="65"/>
  <c r="AB294" i="65"/>
  <c r="AB299" i="65" s="1"/>
  <c r="AA293" i="65"/>
  <c r="AA294" i="65" s="1"/>
  <c r="AA295" i="65" s="1"/>
  <c r="AA296" i="65" s="1"/>
  <c r="AA297" i="65" s="1"/>
  <c r="AH297" i="65" s="1"/>
  <c r="Z292" i="65"/>
  <c r="Z299" i="65" s="1"/>
  <c r="Y291" i="65"/>
  <c r="X290" i="65"/>
  <c r="X299" i="65" s="1"/>
  <c r="W289" i="65"/>
  <c r="W290" i="65" s="1"/>
  <c r="W291" i="65" s="1"/>
  <c r="W292" i="65" s="1"/>
  <c r="W293" i="65" s="1"/>
  <c r="AH293" i="65" s="1"/>
  <c r="V288" i="65"/>
  <c r="V299" i="65" s="1"/>
  <c r="U287" i="65"/>
  <c r="T286" i="65"/>
  <c r="T299" i="65" s="1"/>
  <c r="S285" i="65"/>
  <c r="S286" i="65" s="1"/>
  <c r="S287" i="65" s="1"/>
  <c r="S288" i="65" s="1"/>
  <c r="S289" i="65" s="1"/>
  <c r="AH289" i="65" s="1"/>
  <c r="R284" i="65"/>
  <c r="R299" i="65" s="1"/>
  <c r="Q283" i="65"/>
  <c r="P282" i="65"/>
  <c r="P299" i="65" s="1"/>
  <c r="O281" i="65"/>
  <c r="O282" i="65" s="1"/>
  <c r="O283" i="65" s="1"/>
  <c r="O284" i="65" s="1"/>
  <c r="O285" i="65" s="1"/>
  <c r="AH285" i="65" s="1"/>
  <c r="N280" i="65"/>
  <c r="N299" i="65" s="1"/>
  <c r="M279" i="65"/>
  <c r="L278" i="65"/>
  <c r="L299" i="65" s="1"/>
  <c r="K277" i="65"/>
  <c r="K278" i="65" s="1"/>
  <c r="K279" i="65" s="1"/>
  <c r="K280" i="65" s="1"/>
  <c r="K281" i="65" s="1"/>
  <c r="AH281" i="65" s="1"/>
  <c r="J276" i="65"/>
  <c r="J299" i="65" s="1"/>
  <c r="I275" i="65"/>
  <c r="H274" i="65"/>
  <c r="G273" i="65"/>
  <c r="G274" i="65" s="1"/>
  <c r="G275" i="65" s="1"/>
  <c r="G276" i="65" s="1"/>
  <c r="G277" i="65" s="1"/>
  <c r="AH277" i="65" s="1"/>
  <c r="F272" i="65"/>
  <c r="F299" i="65" s="1"/>
  <c r="E271" i="65"/>
  <c r="E299" i="65" s="1"/>
  <c r="D270" i="65"/>
  <c r="AH231" i="65"/>
  <c r="C231" i="65"/>
  <c r="C232" i="65" s="1"/>
  <c r="C233" i="65" s="1"/>
  <c r="C234" i="65" s="1"/>
  <c r="C235" i="65" s="1"/>
  <c r="C236" i="65" s="1"/>
  <c r="C237" i="65" s="1"/>
  <c r="C238" i="65" s="1"/>
  <c r="C239" i="65" s="1"/>
  <c r="C240" i="65" s="1"/>
  <c r="C241" i="65" s="1"/>
  <c r="C242" i="65" s="1"/>
  <c r="C243" i="65" s="1"/>
  <c r="C244" i="65" s="1"/>
  <c r="C245" i="65" s="1"/>
  <c r="C246" i="65" s="1"/>
  <c r="C247" i="65" s="1"/>
  <c r="C248" i="65" s="1"/>
  <c r="C249" i="65" s="1"/>
  <c r="C250" i="65" s="1"/>
  <c r="C251" i="65" s="1"/>
  <c r="C252" i="65" s="1"/>
  <c r="C253" i="65" s="1"/>
  <c r="C254" i="65" s="1"/>
  <c r="C255" i="65" s="1"/>
  <c r="C256" i="65" s="1"/>
  <c r="C257" i="65" s="1"/>
  <c r="C258" i="65" s="1"/>
  <c r="C259" i="65" s="1"/>
  <c r="C260" i="65" s="1"/>
  <c r="AH230" i="65"/>
  <c r="E229" i="65"/>
  <c r="F229" i="65" s="1"/>
  <c r="G229" i="65" s="1"/>
  <c r="H229" i="65" s="1"/>
  <c r="I229" i="65" s="1"/>
  <c r="J229" i="65" s="1"/>
  <c r="K229" i="65" s="1"/>
  <c r="L229" i="65" s="1"/>
  <c r="M229" i="65" s="1"/>
  <c r="N229" i="65" s="1"/>
  <c r="O229" i="65" s="1"/>
  <c r="P229" i="65" s="1"/>
  <c r="Q229" i="65" s="1"/>
  <c r="R229" i="65" s="1"/>
  <c r="S229" i="65" s="1"/>
  <c r="T229" i="65" s="1"/>
  <c r="U229" i="65" s="1"/>
  <c r="V229" i="65" s="1"/>
  <c r="W229" i="65" s="1"/>
  <c r="X229" i="65" s="1"/>
  <c r="Y229" i="65" s="1"/>
  <c r="Z229" i="65" s="1"/>
  <c r="AA229" i="65" s="1"/>
  <c r="AB229" i="65" s="1"/>
  <c r="AC229" i="65" s="1"/>
  <c r="AD229" i="65" s="1"/>
  <c r="AE229" i="65" s="1"/>
  <c r="AF229" i="65" s="1"/>
  <c r="AG229" i="65" s="1"/>
  <c r="AG260" i="65"/>
  <c r="AG261" i="65" s="1"/>
  <c r="AF260" i="65"/>
  <c r="AF261" i="65" s="1"/>
  <c r="AE259" i="65"/>
  <c r="AD258" i="65"/>
  <c r="AD259" i="65" s="1"/>
  <c r="AD260" i="65" s="1"/>
  <c r="AC257" i="65"/>
  <c r="AB256" i="65"/>
  <c r="AB257" i="65" s="1"/>
  <c r="AB258" i="65" s="1"/>
  <c r="AB259" i="65" s="1"/>
  <c r="AB260" i="65" s="1"/>
  <c r="AA255" i="65"/>
  <c r="Z254" i="65"/>
  <c r="Z255" i="65" s="1"/>
  <c r="Z256" i="65" s="1"/>
  <c r="Z257" i="65" s="1"/>
  <c r="Z258" i="65" s="1"/>
  <c r="Z259" i="65" s="1"/>
  <c r="Z260" i="65" s="1"/>
  <c r="AH260" i="65" s="1"/>
  <c r="Y253" i="65"/>
  <c r="X252" i="65"/>
  <c r="X253" i="65" s="1"/>
  <c r="X254" i="65" s="1"/>
  <c r="X255" i="65" s="1"/>
  <c r="X256" i="65" s="1"/>
  <c r="X257" i="65" s="1"/>
  <c r="X258" i="65" s="1"/>
  <c r="AH258" i="65" s="1"/>
  <c r="W251" i="65"/>
  <c r="V250" i="65"/>
  <c r="V251" i="65" s="1"/>
  <c r="V252" i="65" s="1"/>
  <c r="V253" i="65" s="1"/>
  <c r="V254" i="65" s="1"/>
  <c r="V255" i="65" s="1"/>
  <c r="V256" i="65" s="1"/>
  <c r="AH256" i="65" s="1"/>
  <c r="U249" i="65"/>
  <c r="T248" i="65"/>
  <c r="T249" i="65" s="1"/>
  <c r="T250" i="65" s="1"/>
  <c r="T251" i="65" s="1"/>
  <c r="T252" i="65" s="1"/>
  <c r="T253" i="65" s="1"/>
  <c r="T254" i="65" s="1"/>
  <c r="AH254" i="65" s="1"/>
  <c r="S247" i="65"/>
  <c r="R246" i="65"/>
  <c r="R247" i="65" s="1"/>
  <c r="R248" i="65" s="1"/>
  <c r="R249" i="65" s="1"/>
  <c r="R250" i="65" s="1"/>
  <c r="R251" i="65" s="1"/>
  <c r="R252" i="65" s="1"/>
  <c r="AH252" i="65" s="1"/>
  <c r="Q245" i="65"/>
  <c r="P244" i="65"/>
  <c r="P245" i="65" s="1"/>
  <c r="P246" i="65" s="1"/>
  <c r="P247" i="65" s="1"/>
  <c r="P248" i="65" s="1"/>
  <c r="P249" i="65" s="1"/>
  <c r="P250" i="65" s="1"/>
  <c r="AH250" i="65" s="1"/>
  <c r="O243" i="65"/>
  <c r="N242" i="65"/>
  <c r="N243" i="65" s="1"/>
  <c r="N244" i="65" s="1"/>
  <c r="N245" i="65" s="1"/>
  <c r="N246" i="65" s="1"/>
  <c r="N247" i="65" s="1"/>
  <c r="N248" i="65" s="1"/>
  <c r="AH248" i="65" s="1"/>
  <c r="M241" i="65"/>
  <c r="L240" i="65"/>
  <c r="L241" i="65" s="1"/>
  <c r="L242" i="65" s="1"/>
  <c r="L243" i="65" s="1"/>
  <c r="L244" i="65" s="1"/>
  <c r="L245" i="65" s="1"/>
  <c r="L246" i="65" s="1"/>
  <c r="AH246" i="65" s="1"/>
  <c r="K239" i="65"/>
  <c r="J238" i="65"/>
  <c r="J261" i="65" s="1"/>
  <c r="I237" i="65"/>
  <c r="H236" i="65"/>
  <c r="H261" i="65" s="1"/>
  <c r="G235" i="65"/>
  <c r="F234" i="65"/>
  <c r="E233" i="65"/>
  <c r="D232" i="65"/>
  <c r="D261" i="65" s="1"/>
  <c r="AH195" i="65"/>
  <c r="C195" i="65"/>
  <c r="C196" i="65" s="1"/>
  <c r="C197" i="65" s="1"/>
  <c r="C198" i="65" s="1"/>
  <c r="C199" i="65" s="1"/>
  <c r="C200" i="65" s="1"/>
  <c r="C201" i="65" s="1"/>
  <c r="C202" i="65" s="1"/>
  <c r="C203" i="65" s="1"/>
  <c r="C204" i="65" s="1"/>
  <c r="C205" i="65" s="1"/>
  <c r="C206" i="65" s="1"/>
  <c r="C207" i="65" s="1"/>
  <c r="C208" i="65" s="1"/>
  <c r="C209" i="65" s="1"/>
  <c r="C210" i="65" s="1"/>
  <c r="C211" i="65" s="1"/>
  <c r="C212" i="65" s="1"/>
  <c r="C213" i="65" s="1"/>
  <c r="C214" i="65" s="1"/>
  <c r="C215" i="65" s="1"/>
  <c r="C216" i="65" s="1"/>
  <c r="C217" i="65" s="1"/>
  <c r="C218" i="65" s="1"/>
  <c r="C219" i="65" s="1"/>
  <c r="C220" i="65" s="1"/>
  <c r="C221" i="65" s="1"/>
  <c r="C222" i="65" s="1"/>
  <c r="C223" i="65" s="1"/>
  <c r="C224" i="65" s="1"/>
  <c r="AH194" i="65"/>
  <c r="E193" i="65"/>
  <c r="F193" i="65" s="1"/>
  <c r="G193" i="65" s="1"/>
  <c r="H193" i="65" s="1"/>
  <c r="I193" i="65" s="1"/>
  <c r="J193" i="65" s="1"/>
  <c r="K193" i="65" s="1"/>
  <c r="L193" i="65" s="1"/>
  <c r="M193" i="65" s="1"/>
  <c r="N193" i="65" s="1"/>
  <c r="O193" i="65" s="1"/>
  <c r="P193" i="65" s="1"/>
  <c r="Q193" i="65" s="1"/>
  <c r="R193" i="65" s="1"/>
  <c r="S193" i="65" s="1"/>
  <c r="T193" i="65" s="1"/>
  <c r="U193" i="65" s="1"/>
  <c r="V193" i="65" s="1"/>
  <c r="W193" i="65" s="1"/>
  <c r="X193" i="65" s="1"/>
  <c r="Y193" i="65" s="1"/>
  <c r="Z193" i="65" s="1"/>
  <c r="AA193" i="65" s="1"/>
  <c r="AB193" i="65" s="1"/>
  <c r="AC193" i="65" s="1"/>
  <c r="AD193" i="65" s="1"/>
  <c r="AE193" i="65" s="1"/>
  <c r="AF193" i="65" s="1"/>
  <c r="AG193" i="65" s="1"/>
  <c r="AG224" i="65"/>
  <c r="AG225" i="65" s="1"/>
  <c r="AF224" i="65"/>
  <c r="AF225" i="65" s="1"/>
  <c r="AE223" i="65"/>
  <c r="AE225" i="65" s="1"/>
  <c r="AC221" i="65"/>
  <c r="AC225" i="65" s="1"/>
  <c r="AB220" i="65"/>
  <c r="AB221" i="65" s="1"/>
  <c r="AB222" i="65" s="1"/>
  <c r="AB223" i="65" s="1"/>
  <c r="AB224" i="65" s="1"/>
  <c r="AA219" i="65"/>
  <c r="AA225" i="65" s="1"/>
  <c r="Z218" i="65"/>
  <c r="Y217" i="65"/>
  <c r="Y225" i="65" s="1"/>
  <c r="X216" i="65"/>
  <c r="X217" i="65" s="1"/>
  <c r="X218" i="65" s="1"/>
  <c r="X219" i="65" s="1"/>
  <c r="X220" i="65" s="1"/>
  <c r="X221" i="65" s="1"/>
  <c r="X222" i="65" s="1"/>
  <c r="X223" i="65" s="1"/>
  <c r="X224" i="65" s="1"/>
  <c r="W215" i="65"/>
  <c r="W225" i="65" s="1"/>
  <c r="V214" i="65"/>
  <c r="U213" i="65"/>
  <c r="U225" i="65" s="1"/>
  <c r="T212" i="65"/>
  <c r="T213" i="65" s="1"/>
  <c r="T214" i="65" s="1"/>
  <c r="T215" i="65" s="1"/>
  <c r="T216" i="65" s="1"/>
  <c r="T217" i="65" s="1"/>
  <c r="T218" i="65" s="1"/>
  <c r="T219" i="65" s="1"/>
  <c r="T220" i="65" s="1"/>
  <c r="T221" i="65" s="1"/>
  <c r="AH221" i="65" s="1"/>
  <c r="S211" i="65"/>
  <c r="S225" i="65" s="1"/>
  <c r="R210" i="65"/>
  <c r="Q209" i="65"/>
  <c r="Q225" i="65" s="1"/>
  <c r="P208" i="65"/>
  <c r="P209" i="65" s="1"/>
  <c r="P210" i="65" s="1"/>
  <c r="P211" i="65" s="1"/>
  <c r="P212" i="65" s="1"/>
  <c r="P213" i="65" s="1"/>
  <c r="P214" i="65" s="1"/>
  <c r="P215" i="65" s="1"/>
  <c r="P216" i="65" s="1"/>
  <c r="P217" i="65" s="1"/>
  <c r="AH217" i="65" s="1"/>
  <c r="O207" i="65"/>
  <c r="O225" i="65" s="1"/>
  <c r="N206" i="65"/>
  <c r="M205" i="65"/>
  <c r="M225" i="65" s="1"/>
  <c r="L204" i="65"/>
  <c r="L205" i="65" s="1"/>
  <c r="L206" i="65" s="1"/>
  <c r="L207" i="65" s="1"/>
  <c r="L208" i="65" s="1"/>
  <c r="L209" i="65" s="1"/>
  <c r="L210" i="65" s="1"/>
  <c r="L211" i="65" s="1"/>
  <c r="L212" i="65" s="1"/>
  <c r="L213" i="65" s="1"/>
  <c r="AH213" i="65" s="1"/>
  <c r="K203" i="65"/>
  <c r="K225" i="65" s="1"/>
  <c r="J202" i="65"/>
  <c r="I201" i="65"/>
  <c r="H200" i="65"/>
  <c r="H201" i="65" s="1"/>
  <c r="H202" i="65" s="1"/>
  <c r="H203" i="65" s="1"/>
  <c r="H204" i="65" s="1"/>
  <c r="H205" i="65" s="1"/>
  <c r="H206" i="65" s="1"/>
  <c r="H207" i="65" s="1"/>
  <c r="H208" i="65" s="1"/>
  <c r="H209" i="65" s="1"/>
  <c r="AH209" i="65" s="1"/>
  <c r="G199" i="65"/>
  <c r="F198" i="65"/>
  <c r="F199" i="65" s="1"/>
  <c r="F200" i="65" s="1"/>
  <c r="F201" i="65" s="1"/>
  <c r="F202" i="65" s="1"/>
  <c r="F203" i="65" s="1"/>
  <c r="F204" i="65" s="1"/>
  <c r="F205" i="65" s="1"/>
  <c r="F206" i="65" s="1"/>
  <c r="F207" i="65" s="1"/>
  <c r="AH207" i="65" s="1"/>
  <c r="E197" i="65"/>
  <c r="AH192" i="65"/>
  <c r="B192" i="65" s="1"/>
  <c r="AH158" i="65"/>
  <c r="C158" i="65"/>
  <c r="C159" i="65" s="1"/>
  <c r="C160" i="65" s="1"/>
  <c r="C161" i="65" s="1"/>
  <c r="C162" i="65" s="1"/>
  <c r="C163" i="65" s="1"/>
  <c r="C164" i="65" s="1"/>
  <c r="C165" i="65" s="1"/>
  <c r="C166" i="65" s="1"/>
  <c r="C167" i="65" s="1"/>
  <c r="C168" i="65" s="1"/>
  <c r="C169" i="65" s="1"/>
  <c r="C170" i="65" s="1"/>
  <c r="C171" i="65" s="1"/>
  <c r="C172" i="65" s="1"/>
  <c r="C173" i="65" s="1"/>
  <c r="C174" i="65" s="1"/>
  <c r="C175" i="65" s="1"/>
  <c r="C176" i="65" s="1"/>
  <c r="C177" i="65" s="1"/>
  <c r="C178" i="65" s="1"/>
  <c r="C179" i="65" s="1"/>
  <c r="C180" i="65" s="1"/>
  <c r="C181" i="65" s="1"/>
  <c r="C182" i="65" s="1"/>
  <c r="C183" i="65" s="1"/>
  <c r="C184" i="65" s="1"/>
  <c r="C185" i="65" s="1"/>
  <c r="C186" i="65" s="1"/>
  <c r="C187" i="65" s="1"/>
  <c r="AH157" i="65"/>
  <c r="E156" i="65"/>
  <c r="F156" i="65" s="1"/>
  <c r="G156" i="65" s="1"/>
  <c r="H156" i="65" s="1"/>
  <c r="I156" i="65" s="1"/>
  <c r="J156" i="65" s="1"/>
  <c r="K156" i="65" s="1"/>
  <c r="L156" i="65" s="1"/>
  <c r="M156" i="65" s="1"/>
  <c r="N156" i="65" s="1"/>
  <c r="O156" i="65" s="1"/>
  <c r="P156" i="65" s="1"/>
  <c r="Q156" i="65" s="1"/>
  <c r="R156" i="65" s="1"/>
  <c r="S156" i="65" s="1"/>
  <c r="T156" i="65" s="1"/>
  <c r="U156" i="65" s="1"/>
  <c r="V156" i="65" s="1"/>
  <c r="W156" i="65" s="1"/>
  <c r="X156" i="65" s="1"/>
  <c r="Y156" i="65" s="1"/>
  <c r="Z156" i="65" s="1"/>
  <c r="AA156" i="65" s="1"/>
  <c r="AB156" i="65" s="1"/>
  <c r="AC156" i="65" s="1"/>
  <c r="AD156" i="65" s="1"/>
  <c r="AE156" i="65" s="1"/>
  <c r="AF156" i="65" s="1"/>
  <c r="AG156" i="65" s="1"/>
  <c r="AG187" i="65"/>
  <c r="AG188" i="65" s="1"/>
  <c r="AF187" i="65"/>
  <c r="AF188" i="65" s="1"/>
  <c r="AE186" i="65"/>
  <c r="AE188" i="65" s="1"/>
  <c r="AD185" i="65"/>
  <c r="AD188" i="65" s="1"/>
  <c r="AC184" i="65"/>
  <c r="AC188" i="65" s="1"/>
  <c r="AB183" i="65"/>
  <c r="AB188" i="65" s="1"/>
  <c r="AA182" i="65"/>
  <c r="AA188" i="65" s="1"/>
  <c r="Z181" i="65"/>
  <c r="Z188" i="65" s="1"/>
  <c r="Y180" i="65"/>
  <c r="Y188" i="65" s="1"/>
  <c r="X179" i="65"/>
  <c r="X180" i="65" s="1"/>
  <c r="X181" i="65" s="1"/>
  <c r="X182" i="65" s="1"/>
  <c r="X183" i="65" s="1"/>
  <c r="X184" i="65" s="1"/>
  <c r="X185" i="65" s="1"/>
  <c r="X186" i="65" s="1"/>
  <c r="X187" i="65" s="1"/>
  <c r="W178" i="65"/>
  <c r="W188" i="65" s="1"/>
  <c r="V177" i="65"/>
  <c r="V188" i="65" s="1"/>
  <c r="U176" i="65"/>
  <c r="U188" i="65" s="1"/>
  <c r="T175" i="65"/>
  <c r="T188" i="65" s="1"/>
  <c r="S174" i="65"/>
  <c r="S188" i="65" s="1"/>
  <c r="R173" i="65"/>
  <c r="Q172" i="65"/>
  <c r="P171" i="65"/>
  <c r="P172" i="65" s="1"/>
  <c r="P173" i="65" s="1"/>
  <c r="P174" i="65" s="1"/>
  <c r="P175" i="65" s="1"/>
  <c r="P176" i="65" s="1"/>
  <c r="P177" i="65" s="1"/>
  <c r="P178" i="65" s="1"/>
  <c r="P179" i="65" s="1"/>
  <c r="P180" i="65" s="1"/>
  <c r="P181" i="65" s="1"/>
  <c r="P182" i="65" s="1"/>
  <c r="AH182" i="65" s="1"/>
  <c r="O170" i="65"/>
  <c r="N169" i="65"/>
  <c r="M168" i="65"/>
  <c r="L167" i="65"/>
  <c r="K166" i="65"/>
  <c r="K188" i="65" s="1"/>
  <c r="J165" i="65"/>
  <c r="I164" i="65"/>
  <c r="H163" i="65"/>
  <c r="H188" i="65" s="1"/>
  <c r="G162" i="65"/>
  <c r="F161" i="65"/>
  <c r="E160" i="65"/>
  <c r="D159" i="65"/>
  <c r="AG151" i="65"/>
  <c r="AH121" i="65"/>
  <c r="C121" i="65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AH120" i="65"/>
  <c r="E119" i="65"/>
  <c r="F119" i="65" s="1"/>
  <c r="G119" i="65" s="1"/>
  <c r="H119" i="65" s="1"/>
  <c r="I119" i="65" s="1"/>
  <c r="J119" i="65" s="1"/>
  <c r="K119" i="65" s="1"/>
  <c r="L119" i="65" s="1"/>
  <c r="M119" i="65" s="1"/>
  <c r="N119" i="65" s="1"/>
  <c r="O119" i="65" s="1"/>
  <c r="P119" i="65" s="1"/>
  <c r="Q119" i="65" s="1"/>
  <c r="R119" i="65" s="1"/>
  <c r="S119" i="65" s="1"/>
  <c r="T119" i="65" s="1"/>
  <c r="U119" i="65" s="1"/>
  <c r="V119" i="65" s="1"/>
  <c r="W119" i="65" s="1"/>
  <c r="X119" i="65" s="1"/>
  <c r="Y119" i="65" s="1"/>
  <c r="Z119" i="65" s="1"/>
  <c r="AA119" i="65" s="1"/>
  <c r="AB119" i="65" s="1"/>
  <c r="AC119" i="65" s="1"/>
  <c r="AD119" i="65" s="1"/>
  <c r="AE119" i="65" s="1"/>
  <c r="AF119" i="65" s="1"/>
  <c r="AG119" i="65" s="1"/>
  <c r="AF150" i="65"/>
  <c r="AF151" i="65" s="1"/>
  <c r="AE149" i="65"/>
  <c r="AD148" i="65"/>
  <c r="AC147" i="65"/>
  <c r="AB146" i="65"/>
  <c r="AA145" i="65"/>
  <c r="Z144" i="65"/>
  <c r="Y143" i="65"/>
  <c r="X142" i="65"/>
  <c r="W141" i="65"/>
  <c r="V140" i="65"/>
  <c r="V141" i="65" s="1"/>
  <c r="V142" i="65" s="1"/>
  <c r="V143" i="65" s="1"/>
  <c r="V144" i="65" s="1"/>
  <c r="V145" i="65" s="1"/>
  <c r="V146" i="65" s="1"/>
  <c r="V147" i="65" s="1"/>
  <c r="V148" i="65" s="1"/>
  <c r="V149" i="65" s="1"/>
  <c r="V150" i="65" s="1"/>
  <c r="U139" i="65"/>
  <c r="U151" i="65" s="1"/>
  <c r="T138" i="65"/>
  <c r="S137" i="65"/>
  <c r="R136" i="65"/>
  <c r="Q135" i="65"/>
  <c r="Q151" i="65" s="1"/>
  <c r="P134" i="65"/>
  <c r="O133" i="65"/>
  <c r="N132" i="65"/>
  <c r="N133" i="65" s="1"/>
  <c r="N134" i="65" s="1"/>
  <c r="N135" i="65" s="1"/>
  <c r="N136" i="65" s="1"/>
  <c r="N137" i="65" s="1"/>
  <c r="N138" i="65" s="1"/>
  <c r="N139" i="65" s="1"/>
  <c r="N140" i="65" s="1"/>
  <c r="N141" i="65" s="1"/>
  <c r="N142" i="65" s="1"/>
  <c r="N143" i="65" s="1"/>
  <c r="N144" i="65" s="1"/>
  <c r="N145" i="65" s="1"/>
  <c r="N146" i="65" s="1"/>
  <c r="AH146" i="65" s="1"/>
  <c r="M131" i="65"/>
  <c r="L130" i="65"/>
  <c r="K129" i="65"/>
  <c r="K151" i="65" s="1"/>
  <c r="J128" i="65"/>
  <c r="J151" i="65" s="1"/>
  <c r="I127" i="65"/>
  <c r="I151" i="65" s="1"/>
  <c r="H126" i="65"/>
  <c r="G125" i="65"/>
  <c r="F124" i="65"/>
  <c r="F125" i="65" s="1"/>
  <c r="F126" i="65" s="1"/>
  <c r="F127" i="65" s="1"/>
  <c r="F128" i="65" s="1"/>
  <c r="F129" i="65" s="1"/>
  <c r="F130" i="65" s="1"/>
  <c r="F131" i="65" s="1"/>
  <c r="F132" i="65" s="1"/>
  <c r="F133" i="65" s="1"/>
  <c r="F134" i="65" s="1"/>
  <c r="F135" i="65" s="1"/>
  <c r="F136" i="65" s="1"/>
  <c r="F137" i="65" s="1"/>
  <c r="F138" i="65" s="1"/>
  <c r="AH138" i="65" s="1"/>
  <c r="E123" i="65"/>
  <c r="E151" i="65" s="1"/>
  <c r="D122" i="65"/>
  <c r="AH84" i="65"/>
  <c r="AH83" i="65"/>
  <c r="C83" i="65"/>
  <c r="C84" i="65" s="1"/>
  <c r="C85" i="65" s="1"/>
  <c r="C86" i="65" s="1"/>
  <c r="C87" i="65" s="1"/>
  <c r="C88" i="65" s="1"/>
  <c r="C89" i="65" s="1"/>
  <c r="C90" i="65" s="1"/>
  <c r="C91" i="65" s="1"/>
  <c r="C92" i="65" s="1"/>
  <c r="C93" i="65" s="1"/>
  <c r="C94" i="65" s="1"/>
  <c r="C95" i="65" s="1"/>
  <c r="C96" i="65" s="1"/>
  <c r="C97" i="65" s="1"/>
  <c r="C98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E82" i="65"/>
  <c r="F82" i="65" s="1"/>
  <c r="G82" i="65" s="1"/>
  <c r="H82" i="65" s="1"/>
  <c r="I82" i="65" s="1"/>
  <c r="J82" i="65" s="1"/>
  <c r="K82" i="65" s="1"/>
  <c r="L82" i="65" s="1"/>
  <c r="M82" i="65" s="1"/>
  <c r="N82" i="65" s="1"/>
  <c r="O82" i="65" s="1"/>
  <c r="P82" i="65" s="1"/>
  <c r="Q82" i="65" s="1"/>
  <c r="R82" i="65" s="1"/>
  <c r="S82" i="65" s="1"/>
  <c r="T82" i="65" s="1"/>
  <c r="U82" i="65" s="1"/>
  <c r="V82" i="65" s="1"/>
  <c r="W82" i="65" s="1"/>
  <c r="X82" i="65" s="1"/>
  <c r="Y82" i="65" s="1"/>
  <c r="Z82" i="65" s="1"/>
  <c r="AA82" i="65" s="1"/>
  <c r="AB82" i="65" s="1"/>
  <c r="AC82" i="65" s="1"/>
  <c r="AD82" i="65" s="1"/>
  <c r="AE82" i="65" s="1"/>
  <c r="AF82" i="65" s="1"/>
  <c r="AG82" i="65" s="1"/>
  <c r="AG113" i="65"/>
  <c r="AG114" i="65" s="1"/>
  <c r="AF113" i="65"/>
  <c r="AF114" i="65" s="1"/>
  <c r="AE112" i="65"/>
  <c r="AD111" i="65"/>
  <c r="AC110" i="65"/>
  <c r="AB109" i="65"/>
  <c r="AA108" i="65"/>
  <c r="AA109" i="65" s="1"/>
  <c r="AA110" i="65" s="1"/>
  <c r="AA111" i="65" s="1"/>
  <c r="AA112" i="65" s="1"/>
  <c r="AA113" i="65" s="1"/>
  <c r="Z107" i="65"/>
  <c r="Y106" i="65"/>
  <c r="Y107" i="65" s="1"/>
  <c r="Y108" i="65" s="1"/>
  <c r="Y109" i="65" s="1"/>
  <c r="Y110" i="65" s="1"/>
  <c r="Y111" i="65" s="1"/>
  <c r="Y112" i="65" s="1"/>
  <c r="Y113" i="65" s="1"/>
  <c r="X105" i="65"/>
  <c r="W104" i="65"/>
  <c r="V103" i="65"/>
  <c r="U102" i="65"/>
  <c r="U103" i="65" s="1"/>
  <c r="U104" i="65" s="1"/>
  <c r="U105" i="65" s="1"/>
  <c r="U106" i="65" s="1"/>
  <c r="U107" i="65" s="1"/>
  <c r="U108" i="65" s="1"/>
  <c r="U109" i="65" s="1"/>
  <c r="U110" i="65" s="1"/>
  <c r="U111" i="65" s="1"/>
  <c r="U112" i="65" s="1"/>
  <c r="U113" i="65" s="1"/>
  <c r="T101" i="65"/>
  <c r="S100" i="65"/>
  <c r="R99" i="65"/>
  <c r="Q98" i="65"/>
  <c r="Q99" i="65" s="1"/>
  <c r="Q100" i="65" s="1"/>
  <c r="Q101" i="65" s="1"/>
  <c r="Q102" i="65" s="1"/>
  <c r="Q103" i="65" s="1"/>
  <c r="Q104" i="65" s="1"/>
  <c r="Q105" i="65" s="1"/>
  <c r="Q106" i="65" s="1"/>
  <c r="Q107" i="65" s="1"/>
  <c r="Q108" i="65" s="1"/>
  <c r="Q109" i="65" s="1"/>
  <c r="Q110" i="65" s="1"/>
  <c r="Q111" i="65" s="1"/>
  <c r="Q112" i="65" s="1"/>
  <c r="Q113" i="65" s="1"/>
  <c r="P97" i="65"/>
  <c r="O96" i="65"/>
  <c r="N95" i="65"/>
  <c r="M94" i="65"/>
  <c r="M95" i="65" s="1"/>
  <c r="M96" i="65" s="1"/>
  <c r="M97" i="65" s="1"/>
  <c r="M98" i="65" s="1"/>
  <c r="M99" i="65" s="1"/>
  <c r="M100" i="65" s="1"/>
  <c r="M101" i="65" s="1"/>
  <c r="M102" i="65" s="1"/>
  <c r="M103" i="65" s="1"/>
  <c r="M104" i="65" s="1"/>
  <c r="M105" i="65" s="1"/>
  <c r="M106" i="65" s="1"/>
  <c r="M107" i="65" s="1"/>
  <c r="M108" i="65" s="1"/>
  <c r="M109" i="65" s="1"/>
  <c r="M110" i="65" s="1"/>
  <c r="M111" i="65" s="1"/>
  <c r="M112" i="65" s="1"/>
  <c r="M113" i="65" s="1"/>
  <c r="AH113" i="65" s="1"/>
  <c r="L93" i="65"/>
  <c r="K92" i="65"/>
  <c r="J91" i="65"/>
  <c r="I90" i="65"/>
  <c r="I91" i="65" s="1"/>
  <c r="I92" i="65" s="1"/>
  <c r="I93" i="65" s="1"/>
  <c r="I94" i="65" s="1"/>
  <c r="I95" i="65" s="1"/>
  <c r="I96" i="65" s="1"/>
  <c r="I97" i="65" s="1"/>
  <c r="I98" i="65" s="1"/>
  <c r="I99" i="65" s="1"/>
  <c r="I100" i="65" s="1"/>
  <c r="I101" i="65" s="1"/>
  <c r="I102" i="65" s="1"/>
  <c r="I103" i="65" s="1"/>
  <c r="I104" i="65" s="1"/>
  <c r="I105" i="65" s="1"/>
  <c r="I106" i="65" s="1"/>
  <c r="I107" i="65" s="1"/>
  <c r="I108" i="65" s="1"/>
  <c r="I109" i="65" s="1"/>
  <c r="AH109" i="65" s="1"/>
  <c r="H89" i="65"/>
  <c r="G88" i="65"/>
  <c r="G114" i="65" s="1"/>
  <c r="F87" i="65"/>
  <c r="E86" i="65"/>
  <c r="AH47" i="65"/>
  <c r="C47" i="65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C73" i="65" s="1"/>
  <c r="C74" i="65" s="1"/>
  <c r="C75" i="65" s="1"/>
  <c r="C76" i="65" s="1"/>
  <c r="E45" i="65"/>
  <c r="E46" i="65" s="1"/>
  <c r="AH46" i="65" s="1"/>
  <c r="AG76" i="65"/>
  <c r="AG77" i="65" s="1"/>
  <c r="AF76" i="65"/>
  <c r="AF77" i="65" s="1"/>
  <c r="AE75" i="65"/>
  <c r="AE77" i="65" s="1"/>
  <c r="AD74" i="65"/>
  <c r="AC73" i="65"/>
  <c r="AB72" i="65"/>
  <c r="AA71" i="65"/>
  <c r="AA77" i="65" s="1"/>
  <c r="Z70" i="65"/>
  <c r="Y69" i="65"/>
  <c r="X68" i="65"/>
  <c r="W67" i="65"/>
  <c r="V66" i="65"/>
  <c r="U65" i="65"/>
  <c r="T64" i="65"/>
  <c r="S63" i="65"/>
  <c r="R62" i="65"/>
  <c r="Q61" i="65"/>
  <c r="P60" i="65"/>
  <c r="O59" i="65"/>
  <c r="N58" i="65"/>
  <c r="M57" i="65"/>
  <c r="L56" i="65"/>
  <c r="K55" i="65"/>
  <c r="J54" i="65"/>
  <c r="I53" i="65"/>
  <c r="H52" i="65"/>
  <c r="G51" i="65"/>
  <c r="F50" i="65"/>
  <c r="E49" i="65"/>
  <c r="C10" i="65"/>
  <c r="C11" i="65" s="1"/>
  <c r="C12" i="65" s="1"/>
  <c r="C13" i="65" s="1"/>
  <c r="C14" i="65" s="1"/>
  <c r="C15" i="65" s="1"/>
  <c r="C16" i="65" s="1"/>
  <c r="C17" i="65" s="1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D9" i="65"/>
  <c r="E8" i="65"/>
  <c r="E9" i="65" s="1"/>
  <c r="E3" i="65"/>
  <c r="F3" i="65" s="1"/>
  <c r="G3" i="65" s="1"/>
  <c r="H3" i="65" s="1"/>
  <c r="I3" i="65" s="1"/>
  <c r="J3" i="65" s="1"/>
  <c r="K3" i="65" s="1"/>
  <c r="L3" i="65" s="1"/>
  <c r="M3" i="65" s="1"/>
  <c r="N3" i="65" s="1"/>
  <c r="O3" i="65" s="1"/>
  <c r="P3" i="65" s="1"/>
  <c r="Q3" i="65" s="1"/>
  <c r="R3" i="65" s="1"/>
  <c r="S3" i="65" s="1"/>
  <c r="T3" i="65" s="1"/>
  <c r="U3" i="65" s="1"/>
  <c r="V3" i="65" s="1"/>
  <c r="W3" i="65" s="1"/>
  <c r="X3" i="65" s="1"/>
  <c r="Y3" i="65" s="1"/>
  <c r="Z3" i="65" s="1"/>
  <c r="AA3" i="65" s="1"/>
  <c r="AB3" i="65" s="1"/>
  <c r="AC3" i="65" s="1"/>
  <c r="AD3" i="65" s="1"/>
  <c r="AE3" i="65" s="1"/>
  <c r="AF3" i="65" s="1"/>
  <c r="AG3" i="65" s="1"/>
  <c r="E2" i="65"/>
  <c r="F2" i="65" s="1"/>
  <c r="G2" i="65" s="1"/>
  <c r="H2" i="65" s="1"/>
  <c r="I2" i="65" s="1"/>
  <c r="J2" i="65" s="1"/>
  <c r="K2" i="65" s="1"/>
  <c r="L2" i="65" s="1"/>
  <c r="M2" i="65" s="1"/>
  <c r="N2" i="65" s="1"/>
  <c r="O2" i="65" s="1"/>
  <c r="P2" i="65" s="1"/>
  <c r="Q2" i="65" s="1"/>
  <c r="R2" i="65" s="1"/>
  <c r="S2" i="65" s="1"/>
  <c r="T2" i="65" s="1"/>
  <c r="U2" i="65" s="1"/>
  <c r="V2" i="65" s="1"/>
  <c r="W2" i="65" s="1"/>
  <c r="X2" i="65" s="1"/>
  <c r="Y2" i="65" s="1"/>
  <c r="Z2" i="65" s="1"/>
  <c r="AA2" i="65" s="1"/>
  <c r="AB2" i="65" s="1"/>
  <c r="AC2" i="65" s="1"/>
  <c r="AD2" i="65" s="1"/>
  <c r="AE2" i="65" s="1"/>
  <c r="AF2" i="65" s="1"/>
  <c r="AG2" i="65" s="1"/>
  <c r="N35" i="60"/>
  <c r="M35" i="60"/>
  <c r="F34" i="60"/>
  <c r="AF20" i="82" s="1"/>
  <c r="J35" i="59"/>
  <c r="E11" i="59"/>
  <c r="E12" i="59" s="1"/>
  <c r="E13" i="59" s="1"/>
  <c r="E14" i="59" s="1"/>
  <c r="E15" i="59" s="1"/>
  <c r="E16" i="59" s="1"/>
  <c r="E17" i="59" s="1"/>
  <c r="E18" i="59" s="1"/>
  <c r="E19" i="59" s="1"/>
  <c r="E20" i="59" s="1"/>
  <c r="E21" i="59" s="1"/>
  <c r="E22" i="59" s="1"/>
  <c r="E23" i="59" s="1"/>
  <c r="E24" i="59" s="1"/>
  <c r="E25" i="59" s="1"/>
  <c r="E26" i="59" s="1"/>
  <c r="E27" i="59" s="1"/>
  <c r="E28" i="59" s="1"/>
  <c r="E29" i="59" s="1"/>
  <c r="E30" i="59" s="1"/>
  <c r="E31" i="59" s="1"/>
  <c r="E32" i="59" s="1"/>
  <c r="E33" i="59" s="1"/>
  <c r="E34" i="59" s="1"/>
  <c r="H38" i="57"/>
  <c r="AD35" i="57"/>
  <c r="Z35" i="57"/>
  <c r="X35" i="57"/>
  <c r="AB34" i="57"/>
  <c r="AB33" i="57"/>
  <c r="AB32" i="57"/>
  <c r="AB31" i="57"/>
  <c r="AB30" i="57"/>
  <c r="AB29" i="57"/>
  <c r="AB28" i="57"/>
  <c r="AB27" i="57"/>
  <c r="AB26" i="57"/>
  <c r="AB25" i="57"/>
  <c r="AB24" i="57"/>
  <c r="AB23" i="57"/>
  <c r="AB22" i="57"/>
  <c r="AB21" i="57"/>
  <c r="AB20" i="57"/>
  <c r="AB19" i="57"/>
  <c r="AB18" i="57"/>
  <c r="AB17" i="57"/>
  <c r="AB16" i="57"/>
  <c r="AB15" i="57"/>
  <c r="AB14" i="57"/>
  <c r="AB13" i="57"/>
  <c r="AB12" i="57"/>
  <c r="AB11" i="57"/>
  <c r="AB10" i="57"/>
  <c r="AB9" i="57"/>
  <c r="AB8" i="57"/>
  <c r="T8" i="57"/>
  <c r="O8" i="57"/>
  <c r="AB7" i="57"/>
  <c r="T7" i="57"/>
  <c r="O7" i="57"/>
  <c r="AB6" i="57"/>
  <c r="T6" i="57"/>
  <c r="O6" i="57"/>
  <c r="AB5" i="57"/>
  <c r="O5" i="57"/>
  <c r="H2" i="57"/>
  <c r="F90" i="66"/>
  <c r="F89" i="66"/>
  <c r="F88" i="66"/>
  <c r="F87" i="66"/>
  <c r="F86" i="66"/>
  <c r="F84" i="66"/>
  <c r="F76" i="66"/>
  <c r="F73" i="66"/>
  <c r="F72" i="66"/>
  <c r="F71" i="66"/>
  <c r="F66" i="66"/>
  <c r="F65" i="66"/>
  <c r="F64" i="66"/>
  <c r="F63" i="66"/>
  <c r="F62" i="66"/>
  <c r="F61" i="66"/>
  <c r="F58" i="66"/>
  <c r="F57" i="66"/>
  <c r="F56" i="66"/>
  <c r="F54" i="66"/>
  <c r="F51" i="66"/>
  <c r="F47" i="66"/>
  <c r="F46" i="66"/>
  <c r="F45" i="66"/>
  <c r="F43" i="66"/>
  <c r="F42" i="66"/>
  <c r="F38" i="66"/>
  <c r="F36" i="66"/>
  <c r="F35" i="66"/>
  <c r="F34" i="66"/>
  <c r="F33" i="66"/>
  <c r="F32" i="66"/>
  <c r="F31" i="66"/>
  <c r="F30" i="66"/>
  <c r="F29" i="66"/>
  <c r="F28" i="66"/>
  <c r="F27" i="66"/>
  <c r="F26" i="66"/>
  <c r="F25" i="66"/>
  <c r="F23" i="66"/>
  <c r="F22" i="66"/>
  <c r="F21" i="66"/>
  <c r="F20" i="66"/>
  <c r="F19" i="66"/>
  <c r="F18" i="66"/>
  <c r="F17" i="66"/>
  <c r="F16" i="66"/>
  <c r="F15" i="66"/>
  <c r="F14" i="66"/>
  <c r="F13" i="66"/>
  <c r="F12" i="66"/>
  <c r="F9" i="66"/>
  <c r="F8" i="66"/>
  <c r="F7" i="66"/>
  <c r="F6" i="66"/>
  <c r="F5" i="66"/>
  <c r="G28" i="56"/>
  <c r="H26" i="56"/>
  <c r="G26" i="56"/>
  <c r="H25" i="56"/>
  <c r="G25" i="56"/>
  <c r="H24" i="56"/>
  <c r="G24" i="56"/>
  <c r="H23" i="56"/>
  <c r="G23" i="56"/>
  <c r="H22" i="56"/>
  <c r="G22" i="56"/>
  <c r="H21" i="56"/>
  <c r="G21" i="56"/>
  <c r="H20" i="56"/>
  <c r="G20" i="56"/>
  <c r="H19" i="56"/>
  <c r="G19" i="56"/>
  <c r="H18" i="56"/>
  <c r="G18" i="56"/>
  <c r="H17" i="56"/>
  <c r="G17" i="56"/>
  <c r="H16" i="56"/>
  <c r="G16" i="56"/>
  <c r="H15" i="56"/>
  <c r="G15" i="56"/>
  <c r="H14" i="56"/>
  <c r="G14" i="56"/>
  <c r="H13" i="56"/>
  <c r="G13" i="56"/>
  <c r="H12" i="56"/>
  <c r="G12" i="56"/>
  <c r="H11" i="56"/>
  <c r="G11" i="56"/>
  <c r="H10" i="56"/>
  <c r="G10" i="56"/>
  <c r="H9" i="56"/>
  <c r="G9" i="56"/>
  <c r="H8" i="56"/>
  <c r="G8" i="56"/>
  <c r="H7" i="56"/>
  <c r="G7" i="56"/>
  <c r="H6" i="56"/>
  <c r="G6" i="56"/>
  <c r="N1" i="57"/>
  <c r="D9" i="52"/>
  <c r="D10" i="52" s="1"/>
  <c r="D11" i="52" s="1"/>
  <c r="D12" i="52" s="1"/>
  <c r="D13" i="52" s="1"/>
  <c r="D14" i="52" s="1"/>
  <c r="D15" i="52" s="1"/>
  <c r="D16" i="52" s="1"/>
  <c r="D17" i="52" s="1"/>
  <c r="D18" i="52" s="1"/>
  <c r="D19" i="52" s="1"/>
  <c r="D20" i="52" s="1"/>
  <c r="D21" i="52" s="1"/>
  <c r="D22" i="52" s="1"/>
  <c r="D23" i="52" s="1"/>
  <c r="D24" i="52" s="1"/>
  <c r="D25" i="52" s="1"/>
  <c r="D26" i="52" s="1"/>
  <c r="D27" i="52" s="1"/>
  <c r="D28" i="52" s="1"/>
  <c r="D29" i="52" s="1"/>
  <c r="D30" i="52" s="1"/>
  <c r="D31" i="52" s="1"/>
  <c r="D32" i="52" s="1"/>
  <c r="D33" i="52" s="1"/>
  <c r="C9" i="52"/>
  <c r="C10" i="52" s="1"/>
  <c r="C11" i="52" s="1"/>
  <c r="C12" i="52" s="1"/>
  <c r="C13" i="52" s="1"/>
  <c r="C14" i="52" s="1"/>
  <c r="C15" i="52" s="1"/>
  <c r="C16" i="52" s="1"/>
  <c r="C17" i="52" s="1"/>
  <c r="C18" i="52" s="1"/>
  <c r="C19" i="52" s="1"/>
  <c r="C20" i="52" s="1"/>
  <c r="C21" i="52" s="1"/>
  <c r="C22" i="52" s="1"/>
  <c r="C23" i="52" s="1"/>
  <c r="C24" i="52" s="1"/>
  <c r="C25" i="52" s="1"/>
  <c r="C26" i="52" s="1"/>
  <c r="C27" i="52" s="1"/>
  <c r="C28" i="52" s="1"/>
  <c r="C29" i="52" s="1"/>
  <c r="C30" i="52" s="1"/>
  <c r="C31" i="52" s="1"/>
  <c r="C32" i="52" s="1"/>
  <c r="C33" i="52" s="1"/>
  <c r="D39" i="55"/>
  <c r="D40" i="55" s="1"/>
  <c r="D41" i="55" s="1"/>
  <c r="D42" i="55" s="1"/>
  <c r="D43" i="55" s="1"/>
  <c r="D44" i="55" s="1"/>
  <c r="D45" i="55" s="1"/>
  <c r="D46" i="55" s="1"/>
  <c r="D47" i="55" s="1"/>
  <c r="D48" i="55" s="1"/>
  <c r="D49" i="55" s="1"/>
  <c r="D50" i="55" s="1"/>
  <c r="D51" i="55" s="1"/>
  <c r="D52" i="55" s="1"/>
  <c r="D53" i="55" s="1"/>
  <c r="D54" i="55" s="1"/>
  <c r="D55" i="55" s="1"/>
  <c r="D56" i="55" s="1"/>
  <c r="D57" i="55" s="1"/>
  <c r="D58" i="55" s="1"/>
  <c r="D59" i="55" s="1"/>
  <c r="D60" i="55" s="1"/>
  <c r="D61" i="55" s="1"/>
  <c r="D62" i="55" s="1"/>
  <c r="D63" i="55" s="1"/>
  <c r="D64" i="55" s="1"/>
  <c r="D65" i="55" s="1"/>
  <c r="D66" i="55" s="1"/>
  <c r="D67" i="55" s="1"/>
  <c r="F66" i="55"/>
  <c r="D5" i="55"/>
  <c r="D6" i="55" s="1"/>
  <c r="D7" i="55" s="1"/>
  <c r="D8" i="55" s="1"/>
  <c r="D9" i="55" s="1"/>
  <c r="D10" i="55" s="1"/>
  <c r="D11" i="55" s="1"/>
  <c r="D12" i="55" s="1"/>
  <c r="D13" i="55" s="1"/>
  <c r="D14" i="55" s="1"/>
  <c r="D15" i="55" s="1"/>
  <c r="D16" i="55" s="1"/>
  <c r="D17" i="55" s="1"/>
  <c r="D18" i="55" s="1"/>
  <c r="D19" i="55" s="1"/>
  <c r="D20" i="55" s="1"/>
  <c r="D21" i="55" s="1"/>
  <c r="D22" i="55" s="1"/>
  <c r="D23" i="55" s="1"/>
  <c r="D24" i="55" s="1"/>
  <c r="D25" i="55" s="1"/>
  <c r="D26" i="55" s="1"/>
  <c r="D27" i="55" s="1"/>
  <c r="D28" i="55" s="1"/>
  <c r="D29" i="55" s="1"/>
  <c r="D30" i="55" s="1"/>
  <c r="D31" i="55" s="1"/>
  <c r="D32" i="55" s="1"/>
  <c r="D33" i="55" s="1"/>
  <c r="C5" i="55"/>
  <c r="C6" i="55" s="1"/>
  <c r="C7" i="55" s="1"/>
  <c r="C8" i="55" s="1"/>
  <c r="C9" i="55" s="1"/>
  <c r="C10" i="55" s="1"/>
  <c r="C11" i="55" s="1"/>
  <c r="C12" i="55" s="1"/>
  <c r="C13" i="55" s="1"/>
  <c r="C14" i="55" s="1"/>
  <c r="C15" i="55" s="1"/>
  <c r="C16" i="55" s="1"/>
  <c r="C17" i="55" s="1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F71" i="54"/>
  <c r="F70" i="54"/>
  <c r="F69" i="54"/>
  <c r="F68" i="54"/>
  <c r="F67" i="54"/>
  <c r="F66" i="54"/>
  <c r="F65" i="54"/>
  <c r="F64" i="54"/>
  <c r="F63" i="54"/>
  <c r="F62" i="54"/>
  <c r="F61" i="54"/>
  <c r="F60" i="54"/>
  <c r="F59" i="54"/>
  <c r="F58" i="54"/>
  <c r="F57" i="54"/>
  <c r="F56" i="54"/>
  <c r="F55" i="54"/>
  <c r="F54" i="54"/>
  <c r="F53" i="54"/>
  <c r="F52" i="54"/>
  <c r="F51" i="54"/>
  <c r="F50" i="54"/>
  <c r="F49" i="54"/>
  <c r="F48" i="54"/>
  <c r="F47" i="54"/>
  <c r="F46" i="54"/>
  <c r="F45" i="54"/>
  <c r="F44" i="54"/>
  <c r="F43" i="54"/>
  <c r="D43" i="54"/>
  <c r="D44" i="54" s="1"/>
  <c r="F42" i="54"/>
  <c r="D5" i="54"/>
  <c r="D6" i="54" s="1"/>
  <c r="D7" i="54" s="1"/>
  <c r="D8" i="54" s="1"/>
  <c r="D9" i="54" s="1"/>
  <c r="D10" i="54" s="1"/>
  <c r="D11" i="54" s="1"/>
  <c r="D12" i="54" s="1"/>
  <c r="D13" i="54" s="1"/>
  <c r="D14" i="54" s="1"/>
  <c r="D15" i="54" s="1"/>
  <c r="D16" i="54" s="1"/>
  <c r="D17" i="54" s="1"/>
  <c r="D18" i="54" s="1"/>
  <c r="D19" i="54" s="1"/>
  <c r="D20" i="54" s="1"/>
  <c r="D21" i="54" s="1"/>
  <c r="D22" i="54" s="1"/>
  <c r="D23" i="54" s="1"/>
  <c r="D24" i="54" s="1"/>
  <c r="D25" i="54" s="1"/>
  <c r="D26" i="54" s="1"/>
  <c r="D27" i="54" s="1"/>
  <c r="D28" i="54" s="1"/>
  <c r="D29" i="54" s="1"/>
  <c r="D30" i="54" s="1"/>
  <c r="D31" i="54" s="1"/>
  <c r="D32" i="54" s="1"/>
  <c r="D33" i="54" s="1"/>
  <c r="C5" i="54"/>
  <c r="C6" i="54" s="1"/>
  <c r="C7" i="54" s="1"/>
  <c r="C8" i="54" s="1"/>
  <c r="C9" i="54" s="1"/>
  <c r="C10" i="54" s="1"/>
  <c r="C11" i="54" s="1"/>
  <c r="C12" i="54" s="1"/>
  <c r="C13" i="54" s="1"/>
  <c r="C14" i="54" s="1"/>
  <c r="C15" i="54" s="1"/>
  <c r="C16" i="54" s="1"/>
  <c r="C17" i="54" s="1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F77" i="32"/>
  <c r="D47" i="32"/>
  <c r="D48" i="32" s="1"/>
  <c r="E46" i="32"/>
  <c r="C46" i="32" s="1"/>
  <c r="L34" i="32"/>
  <c r="D5" i="32"/>
  <c r="D6" i="32" s="1"/>
  <c r="D7" i="32" s="1"/>
  <c r="D8" i="32" s="1"/>
  <c r="D9" i="32" s="1"/>
  <c r="D10" i="32" s="1"/>
  <c r="D11" i="32" s="1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23" i="32" s="1"/>
  <c r="D24" i="32" s="1"/>
  <c r="D25" i="32" s="1"/>
  <c r="D26" i="32" s="1"/>
  <c r="D27" i="32" s="1"/>
  <c r="D28" i="32" s="1"/>
  <c r="D29" i="32" s="1"/>
  <c r="D30" i="32" s="1"/>
  <c r="D31" i="32" s="1"/>
  <c r="D32" i="32" s="1"/>
  <c r="D33" i="32" s="1"/>
  <c r="X33" i="47"/>
  <c r="V33" i="47"/>
  <c r="W33" i="47" s="1"/>
  <c r="X32" i="47"/>
  <c r="V32" i="47"/>
  <c r="W32" i="47" s="1"/>
  <c r="X31" i="47"/>
  <c r="V31" i="47"/>
  <c r="W31" i="47" s="1"/>
  <c r="X30" i="47"/>
  <c r="V30" i="47"/>
  <c r="W30" i="47" s="1"/>
  <c r="X29" i="47"/>
  <c r="V29" i="47"/>
  <c r="W29" i="47" s="1"/>
  <c r="X28" i="47"/>
  <c r="V28" i="47"/>
  <c r="W28" i="47" s="1"/>
  <c r="X27" i="47"/>
  <c r="V27" i="47"/>
  <c r="W27" i="47" s="1"/>
  <c r="X26" i="47"/>
  <c r="V26" i="47"/>
  <c r="W26" i="47" s="1"/>
  <c r="X25" i="47"/>
  <c r="V25" i="47"/>
  <c r="W25" i="47" s="1"/>
  <c r="X24" i="47"/>
  <c r="V24" i="47"/>
  <c r="W24" i="47" s="1"/>
  <c r="X23" i="47"/>
  <c r="V23" i="47"/>
  <c r="W23" i="47" s="1"/>
  <c r="X22" i="47"/>
  <c r="V22" i="47"/>
  <c r="W22" i="47" s="1"/>
  <c r="X21" i="47"/>
  <c r="V21" i="47"/>
  <c r="W21" i="47" s="1"/>
  <c r="X20" i="47"/>
  <c r="V20" i="47"/>
  <c r="W20" i="47" s="1"/>
  <c r="X19" i="47"/>
  <c r="V19" i="47"/>
  <c r="W19" i="47" s="1"/>
  <c r="X18" i="47"/>
  <c r="V18" i="47"/>
  <c r="W18" i="47" s="1"/>
  <c r="X17" i="47"/>
  <c r="V17" i="47"/>
  <c r="W17" i="47" s="1"/>
  <c r="X16" i="47"/>
  <c r="V16" i="47"/>
  <c r="W16" i="47" s="1"/>
  <c r="X15" i="47"/>
  <c r="V15" i="47"/>
  <c r="W15" i="47" s="1"/>
  <c r="X14" i="47"/>
  <c r="V14" i="47"/>
  <c r="W14" i="47" s="1"/>
  <c r="X13" i="47"/>
  <c r="V13" i="47"/>
  <c r="W13" i="47" s="1"/>
  <c r="X12" i="47"/>
  <c r="V12" i="47"/>
  <c r="W12" i="47" s="1"/>
  <c r="X11" i="47"/>
  <c r="V11" i="47"/>
  <c r="W11" i="47" s="1"/>
  <c r="X10" i="47"/>
  <c r="V10" i="47"/>
  <c r="W10" i="47" s="1"/>
  <c r="X9" i="47"/>
  <c r="V9" i="47"/>
  <c r="W9" i="47" s="1"/>
  <c r="X8" i="47"/>
  <c r="V8" i="47"/>
  <c r="W8" i="47" s="1"/>
  <c r="X7" i="47"/>
  <c r="W7" i="47"/>
  <c r="X6" i="47"/>
  <c r="W6" i="47"/>
  <c r="X5" i="47"/>
  <c r="W5" i="47"/>
  <c r="X4" i="47"/>
  <c r="W4" i="47"/>
  <c r="C17" i="29"/>
  <c r="E17" i="29" s="1"/>
  <c r="C18" i="60" s="1"/>
  <c r="E16" i="29"/>
  <c r="C17" i="60" s="1"/>
  <c r="E15" i="29"/>
  <c r="C16" i="60" s="1"/>
  <c r="E14" i="29"/>
  <c r="C15" i="60" s="1"/>
  <c r="E13" i="29"/>
  <c r="C14" i="60" s="1"/>
  <c r="E12" i="29"/>
  <c r="C13" i="60" s="1"/>
  <c r="E11" i="29"/>
  <c r="E10" i="29"/>
  <c r="C11" i="60" s="1"/>
  <c r="E9" i="29"/>
  <c r="C10" i="60" s="1"/>
  <c r="E8" i="29"/>
  <c r="C9" i="60" s="1"/>
  <c r="F8" i="29"/>
  <c r="E7" i="29"/>
  <c r="C8" i="60" s="1"/>
  <c r="I6" i="29"/>
  <c r="H6" i="29"/>
  <c r="H7" i="60" s="1"/>
  <c r="E6" i="29"/>
  <c r="C7" i="60" s="1"/>
  <c r="I5" i="29"/>
  <c r="H5" i="29"/>
  <c r="E5" i="29"/>
  <c r="C6" i="60" s="1"/>
  <c r="I4" i="29"/>
  <c r="H4" i="29"/>
  <c r="H5" i="60" s="1"/>
  <c r="E4" i="29"/>
  <c r="C5" i="60" s="1"/>
  <c r="M2" i="29"/>
  <c r="I35" i="51"/>
  <c r="H35" i="51"/>
  <c r="E35" i="51"/>
  <c r="C35" i="51"/>
  <c r="U33" i="51"/>
  <c r="T33" i="51"/>
  <c r="F33" i="51"/>
  <c r="D33" i="51"/>
  <c r="U32" i="51"/>
  <c r="T32" i="51"/>
  <c r="F32" i="51"/>
  <c r="D32" i="51"/>
  <c r="U31" i="51"/>
  <c r="T31" i="51"/>
  <c r="F31" i="51"/>
  <c r="D31" i="51"/>
  <c r="U30" i="51"/>
  <c r="T30" i="51"/>
  <c r="F30" i="51"/>
  <c r="D30" i="51"/>
  <c r="U29" i="51"/>
  <c r="T29" i="51"/>
  <c r="F29" i="51"/>
  <c r="D29" i="51"/>
  <c r="U28" i="51"/>
  <c r="T28" i="51"/>
  <c r="F28" i="51"/>
  <c r="D28" i="51"/>
  <c r="U27" i="51"/>
  <c r="T27" i="51"/>
  <c r="F27" i="51"/>
  <c r="D27" i="51"/>
  <c r="U26" i="51"/>
  <c r="T26" i="51"/>
  <c r="F26" i="51"/>
  <c r="D26" i="51"/>
  <c r="U25" i="51"/>
  <c r="T25" i="51"/>
  <c r="F25" i="51"/>
  <c r="D25" i="51"/>
  <c r="U24" i="51"/>
  <c r="T24" i="51"/>
  <c r="F24" i="51"/>
  <c r="D24" i="51"/>
  <c r="U23" i="51"/>
  <c r="T23" i="51"/>
  <c r="F23" i="51"/>
  <c r="D23" i="51"/>
  <c r="U22" i="51"/>
  <c r="T22" i="51"/>
  <c r="F22" i="51"/>
  <c r="D22" i="51"/>
  <c r="U21" i="51"/>
  <c r="T21" i="51"/>
  <c r="F21" i="51"/>
  <c r="D21" i="51"/>
  <c r="U20" i="51"/>
  <c r="T20" i="51"/>
  <c r="F20" i="51"/>
  <c r="D20" i="51"/>
  <c r="U19" i="51"/>
  <c r="T19" i="51"/>
  <c r="F19" i="51"/>
  <c r="D19" i="51"/>
  <c r="U18" i="51"/>
  <c r="T18" i="51"/>
  <c r="F18" i="51"/>
  <c r="D18" i="51"/>
  <c r="U17" i="51"/>
  <c r="T17" i="51"/>
  <c r="F17" i="51"/>
  <c r="D17" i="51"/>
  <c r="U16" i="51"/>
  <c r="T16" i="51"/>
  <c r="F16" i="51"/>
  <c r="D16" i="51"/>
  <c r="U15" i="51"/>
  <c r="T15" i="51"/>
  <c r="F15" i="51"/>
  <c r="D15" i="51"/>
  <c r="U14" i="51"/>
  <c r="T14" i="51"/>
  <c r="F14" i="51"/>
  <c r="D14" i="51"/>
  <c r="U13" i="51"/>
  <c r="T13" i="51"/>
  <c r="F13" i="51"/>
  <c r="D13" i="51"/>
  <c r="U12" i="51"/>
  <c r="T12" i="51"/>
  <c r="F12" i="51"/>
  <c r="D12" i="51"/>
  <c r="U11" i="51"/>
  <c r="T11" i="51"/>
  <c r="F11" i="51"/>
  <c r="D11" i="51"/>
  <c r="U10" i="51"/>
  <c r="T10" i="51"/>
  <c r="F10" i="51"/>
  <c r="D10" i="51"/>
  <c r="U9" i="51"/>
  <c r="T9" i="51"/>
  <c r="F9" i="51"/>
  <c r="D9" i="51"/>
  <c r="U8" i="51"/>
  <c r="T8" i="51"/>
  <c r="F8" i="51"/>
  <c r="D8" i="51"/>
  <c r="U7" i="51"/>
  <c r="T7" i="51"/>
  <c r="F7" i="51"/>
  <c r="D7" i="51"/>
  <c r="U6" i="51"/>
  <c r="T6" i="51"/>
  <c r="F6" i="51"/>
  <c r="D6" i="51"/>
  <c r="U5" i="51"/>
  <c r="T5" i="51"/>
  <c r="F5" i="51"/>
  <c r="D5" i="51"/>
  <c r="U4" i="51"/>
  <c r="T4" i="51"/>
  <c r="F4" i="51"/>
  <c r="D4" i="51"/>
  <c r="AE38" i="27"/>
  <c r="C35" i="27"/>
  <c r="AA34" i="27"/>
  <c r="Q34" i="27"/>
  <c r="N33" i="27"/>
  <c r="E33" i="27"/>
  <c r="F33" i="27" s="1"/>
  <c r="D33" i="27"/>
  <c r="N32" i="27"/>
  <c r="E32" i="27"/>
  <c r="F32" i="27" s="1"/>
  <c r="D32" i="27"/>
  <c r="N31" i="27"/>
  <c r="E31" i="27"/>
  <c r="F31" i="27" s="1"/>
  <c r="D31" i="27"/>
  <c r="N30" i="27"/>
  <c r="E30" i="27"/>
  <c r="F30" i="27" s="1"/>
  <c r="D30" i="27"/>
  <c r="N29" i="27"/>
  <c r="E29" i="27"/>
  <c r="F29" i="27" s="1"/>
  <c r="D29" i="27"/>
  <c r="N28" i="27"/>
  <c r="E28" i="27"/>
  <c r="F28" i="27" s="1"/>
  <c r="D28" i="27"/>
  <c r="N27" i="27"/>
  <c r="E27" i="27"/>
  <c r="F27" i="27" s="1"/>
  <c r="D27" i="27"/>
  <c r="N26" i="27"/>
  <c r="E26" i="27"/>
  <c r="F26" i="27" s="1"/>
  <c r="D26" i="27"/>
  <c r="N25" i="27"/>
  <c r="E25" i="27"/>
  <c r="F25" i="27" s="1"/>
  <c r="D25" i="27"/>
  <c r="N24" i="27"/>
  <c r="E24" i="27"/>
  <c r="F24" i="27" s="1"/>
  <c r="D24" i="27"/>
  <c r="N23" i="27"/>
  <c r="E23" i="27"/>
  <c r="F23" i="27" s="1"/>
  <c r="D23" i="27"/>
  <c r="N22" i="27"/>
  <c r="E22" i="27"/>
  <c r="F22" i="27" s="1"/>
  <c r="D22" i="27"/>
  <c r="N21" i="27"/>
  <c r="E21" i="27"/>
  <c r="F21" i="27" s="1"/>
  <c r="D21" i="27"/>
  <c r="N20" i="27"/>
  <c r="E20" i="27"/>
  <c r="F20" i="27" s="1"/>
  <c r="D20" i="27"/>
  <c r="N19" i="27"/>
  <c r="E19" i="27"/>
  <c r="F19" i="27" s="1"/>
  <c r="D19" i="27"/>
  <c r="N18" i="27"/>
  <c r="E18" i="27"/>
  <c r="F18" i="27" s="1"/>
  <c r="D18" i="27"/>
  <c r="N17" i="27"/>
  <c r="E17" i="27"/>
  <c r="F17" i="27" s="1"/>
  <c r="D17" i="27"/>
  <c r="N16" i="27"/>
  <c r="E16" i="27"/>
  <c r="F16" i="27" s="1"/>
  <c r="D16" i="27"/>
  <c r="N15" i="27"/>
  <c r="E15" i="27"/>
  <c r="F15" i="27" s="1"/>
  <c r="D15" i="27"/>
  <c r="N14" i="27"/>
  <c r="E14" i="27"/>
  <c r="F14" i="27" s="1"/>
  <c r="D14" i="27"/>
  <c r="N13" i="27"/>
  <c r="E13" i="27"/>
  <c r="F13" i="27" s="1"/>
  <c r="D13" i="27"/>
  <c r="O12" i="27"/>
  <c r="O13" i="27" s="1"/>
  <c r="O14" i="27" s="1"/>
  <c r="O15" i="27" s="1"/>
  <c r="O16" i="27" s="1"/>
  <c r="O17" i="27" s="1"/>
  <c r="O18" i="27" s="1"/>
  <c r="O19" i="27" s="1"/>
  <c r="O20" i="27" s="1"/>
  <c r="O21" i="27" s="1"/>
  <c r="O22" i="27" s="1"/>
  <c r="O23" i="27" s="1"/>
  <c r="O24" i="27" s="1"/>
  <c r="O25" i="27" s="1"/>
  <c r="O26" i="27" s="1"/>
  <c r="O27" i="27" s="1"/>
  <c r="O28" i="27" s="1"/>
  <c r="O29" i="27" s="1"/>
  <c r="O30" i="27" s="1"/>
  <c r="O31" i="27" s="1"/>
  <c r="O32" i="27" s="1"/>
  <c r="O33" i="27" s="1"/>
  <c r="N12" i="27"/>
  <c r="E12" i="27"/>
  <c r="F12" i="27" s="1"/>
  <c r="D12" i="27"/>
  <c r="N11" i="27"/>
  <c r="P11" i="27" s="1"/>
  <c r="E11" i="27"/>
  <c r="F11" i="27" s="1"/>
  <c r="D11" i="27"/>
  <c r="N10" i="27"/>
  <c r="P10" i="27" s="1"/>
  <c r="E10" i="27"/>
  <c r="F10" i="27" s="1"/>
  <c r="D10" i="27"/>
  <c r="N9" i="27"/>
  <c r="P9" i="27" s="1"/>
  <c r="E9" i="27"/>
  <c r="F9" i="27" s="1"/>
  <c r="D9" i="27"/>
  <c r="N8" i="27"/>
  <c r="P8" i="27" s="1"/>
  <c r="E8" i="27"/>
  <c r="F8" i="27" s="1"/>
  <c r="D8" i="27"/>
  <c r="N7" i="27"/>
  <c r="P7" i="27" s="1"/>
  <c r="E7" i="27"/>
  <c r="D7" i="27"/>
  <c r="N6" i="27"/>
  <c r="P6" i="27" s="1"/>
  <c r="F6" i="27"/>
  <c r="D6" i="27"/>
  <c r="N5" i="27"/>
  <c r="P5" i="27" s="1"/>
  <c r="F5" i="27"/>
  <c r="AA4" i="27"/>
  <c r="X5" i="27" s="1"/>
  <c r="W5" i="27" s="1"/>
  <c r="Y5" i="27" s="1"/>
  <c r="W4" i="27"/>
  <c r="N4" i="27"/>
  <c r="P4" i="27" s="1"/>
  <c r="D4" i="27"/>
  <c r="P34" i="42"/>
  <c r="P33" i="42"/>
  <c r="P32" i="42"/>
  <c r="P31" i="42"/>
  <c r="P30" i="42"/>
  <c r="P29" i="42"/>
  <c r="P28" i="42"/>
  <c r="P27" i="42"/>
  <c r="P26" i="42"/>
  <c r="P25" i="42"/>
  <c r="P24" i="42"/>
  <c r="P23" i="42"/>
  <c r="P22" i="42"/>
  <c r="P21" i="42"/>
  <c r="P20" i="42"/>
  <c r="P19" i="42"/>
  <c r="P18" i="42"/>
  <c r="M18" i="42"/>
  <c r="M19" i="42" s="1"/>
  <c r="M20" i="42" s="1"/>
  <c r="M21" i="42" s="1"/>
  <c r="M22" i="42" s="1"/>
  <c r="M23" i="42" s="1"/>
  <c r="M24" i="42" s="1"/>
  <c r="M25" i="42" s="1"/>
  <c r="M26" i="42" s="1"/>
  <c r="M27" i="42" s="1"/>
  <c r="M28" i="42" s="1"/>
  <c r="M29" i="42" s="1"/>
  <c r="M30" i="42" s="1"/>
  <c r="M31" i="42" s="1"/>
  <c r="M32" i="42" s="1"/>
  <c r="M33" i="42" s="1"/>
  <c r="M34" i="42" s="1"/>
  <c r="P17" i="42"/>
  <c r="P16" i="42"/>
  <c r="P15" i="42"/>
  <c r="P14" i="42"/>
  <c r="P13" i="42"/>
  <c r="P12" i="42"/>
  <c r="P11" i="42"/>
  <c r="P10" i="42"/>
  <c r="P9" i="42"/>
  <c r="P8" i="42"/>
  <c r="P7" i="42"/>
  <c r="P6" i="42"/>
  <c r="F6" i="42"/>
  <c r="F7" i="42" s="1"/>
  <c r="F8" i="42" s="1"/>
  <c r="F9" i="42" s="1"/>
  <c r="F10" i="42" s="1"/>
  <c r="F11" i="42" s="1"/>
  <c r="F12" i="42" s="1"/>
  <c r="F13" i="42" s="1"/>
  <c r="F14" i="42" s="1"/>
  <c r="F15" i="42" s="1"/>
  <c r="F16" i="42" s="1"/>
  <c r="F17" i="42" s="1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  <c r="F30" i="42" s="1"/>
  <c r="F31" i="42" s="1"/>
  <c r="F32" i="42" s="1"/>
  <c r="F33" i="42" s="1"/>
  <c r="F34" i="42" s="1"/>
  <c r="P5" i="42"/>
  <c r="O1" i="42"/>
  <c r="M1" i="42" s="1"/>
  <c r="E33" i="19"/>
  <c r="D34" i="53" s="1"/>
  <c r="D33" i="19"/>
  <c r="E34" i="42" s="1"/>
  <c r="E32" i="19"/>
  <c r="D33" i="53" s="1"/>
  <c r="D32" i="19"/>
  <c r="D33" i="42" s="1"/>
  <c r="E31" i="19"/>
  <c r="D32" i="53" s="1"/>
  <c r="D31" i="19"/>
  <c r="E30" i="19"/>
  <c r="D31" i="53" s="1"/>
  <c r="D30" i="19"/>
  <c r="D31" i="42" s="1"/>
  <c r="E29" i="19"/>
  <c r="D30" i="53" s="1"/>
  <c r="D29" i="19"/>
  <c r="E30" i="42" s="1"/>
  <c r="E28" i="19"/>
  <c r="F28" i="19" s="1"/>
  <c r="D28" i="19"/>
  <c r="D29" i="42" s="1"/>
  <c r="E27" i="19"/>
  <c r="D28" i="53" s="1"/>
  <c r="D27" i="19"/>
  <c r="E26" i="19"/>
  <c r="D27" i="53" s="1"/>
  <c r="D26" i="19"/>
  <c r="D27" i="42" s="1"/>
  <c r="E25" i="19"/>
  <c r="D26" i="53" s="1"/>
  <c r="D25" i="19"/>
  <c r="E26" i="42" s="1"/>
  <c r="E24" i="19"/>
  <c r="D25" i="53" s="1"/>
  <c r="D24" i="19"/>
  <c r="D25" i="42" s="1"/>
  <c r="E23" i="19"/>
  <c r="D24" i="53" s="1"/>
  <c r="D23" i="19"/>
  <c r="N24" i="42" s="1"/>
  <c r="E22" i="19"/>
  <c r="D23" i="53" s="1"/>
  <c r="D22" i="19"/>
  <c r="D23" i="42" s="1"/>
  <c r="E21" i="19"/>
  <c r="D22" i="53" s="1"/>
  <c r="D21" i="19"/>
  <c r="E22" i="42" s="1"/>
  <c r="E20" i="19"/>
  <c r="D21" i="53" s="1"/>
  <c r="D20" i="19"/>
  <c r="D21" i="42" s="1"/>
  <c r="E19" i="19"/>
  <c r="D20" i="53" s="1"/>
  <c r="D19" i="19"/>
  <c r="E18" i="19"/>
  <c r="D19" i="53" s="1"/>
  <c r="D18" i="19"/>
  <c r="D19" i="42" s="1"/>
  <c r="E17" i="19"/>
  <c r="D18" i="53" s="1"/>
  <c r="D17" i="19"/>
  <c r="E18" i="42" s="1"/>
  <c r="E16" i="19"/>
  <c r="D17" i="53" s="1"/>
  <c r="D16" i="19"/>
  <c r="E15" i="19"/>
  <c r="D16" i="53" s="1"/>
  <c r="D15" i="19"/>
  <c r="E14" i="19"/>
  <c r="D15" i="53" s="1"/>
  <c r="D14" i="19"/>
  <c r="E15" i="42" s="1"/>
  <c r="E13" i="19"/>
  <c r="D14" i="53" s="1"/>
  <c r="D13" i="19"/>
  <c r="N14" i="42" s="1"/>
  <c r="G12" i="19"/>
  <c r="G13" i="19" s="1"/>
  <c r="G14" i="19" s="1"/>
  <c r="G15" i="19" s="1"/>
  <c r="G16" i="19" s="1"/>
  <c r="E12" i="19"/>
  <c r="D13" i="53" s="1"/>
  <c r="D12" i="19"/>
  <c r="E11" i="19"/>
  <c r="D12" i="53" s="1"/>
  <c r="D11" i="19"/>
  <c r="D12" i="42" s="1"/>
  <c r="E10" i="19"/>
  <c r="D11" i="53" s="1"/>
  <c r="D10" i="19"/>
  <c r="E11" i="42" s="1"/>
  <c r="E9" i="19"/>
  <c r="D10" i="53" s="1"/>
  <c r="D9" i="19"/>
  <c r="N10" i="42" s="1"/>
  <c r="E8" i="19"/>
  <c r="D9" i="53" s="1"/>
  <c r="D8" i="19"/>
  <c r="C9" i="42" s="1"/>
  <c r="E7" i="19"/>
  <c r="D8" i="53" s="1"/>
  <c r="D7" i="19"/>
  <c r="D8" i="42" s="1"/>
  <c r="E6" i="19"/>
  <c r="D7" i="53" s="1"/>
  <c r="D6" i="19"/>
  <c r="E7" i="42" s="1"/>
  <c r="E5" i="19"/>
  <c r="D6" i="53" s="1"/>
  <c r="D5" i="19"/>
  <c r="N6" i="42" s="1"/>
  <c r="E4" i="19"/>
  <c r="D5" i="53" s="1"/>
  <c r="D4" i="19"/>
  <c r="D5" i="42" s="1"/>
  <c r="C33" i="21"/>
  <c r="D33" i="21" s="1"/>
  <c r="E33" i="21" s="1"/>
  <c r="I32" i="21"/>
  <c r="F32" i="21"/>
  <c r="C32" i="21"/>
  <c r="L33" i="57" s="1"/>
  <c r="L34" i="57" s="1"/>
  <c r="I31" i="21"/>
  <c r="F31" i="21"/>
  <c r="C31" i="21"/>
  <c r="L32" i="57" s="1"/>
  <c r="I30" i="21"/>
  <c r="F30" i="21"/>
  <c r="C30" i="21"/>
  <c r="L31" i="57" s="1"/>
  <c r="I29" i="21"/>
  <c r="F29" i="21"/>
  <c r="C29" i="21"/>
  <c r="L30" i="57" s="1"/>
  <c r="I28" i="21"/>
  <c r="F28" i="21"/>
  <c r="C28" i="21"/>
  <c r="L29" i="57" s="1"/>
  <c r="I27" i="21"/>
  <c r="F27" i="21"/>
  <c r="C27" i="21"/>
  <c r="L28" i="57" s="1"/>
  <c r="I26" i="21"/>
  <c r="F26" i="21"/>
  <c r="C26" i="21"/>
  <c r="L27" i="57" s="1"/>
  <c r="I25" i="21"/>
  <c r="F25" i="21"/>
  <c r="C25" i="21"/>
  <c r="L26" i="57" s="1"/>
  <c r="I24" i="21"/>
  <c r="F24" i="21"/>
  <c r="C24" i="21"/>
  <c r="L25" i="57" s="1"/>
  <c r="I23" i="21"/>
  <c r="F23" i="21"/>
  <c r="C23" i="21"/>
  <c r="L24" i="57" s="1"/>
  <c r="I22" i="21"/>
  <c r="F22" i="21"/>
  <c r="C22" i="21"/>
  <c r="L23" i="57" s="1"/>
  <c r="I21" i="21"/>
  <c r="F21" i="21"/>
  <c r="C21" i="21"/>
  <c r="L22" i="57" s="1"/>
  <c r="I20" i="21"/>
  <c r="F20" i="21"/>
  <c r="C20" i="21"/>
  <c r="L21" i="57" s="1"/>
  <c r="I19" i="21"/>
  <c r="F19" i="21"/>
  <c r="C19" i="21"/>
  <c r="L20" i="57" s="1"/>
  <c r="I18" i="21"/>
  <c r="F18" i="21"/>
  <c r="C18" i="21"/>
  <c r="L19" i="57" s="1"/>
  <c r="I17" i="21"/>
  <c r="F17" i="21"/>
  <c r="C17" i="21"/>
  <c r="L18" i="57" s="1"/>
  <c r="I16" i="21"/>
  <c r="F16" i="21"/>
  <c r="C16" i="21"/>
  <c r="L17" i="57" s="1"/>
  <c r="F15" i="21"/>
  <c r="C15" i="21"/>
  <c r="L16" i="57" s="1"/>
  <c r="C14" i="21"/>
  <c r="E14" i="21" s="1"/>
  <c r="C13" i="21"/>
  <c r="E13" i="21" s="1"/>
  <c r="C12" i="21"/>
  <c r="D12" i="21" s="1"/>
  <c r="C11" i="21"/>
  <c r="E11" i="21" s="1"/>
  <c r="C10" i="21"/>
  <c r="E10" i="21" s="1"/>
  <c r="C9" i="21"/>
  <c r="E9" i="21" s="1"/>
  <c r="C8" i="21"/>
  <c r="E8" i="21" s="1"/>
  <c r="C7" i="21"/>
  <c r="E7" i="21" s="1"/>
  <c r="C6" i="21"/>
  <c r="E6" i="21" s="1"/>
  <c r="C5" i="21"/>
  <c r="E5" i="21" s="1"/>
  <c r="C4" i="21"/>
  <c r="E4" i="21" s="1"/>
  <c r="I34" i="20"/>
  <c r="K34" i="20" s="1"/>
  <c r="I33" i="20"/>
  <c r="K33" i="20" s="1"/>
  <c r="I32" i="20"/>
  <c r="K32" i="20" s="1"/>
  <c r="I31" i="20"/>
  <c r="K31" i="20" s="1"/>
  <c r="I30" i="20"/>
  <c r="K30" i="20" s="1"/>
  <c r="I29" i="20"/>
  <c r="K29" i="20" s="1"/>
  <c r="I28" i="20"/>
  <c r="K28" i="20" s="1"/>
  <c r="I27" i="20"/>
  <c r="K27" i="20" s="1"/>
  <c r="I26" i="20"/>
  <c r="K26" i="20" s="1"/>
  <c r="I25" i="20"/>
  <c r="K25" i="20" s="1"/>
  <c r="I24" i="20"/>
  <c r="K24" i="20" s="1"/>
  <c r="I23" i="20"/>
  <c r="K23" i="20" s="1"/>
  <c r="I22" i="20"/>
  <c r="K22" i="20" s="1"/>
  <c r="I21" i="20"/>
  <c r="K21" i="20" s="1"/>
  <c r="I20" i="20"/>
  <c r="K20" i="20" s="1"/>
  <c r="I19" i="20"/>
  <c r="K19" i="20" s="1"/>
  <c r="I18" i="20"/>
  <c r="K18" i="20" s="1"/>
  <c r="I17" i="20"/>
  <c r="K17" i="20" s="1"/>
  <c r="I16" i="20"/>
  <c r="K16" i="20" s="1"/>
  <c r="I15" i="20"/>
  <c r="K15" i="20" s="1"/>
  <c r="I14" i="20"/>
  <c r="K14" i="20" s="1"/>
  <c r="I13" i="20"/>
  <c r="K13" i="20" s="1"/>
  <c r="I12" i="20"/>
  <c r="K12" i="20" s="1"/>
  <c r="I11" i="20"/>
  <c r="K11" i="20" s="1"/>
  <c r="I10" i="20"/>
  <c r="K10" i="20" s="1"/>
  <c r="I9" i="20"/>
  <c r="K9" i="20" s="1"/>
  <c r="I8" i="20"/>
  <c r="I7" i="20"/>
  <c r="I6" i="20"/>
  <c r="I5" i="20"/>
  <c r="J35" i="66" l="1"/>
  <c r="D13" i="21"/>
  <c r="F5" i="19"/>
  <c r="K6" i="57" s="1"/>
  <c r="Q6" i="57" s="1"/>
  <c r="R6" i="57" s="1"/>
  <c r="P12" i="27"/>
  <c r="F35" i="51"/>
  <c r="Y31" i="47"/>
  <c r="D32" i="60" s="1"/>
  <c r="AD17" i="82" s="1"/>
  <c r="D4" i="21"/>
  <c r="D5" i="21"/>
  <c r="F9" i="19"/>
  <c r="K10" i="57" s="1"/>
  <c r="Y10" i="57" s="1"/>
  <c r="F20" i="19"/>
  <c r="K21" i="57" s="1"/>
  <c r="Y21" i="57" s="1"/>
  <c r="D10" i="65"/>
  <c r="D9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F7" i="19"/>
  <c r="K8" i="57" s="1"/>
  <c r="Q8" i="57" s="1"/>
  <c r="R8" i="57" s="1"/>
  <c r="F11" i="19"/>
  <c r="K12" i="57" s="1"/>
  <c r="Y12" i="57" s="1"/>
  <c r="F15" i="19"/>
  <c r="K16" i="57" s="1"/>
  <c r="Y16" i="57" s="1"/>
  <c r="F23" i="19"/>
  <c r="K24" i="57" s="1"/>
  <c r="Y24" i="57" s="1"/>
  <c r="F73" i="54"/>
  <c r="E43" i="54"/>
  <c r="C43" i="54" s="1"/>
  <c r="O14" i="57"/>
  <c r="T14" i="57" s="1"/>
  <c r="O16" i="57"/>
  <c r="T16" i="57" s="1"/>
  <c r="O18" i="57"/>
  <c r="T18" i="57" s="1"/>
  <c r="O20" i="57"/>
  <c r="T20" i="57" s="1"/>
  <c r="O22" i="57"/>
  <c r="T22" i="57" s="1"/>
  <c r="O24" i="57"/>
  <c r="T24" i="57" s="1"/>
  <c r="O26" i="57"/>
  <c r="T26" i="57" s="1"/>
  <c r="O28" i="57"/>
  <c r="T28" i="57" s="1"/>
  <c r="O30" i="57"/>
  <c r="T30" i="57" s="1"/>
  <c r="O32" i="57"/>
  <c r="T32" i="57" s="1"/>
  <c r="O34" i="57"/>
  <c r="T34" i="57" s="1"/>
  <c r="O13" i="57"/>
  <c r="T13" i="57" s="1"/>
  <c r="O15" i="57"/>
  <c r="T15" i="57" s="1"/>
  <c r="O17" i="57"/>
  <c r="T17" i="57" s="1"/>
  <c r="O19" i="57"/>
  <c r="T19" i="57" s="1"/>
  <c r="O21" i="57"/>
  <c r="T21" i="57" s="1"/>
  <c r="O23" i="57"/>
  <c r="T23" i="57" s="1"/>
  <c r="O25" i="57"/>
  <c r="T25" i="57" s="1"/>
  <c r="O27" i="57"/>
  <c r="T27" i="57" s="1"/>
  <c r="O29" i="57"/>
  <c r="T29" i="57" s="1"/>
  <c r="O31" i="57"/>
  <c r="T31" i="57" s="1"/>
  <c r="O33" i="57"/>
  <c r="T33" i="57" s="1"/>
  <c r="O12" i="57"/>
  <c r="T12" i="57" s="1"/>
  <c r="J63" i="66"/>
  <c r="O11" i="57"/>
  <c r="T11" i="57" s="1"/>
  <c r="O9" i="57"/>
  <c r="T9" i="57" s="1"/>
  <c r="O10" i="57"/>
  <c r="T10" i="57" s="1"/>
  <c r="Y13" i="47"/>
  <c r="Y21" i="47"/>
  <c r="D22" i="60" s="1"/>
  <c r="T17" i="82" s="1"/>
  <c r="Y29" i="47"/>
  <c r="D30" i="60" s="1"/>
  <c r="AB17" i="82" s="1"/>
  <c r="Y4" i="47"/>
  <c r="D5" i="60" s="1"/>
  <c r="C17" i="82" s="1"/>
  <c r="Y6" i="47"/>
  <c r="D7" i="60" s="1"/>
  <c r="E17" i="82" s="1"/>
  <c r="Y9" i="47"/>
  <c r="D10" i="60" s="1"/>
  <c r="H17" i="82" s="1"/>
  <c r="Y17" i="47"/>
  <c r="D18" i="60" s="1"/>
  <c r="P17" i="82" s="1"/>
  <c r="Y25" i="47"/>
  <c r="D26" i="60" s="1"/>
  <c r="X17" i="82" s="1"/>
  <c r="Y33" i="47"/>
  <c r="D34" i="60" s="1"/>
  <c r="AF17" i="82" s="1"/>
  <c r="AF16" i="82" s="1"/>
  <c r="D14" i="60"/>
  <c r="L17" i="82" s="1"/>
  <c r="Y5" i="47"/>
  <c r="D6" i="60" s="1"/>
  <c r="D17" i="82" s="1"/>
  <c r="Y7" i="47"/>
  <c r="Y8" i="47"/>
  <c r="D9" i="60" s="1"/>
  <c r="G17" i="82" s="1"/>
  <c r="Y11" i="47"/>
  <c r="D12" i="60" s="1"/>
  <c r="J17" i="82" s="1"/>
  <c r="Y12" i="47"/>
  <c r="D13" i="60" s="1"/>
  <c r="K17" i="82" s="1"/>
  <c r="Y15" i="47"/>
  <c r="D16" i="60" s="1"/>
  <c r="N17" i="82" s="1"/>
  <c r="Y16" i="47"/>
  <c r="D17" i="60" s="1"/>
  <c r="O17" i="82" s="1"/>
  <c r="Y19" i="47"/>
  <c r="D20" i="60" s="1"/>
  <c r="R17" i="82" s="1"/>
  <c r="Y20" i="47"/>
  <c r="D21" i="60" s="1"/>
  <c r="S17" i="82" s="1"/>
  <c r="Y23" i="47"/>
  <c r="D24" i="60" s="1"/>
  <c r="V17" i="82" s="1"/>
  <c r="Y24" i="47"/>
  <c r="D25" i="60" s="1"/>
  <c r="W17" i="82" s="1"/>
  <c r="Y27" i="47"/>
  <c r="D28" i="60" s="1"/>
  <c r="Z17" i="82" s="1"/>
  <c r="Y28" i="47"/>
  <c r="D29" i="60" s="1"/>
  <c r="AA17" i="82" s="1"/>
  <c r="Y32" i="47"/>
  <c r="AA32" i="47" s="1"/>
  <c r="D7" i="21"/>
  <c r="D11" i="21"/>
  <c r="D15" i="21"/>
  <c r="F4" i="19"/>
  <c r="K5" i="57" s="1"/>
  <c r="F6" i="19"/>
  <c r="K7" i="57" s="1"/>
  <c r="Y7" i="57" s="1"/>
  <c r="F8" i="19"/>
  <c r="K9" i="57" s="1"/>
  <c r="F10" i="19"/>
  <c r="K11" i="57" s="1"/>
  <c r="Y11" i="57" s="1"/>
  <c r="C13" i="42"/>
  <c r="F12" i="19"/>
  <c r="K13" i="57" s="1"/>
  <c r="Y13" i="57" s="1"/>
  <c r="C13" i="19"/>
  <c r="K13" i="55" s="1"/>
  <c r="E13" i="55" s="1"/>
  <c r="F13" i="55" s="1"/>
  <c r="F14" i="19"/>
  <c r="K15" i="57" s="1"/>
  <c r="Y15" i="57" s="1"/>
  <c r="F17" i="19"/>
  <c r="K18" i="57" s="1"/>
  <c r="M18" i="57" s="1"/>
  <c r="AA18" i="57" s="1"/>
  <c r="F22" i="19"/>
  <c r="K23" i="57" s="1"/>
  <c r="Y23" i="57" s="1"/>
  <c r="F25" i="19"/>
  <c r="K26" i="57" s="1"/>
  <c r="Y26" i="57" s="1"/>
  <c r="P33" i="27"/>
  <c r="Y10" i="47"/>
  <c r="D11" i="60" s="1"/>
  <c r="I17" i="82" s="1"/>
  <c r="Y14" i="47"/>
  <c r="AA14" i="47" s="1"/>
  <c r="Y18" i="47"/>
  <c r="D19" i="60" s="1"/>
  <c r="Q17" i="82" s="1"/>
  <c r="Y22" i="47"/>
  <c r="D23" i="60" s="1"/>
  <c r="U17" i="82" s="1"/>
  <c r="Y26" i="47"/>
  <c r="D27" i="60" s="1"/>
  <c r="Y17" i="82" s="1"/>
  <c r="Y30" i="47"/>
  <c r="AA30" i="47" s="1"/>
  <c r="E42" i="54"/>
  <c r="C42" i="54" s="1"/>
  <c r="AB35" i="57"/>
  <c r="AD36" i="57" s="1"/>
  <c r="Z36" i="57"/>
  <c r="N36" i="60"/>
  <c r="C18" i="29"/>
  <c r="C19" i="29" s="1"/>
  <c r="L8" i="57"/>
  <c r="F7" i="21"/>
  <c r="I7" i="21"/>
  <c r="L12" i="57"/>
  <c r="I11" i="21"/>
  <c r="F11" i="21"/>
  <c r="F33" i="21"/>
  <c r="I33" i="21"/>
  <c r="C16" i="19"/>
  <c r="K16" i="54" s="1"/>
  <c r="E16" i="54" s="1"/>
  <c r="F16" i="54" s="1"/>
  <c r="G17" i="19"/>
  <c r="G18" i="19" s="1"/>
  <c r="P13" i="27"/>
  <c r="P15" i="27"/>
  <c r="P17" i="27"/>
  <c r="P19" i="27"/>
  <c r="P21" i="27"/>
  <c r="P23" i="27"/>
  <c r="P25" i="27"/>
  <c r="P27" i="27"/>
  <c r="P29" i="27"/>
  <c r="P31" i="27"/>
  <c r="L9" i="57"/>
  <c r="F8" i="21"/>
  <c r="I8" i="21"/>
  <c r="L5" i="57"/>
  <c r="F4" i="21"/>
  <c r="L6" i="57"/>
  <c r="F5" i="21"/>
  <c r="I5" i="21"/>
  <c r="L7" i="57"/>
  <c r="F6" i="21"/>
  <c r="I6" i="21"/>
  <c r="L10" i="57"/>
  <c r="I9" i="21"/>
  <c r="F9" i="21"/>
  <c r="L11" i="57"/>
  <c r="F10" i="21"/>
  <c r="I10" i="21"/>
  <c r="L14" i="57"/>
  <c r="F13" i="21"/>
  <c r="L15" i="57"/>
  <c r="I15" i="21"/>
  <c r="F14" i="21"/>
  <c r="I14" i="21"/>
  <c r="K29" i="57"/>
  <c r="Y29" i="57" s="1"/>
  <c r="F29" i="53"/>
  <c r="P14" i="27"/>
  <c r="P16" i="27"/>
  <c r="P18" i="27"/>
  <c r="P20" i="27"/>
  <c r="P22" i="27"/>
  <c r="P24" i="27"/>
  <c r="P26" i="27"/>
  <c r="P28" i="27"/>
  <c r="P30" i="27"/>
  <c r="P32" i="27"/>
  <c r="E12" i="21"/>
  <c r="D6" i="21"/>
  <c r="D8" i="21"/>
  <c r="D10" i="21"/>
  <c r="D14" i="21"/>
  <c r="C4" i="19"/>
  <c r="K4" i="55" s="1"/>
  <c r="E4" i="55" s="1"/>
  <c r="F4" i="55" s="1"/>
  <c r="C5" i="19"/>
  <c r="K5" i="55" s="1"/>
  <c r="E5" i="55" s="1"/>
  <c r="F5" i="55" s="1"/>
  <c r="C6" i="19"/>
  <c r="K6" i="54" s="1"/>
  <c r="E6" i="54" s="1"/>
  <c r="F6" i="54" s="1"/>
  <c r="C7" i="19"/>
  <c r="K7" i="54" s="1"/>
  <c r="E7" i="54" s="1"/>
  <c r="F7" i="54" s="1"/>
  <c r="C8" i="19"/>
  <c r="K8" i="55" s="1"/>
  <c r="E8" i="55" s="1"/>
  <c r="F8" i="55" s="1"/>
  <c r="C9" i="19"/>
  <c r="K9" i="54" s="1"/>
  <c r="E9" i="54" s="1"/>
  <c r="F9" i="54" s="1"/>
  <c r="C10" i="19"/>
  <c r="K10" i="55" s="1"/>
  <c r="E10" i="55" s="1"/>
  <c r="F10" i="55" s="1"/>
  <c r="C11" i="19"/>
  <c r="K11" i="55" s="1"/>
  <c r="E11" i="55" s="1"/>
  <c r="F11" i="55" s="1"/>
  <c r="C12" i="19"/>
  <c r="K12" i="54" s="1"/>
  <c r="E12" i="54" s="1"/>
  <c r="F12" i="54" s="1"/>
  <c r="F13" i="19"/>
  <c r="C14" i="19"/>
  <c r="C17" i="42"/>
  <c r="F16" i="19"/>
  <c r="C17" i="19"/>
  <c r="K17" i="55" s="1"/>
  <c r="E17" i="55" s="1"/>
  <c r="F17" i="55" s="1"/>
  <c r="F18" i="19"/>
  <c r="F19" i="19"/>
  <c r="F21" i="19"/>
  <c r="F24" i="19"/>
  <c r="F26" i="19"/>
  <c r="F27" i="19"/>
  <c r="F29" i="19"/>
  <c r="F32" i="19"/>
  <c r="D9" i="42"/>
  <c r="D13" i="42"/>
  <c r="D14" i="42"/>
  <c r="C18" i="42"/>
  <c r="N18" i="42"/>
  <c r="H18" i="42" s="1"/>
  <c r="E19" i="42"/>
  <c r="D22" i="42"/>
  <c r="E25" i="42"/>
  <c r="N26" i="42"/>
  <c r="G26" i="42" s="1"/>
  <c r="I25" i="52" s="1"/>
  <c r="E25" i="52" s="1"/>
  <c r="F25" i="52" s="1"/>
  <c r="E27" i="42"/>
  <c r="D30" i="42"/>
  <c r="E33" i="42"/>
  <c r="N34" i="42"/>
  <c r="I34" i="42" s="1"/>
  <c r="F18" i="53"/>
  <c r="F23" i="53"/>
  <c r="D29" i="53"/>
  <c r="AA5" i="27"/>
  <c r="X6" i="27" s="1"/>
  <c r="E35" i="27"/>
  <c r="F9" i="29"/>
  <c r="I8" i="29"/>
  <c r="H8" i="29"/>
  <c r="H9" i="60" s="1"/>
  <c r="W36" i="47"/>
  <c r="D49" i="32"/>
  <c r="E48" i="32"/>
  <c r="C48" i="32" s="1"/>
  <c r="E44" i="54"/>
  <c r="C44" i="54" s="1"/>
  <c r="D45" i="54"/>
  <c r="G6" i="42"/>
  <c r="G10" i="42"/>
  <c r="I9" i="52" s="1"/>
  <c r="E9" i="52" s="1"/>
  <c r="F9" i="52" s="1"/>
  <c r="Y18" i="57"/>
  <c r="F30" i="19"/>
  <c r="F31" i="19"/>
  <c r="F33" i="19"/>
  <c r="C5" i="42"/>
  <c r="C6" i="42"/>
  <c r="N7" i="42"/>
  <c r="E8" i="42"/>
  <c r="C10" i="42"/>
  <c r="N11" i="42"/>
  <c r="I11" i="42" s="1"/>
  <c r="E12" i="42"/>
  <c r="C14" i="42"/>
  <c r="C15" i="42"/>
  <c r="N15" i="42"/>
  <c r="I15" i="42" s="1"/>
  <c r="D17" i="42"/>
  <c r="D18" i="42"/>
  <c r="E21" i="42"/>
  <c r="N22" i="42"/>
  <c r="G22" i="42" s="1"/>
  <c r="I21" i="52" s="1"/>
  <c r="E21" i="52" s="1"/>
  <c r="F21" i="52" s="1"/>
  <c r="E23" i="42"/>
  <c r="D26" i="42"/>
  <c r="E29" i="42"/>
  <c r="N30" i="42"/>
  <c r="I30" i="42" s="1"/>
  <c r="E31" i="42"/>
  <c r="D34" i="42"/>
  <c r="F5" i="53"/>
  <c r="F6" i="53"/>
  <c r="F7" i="53"/>
  <c r="D8" i="60"/>
  <c r="F17" i="82" s="1"/>
  <c r="AA7" i="47"/>
  <c r="AA8" i="47"/>
  <c r="D33" i="60"/>
  <c r="AE17" i="82" s="1"/>
  <c r="H7" i="29"/>
  <c r="H8" i="60" s="1"/>
  <c r="AA11" i="47"/>
  <c r="AA13" i="47"/>
  <c r="AA31" i="47"/>
  <c r="E47" i="32"/>
  <c r="C47" i="32" s="1"/>
  <c r="E66" i="55"/>
  <c r="C66" i="55" s="1"/>
  <c r="I7" i="29"/>
  <c r="F8" i="65"/>
  <c r="E10" i="65"/>
  <c r="F31" i="60"/>
  <c r="AC20" i="82" s="1"/>
  <c r="F33" i="60"/>
  <c r="AE20" i="82" s="1"/>
  <c r="AE16" i="82" s="1"/>
  <c r="F45" i="65"/>
  <c r="G45" i="65" s="1"/>
  <c r="H45" i="65" s="1"/>
  <c r="I45" i="65" s="1"/>
  <c r="J45" i="65" s="1"/>
  <c r="K45" i="65" s="1"/>
  <c r="L45" i="65" s="1"/>
  <c r="M45" i="65" s="1"/>
  <c r="N45" i="65" s="1"/>
  <c r="O45" i="65" s="1"/>
  <c r="P45" i="65" s="1"/>
  <c r="Q45" i="65" s="1"/>
  <c r="R45" i="65" s="1"/>
  <c r="S45" i="65" s="1"/>
  <c r="T45" i="65" s="1"/>
  <c r="U45" i="65" s="1"/>
  <c r="V45" i="65" s="1"/>
  <c r="W45" i="65" s="1"/>
  <c r="X45" i="65" s="1"/>
  <c r="Y45" i="65" s="1"/>
  <c r="Z45" i="65" s="1"/>
  <c r="AA45" i="65" s="1"/>
  <c r="AB45" i="65" s="1"/>
  <c r="AC45" i="65" s="1"/>
  <c r="AD45" i="65" s="1"/>
  <c r="AE45" i="65" s="1"/>
  <c r="AF45" i="65" s="1"/>
  <c r="AG45" i="65" s="1"/>
  <c r="O299" i="65"/>
  <c r="B3" i="65"/>
  <c r="W216" i="65"/>
  <c r="W217" i="65" s="1"/>
  <c r="W218" i="65" s="1"/>
  <c r="W219" i="65" s="1"/>
  <c r="W220" i="65" s="1"/>
  <c r="W221" i="65" s="1"/>
  <c r="W222" i="65" s="1"/>
  <c r="W223" i="65" s="1"/>
  <c r="W224" i="65" s="1"/>
  <c r="AH224" i="65" s="1"/>
  <c r="X291" i="65"/>
  <c r="X292" i="65" s="1"/>
  <c r="X293" i="65" s="1"/>
  <c r="X294" i="65" s="1"/>
  <c r="AH294" i="65" s="1"/>
  <c r="J6" i="66"/>
  <c r="J84" i="66"/>
  <c r="F6" i="60"/>
  <c r="D20" i="82" s="1"/>
  <c r="F25" i="60"/>
  <c r="W20" i="82" s="1"/>
  <c r="F27" i="60"/>
  <c r="Y20" i="82" s="1"/>
  <c r="J47" i="66"/>
  <c r="M6" i="56"/>
  <c r="E6" i="56" s="1"/>
  <c r="M7" i="56"/>
  <c r="E7" i="56" s="1"/>
  <c r="M8" i="56"/>
  <c r="E8" i="56" s="1"/>
  <c r="M9" i="56"/>
  <c r="E9" i="56" s="1"/>
  <c r="M10" i="56"/>
  <c r="E10" i="56" s="1"/>
  <c r="M11" i="56"/>
  <c r="E11" i="56" s="1"/>
  <c r="M12" i="56"/>
  <c r="E12" i="56" s="1"/>
  <c r="M13" i="56"/>
  <c r="E13" i="56" s="1"/>
  <c r="M14" i="56"/>
  <c r="E14" i="56" s="1"/>
  <c r="M15" i="56"/>
  <c r="E15" i="56" s="1"/>
  <c r="M16" i="56"/>
  <c r="E16" i="56" s="1"/>
  <c r="M17" i="56"/>
  <c r="E17" i="56" s="1"/>
  <c r="M18" i="56"/>
  <c r="E18" i="56" s="1"/>
  <c r="M19" i="56"/>
  <c r="E19" i="56" s="1"/>
  <c r="M20" i="56"/>
  <c r="E20" i="56" s="1"/>
  <c r="M21" i="56"/>
  <c r="E21" i="56" s="1"/>
  <c r="M22" i="56"/>
  <c r="E22" i="56" s="1"/>
  <c r="M23" i="56"/>
  <c r="E23" i="56" s="1"/>
  <c r="M24" i="56"/>
  <c r="E24" i="56" s="1"/>
  <c r="M25" i="56"/>
  <c r="E25" i="56" s="1"/>
  <c r="M26" i="56"/>
  <c r="E26" i="56" s="1"/>
  <c r="D28" i="56"/>
  <c r="J45" i="66"/>
  <c r="J73" i="66"/>
  <c r="F5" i="60"/>
  <c r="C20" i="82" s="1"/>
  <c r="I6" i="60"/>
  <c r="D15" i="82" s="1"/>
  <c r="D13" i="82" s="1"/>
  <c r="F9" i="60"/>
  <c r="G20" i="82" s="1"/>
  <c r="F13" i="60"/>
  <c r="K20" i="82" s="1"/>
  <c r="N6" i="56"/>
  <c r="N7" i="56"/>
  <c r="N8" i="56"/>
  <c r="N9" i="56"/>
  <c r="N10" i="56"/>
  <c r="N11" i="56"/>
  <c r="N12" i="56"/>
  <c r="N13" i="56"/>
  <c r="N14" i="56"/>
  <c r="N15" i="56"/>
  <c r="N16" i="56"/>
  <c r="N17" i="56"/>
  <c r="N18" i="56"/>
  <c r="N19" i="56"/>
  <c r="N20" i="56"/>
  <c r="N21" i="56"/>
  <c r="N22" i="56"/>
  <c r="N23" i="56"/>
  <c r="N24" i="56"/>
  <c r="N25" i="56"/>
  <c r="N26" i="56"/>
  <c r="C15" i="82"/>
  <c r="I8" i="60"/>
  <c r="F15" i="82" s="1"/>
  <c r="F13" i="82" s="1"/>
  <c r="I9" i="60"/>
  <c r="G15" i="82" s="1"/>
  <c r="G13" i="82" s="1"/>
  <c r="F11" i="60"/>
  <c r="I20" i="82" s="1"/>
  <c r="F15" i="60"/>
  <c r="M20" i="82" s="1"/>
  <c r="F17" i="60"/>
  <c r="O20" i="82" s="1"/>
  <c r="F19" i="60"/>
  <c r="Q20" i="82" s="1"/>
  <c r="F21" i="60"/>
  <c r="S20" i="82" s="1"/>
  <c r="G1" i="56"/>
  <c r="J61" i="66"/>
  <c r="F7" i="60"/>
  <c r="E20" i="82" s="1"/>
  <c r="F23" i="60"/>
  <c r="U20" i="82" s="1"/>
  <c r="F29" i="60"/>
  <c r="AA20" i="82" s="1"/>
  <c r="AA16" i="82" s="1"/>
  <c r="M151" i="65"/>
  <c r="M132" i="65"/>
  <c r="M133" i="65" s="1"/>
  <c r="M134" i="65" s="1"/>
  <c r="M135" i="65" s="1"/>
  <c r="M136" i="65" s="1"/>
  <c r="M137" i="65" s="1"/>
  <c r="M138" i="65" s="1"/>
  <c r="M139" i="65" s="1"/>
  <c r="M140" i="65" s="1"/>
  <c r="M141" i="65" s="1"/>
  <c r="M142" i="65" s="1"/>
  <c r="M143" i="65" s="1"/>
  <c r="M144" i="65" s="1"/>
  <c r="M145" i="65" s="1"/>
  <c r="AH145" i="65" s="1"/>
  <c r="F47" i="55"/>
  <c r="E47" i="55" s="1"/>
  <c r="C47" i="55" s="1"/>
  <c r="F67" i="55"/>
  <c r="E67" i="55" s="1"/>
  <c r="C67" i="55" s="1"/>
  <c r="F39" i="55"/>
  <c r="E39" i="55" s="1"/>
  <c r="C39" i="55" s="1"/>
  <c r="F48" i="55"/>
  <c r="E48" i="55" s="1"/>
  <c r="C48" i="55" s="1"/>
  <c r="F59" i="55"/>
  <c r="E59" i="55" s="1"/>
  <c r="C59" i="55" s="1"/>
  <c r="T176" i="65"/>
  <c r="T177" i="65" s="1"/>
  <c r="T178" i="65" s="1"/>
  <c r="T179" i="65" s="1"/>
  <c r="T180" i="65" s="1"/>
  <c r="T181" i="65" s="1"/>
  <c r="T182" i="65" s="1"/>
  <c r="T183" i="65" s="1"/>
  <c r="T184" i="65" s="1"/>
  <c r="T185" i="65" s="1"/>
  <c r="T186" i="65" s="1"/>
  <c r="AH186" i="65" s="1"/>
  <c r="AB184" i="65"/>
  <c r="AB185" i="65" s="1"/>
  <c r="AB186" i="65" s="1"/>
  <c r="AB187" i="65" s="1"/>
  <c r="U214" i="65"/>
  <c r="U215" i="65" s="1"/>
  <c r="U216" i="65" s="1"/>
  <c r="U217" i="65" s="1"/>
  <c r="U218" i="65" s="1"/>
  <c r="U219" i="65" s="1"/>
  <c r="U220" i="65" s="1"/>
  <c r="U221" i="65" s="1"/>
  <c r="U222" i="65" s="1"/>
  <c r="AH222" i="65" s="1"/>
  <c r="F56" i="55"/>
  <c r="E56" i="55" s="1"/>
  <c r="C56" i="55" s="1"/>
  <c r="F40" i="55"/>
  <c r="E40" i="55" s="1"/>
  <c r="C40" i="55" s="1"/>
  <c r="F51" i="55"/>
  <c r="E51" i="55" s="1"/>
  <c r="C51" i="55" s="1"/>
  <c r="F63" i="55"/>
  <c r="E63" i="55" s="1"/>
  <c r="C63" i="55" s="1"/>
  <c r="X188" i="65"/>
  <c r="O208" i="65"/>
  <c r="O209" i="65" s="1"/>
  <c r="O210" i="65" s="1"/>
  <c r="O211" i="65" s="1"/>
  <c r="O212" i="65" s="1"/>
  <c r="O213" i="65" s="1"/>
  <c r="O214" i="65" s="1"/>
  <c r="O215" i="65" s="1"/>
  <c r="O216" i="65" s="1"/>
  <c r="AH216" i="65" s="1"/>
  <c r="H225" i="65"/>
  <c r="P283" i="65"/>
  <c r="P284" i="65" s="1"/>
  <c r="P285" i="65" s="1"/>
  <c r="P286" i="65" s="1"/>
  <c r="AH286" i="65" s="1"/>
  <c r="F43" i="55"/>
  <c r="E43" i="55" s="1"/>
  <c r="C43" i="55" s="1"/>
  <c r="F55" i="55"/>
  <c r="E55" i="55" s="1"/>
  <c r="C55" i="55" s="1"/>
  <c r="F64" i="55"/>
  <c r="E64" i="55" s="1"/>
  <c r="C64" i="55" s="1"/>
  <c r="AC222" i="65"/>
  <c r="AC223" i="65" s="1"/>
  <c r="AC224" i="65" s="1"/>
  <c r="X225" i="65"/>
  <c r="J4" i="29"/>
  <c r="J5" i="29"/>
  <c r="J6" i="29"/>
  <c r="H6" i="60"/>
  <c r="J8" i="29"/>
  <c r="C12" i="60"/>
  <c r="Y6" i="57"/>
  <c r="M21" i="57"/>
  <c r="AA21" i="57" s="1"/>
  <c r="I7" i="60"/>
  <c r="E15" i="82" s="1"/>
  <c r="E13" i="82" s="1"/>
  <c r="F8" i="60"/>
  <c r="F20" i="82" s="1"/>
  <c r="I10" i="60"/>
  <c r="H15" i="82" s="1"/>
  <c r="H13" i="82" s="1"/>
  <c r="I12" i="60"/>
  <c r="J15" i="82" s="1"/>
  <c r="J13" i="82" s="1"/>
  <c r="I14" i="60"/>
  <c r="L15" i="82" s="1"/>
  <c r="L13" i="82" s="1"/>
  <c r="I16" i="60"/>
  <c r="N15" i="82" s="1"/>
  <c r="N13" i="82" s="1"/>
  <c r="I18" i="60"/>
  <c r="P15" i="82" s="1"/>
  <c r="P13" i="82" s="1"/>
  <c r="I20" i="60"/>
  <c r="R15" i="82" s="1"/>
  <c r="R13" i="82" s="1"/>
  <c r="I22" i="60"/>
  <c r="T15" i="82" s="1"/>
  <c r="T13" i="82" s="1"/>
  <c r="I24" i="60"/>
  <c r="V15" i="82" s="1"/>
  <c r="V13" i="82" s="1"/>
  <c r="I26" i="60"/>
  <c r="X15" i="82" s="1"/>
  <c r="X13" i="82" s="1"/>
  <c r="I28" i="60"/>
  <c r="Z15" i="82" s="1"/>
  <c r="Z13" i="82" s="1"/>
  <c r="I30" i="60"/>
  <c r="AB15" i="82" s="1"/>
  <c r="AB13" i="82" s="1"/>
  <c r="I32" i="60"/>
  <c r="AD15" i="82" s="1"/>
  <c r="AD13" i="82" s="1"/>
  <c r="I34" i="60"/>
  <c r="AF15" i="82" s="1"/>
  <c r="AF13" i="82" s="1"/>
  <c r="J42" i="66"/>
  <c r="J57" i="66"/>
  <c r="J71" i="66"/>
  <c r="J89" i="66"/>
  <c r="J54" i="66"/>
  <c r="J65" i="66"/>
  <c r="J87" i="66"/>
  <c r="F10" i="60"/>
  <c r="H20" i="82" s="1"/>
  <c r="I11" i="60"/>
  <c r="I15" i="82" s="1"/>
  <c r="I13" i="82" s="1"/>
  <c r="F12" i="60"/>
  <c r="J20" i="82" s="1"/>
  <c r="J16" i="82" s="1"/>
  <c r="I13" i="60"/>
  <c r="K15" i="82" s="1"/>
  <c r="K13" i="82" s="1"/>
  <c r="F14" i="60"/>
  <c r="L20" i="82" s="1"/>
  <c r="I15" i="60"/>
  <c r="M15" i="82" s="1"/>
  <c r="M13" i="82" s="1"/>
  <c r="F16" i="60"/>
  <c r="N20" i="82" s="1"/>
  <c r="I17" i="60"/>
  <c r="O15" i="82" s="1"/>
  <c r="O13" i="82" s="1"/>
  <c r="F18" i="60"/>
  <c r="P20" i="82" s="1"/>
  <c r="I19" i="60"/>
  <c r="Q15" i="82" s="1"/>
  <c r="Q13" i="82" s="1"/>
  <c r="F20" i="60"/>
  <c r="R20" i="82" s="1"/>
  <c r="I21" i="60"/>
  <c r="S15" i="82" s="1"/>
  <c r="S13" i="82" s="1"/>
  <c r="F22" i="60"/>
  <c r="T20" i="82" s="1"/>
  <c r="I23" i="60"/>
  <c r="U15" i="82" s="1"/>
  <c r="U13" i="82" s="1"/>
  <c r="F24" i="60"/>
  <c r="V20" i="82" s="1"/>
  <c r="I25" i="60"/>
  <c r="W15" i="82" s="1"/>
  <c r="W13" i="82" s="1"/>
  <c r="F26" i="60"/>
  <c r="X20" i="82" s="1"/>
  <c r="I27" i="60"/>
  <c r="Y15" i="82" s="1"/>
  <c r="Y13" i="82" s="1"/>
  <c r="F28" i="60"/>
  <c r="Z20" i="82" s="1"/>
  <c r="I29" i="60"/>
  <c r="AA15" i="82" s="1"/>
  <c r="AA13" i="82" s="1"/>
  <c r="F30" i="60"/>
  <c r="AB20" i="82" s="1"/>
  <c r="I31" i="60"/>
  <c r="AC15" i="82" s="1"/>
  <c r="AC13" i="82" s="1"/>
  <c r="F32" i="60"/>
  <c r="AD20" i="82" s="1"/>
  <c r="I33" i="60"/>
  <c r="AE15" i="82" s="1"/>
  <c r="AE13" i="82" s="1"/>
  <c r="D35" i="51"/>
  <c r="D37" i="51" s="1"/>
  <c r="J9" i="66"/>
  <c r="J13" i="66"/>
  <c r="J15" i="66"/>
  <c r="J17" i="66"/>
  <c r="J19" i="66"/>
  <c r="J21" i="66"/>
  <c r="J23" i="66"/>
  <c r="J26" i="66"/>
  <c r="J28" i="66"/>
  <c r="J30" i="66"/>
  <c r="J32" i="66"/>
  <c r="J34" i="66"/>
  <c r="J36" i="66"/>
  <c r="J5" i="66"/>
  <c r="D5" i="66" s="1"/>
  <c r="J43" i="66"/>
  <c r="J46" i="66"/>
  <c r="J51" i="66"/>
  <c r="J56" i="66"/>
  <c r="J58" i="66"/>
  <c r="J62" i="66"/>
  <c r="J64" i="66"/>
  <c r="J66" i="66"/>
  <c r="J72" i="66"/>
  <c r="J76" i="66"/>
  <c r="J86" i="66"/>
  <c r="J88" i="66"/>
  <c r="J90" i="66"/>
  <c r="J8" i="66"/>
  <c r="J12" i="66"/>
  <c r="J14" i="66"/>
  <c r="J16" i="66"/>
  <c r="J18" i="66"/>
  <c r="J20" i="66"/>
  <c r="J22" i="66"/>
  <c r="J25" i="66"/>
  <c r="J27" i="66"/>
  <c r="J29" i="66"/>
  <c r="J31" i="66"/>
  <c r="J33" i="66"/>
  <c r="H24" i="42"/>
  <c r="I24" i="42"/>
  <c r="G24" i="42"/>
  <c r="I23" i="52" s="1"/>
  <c r="E23" i="52" s="1"/>
  <c r="F23" i="52" s="1"/>
  <c r="H14" i="42"/>
  <c r="I14" i="42"/>
  <c r="H11" i="42"/>
  <c r="I18" i="42"/>
  <c r="K16" i="55"/>
  <c r="E16" i="55" s="1"/>
  <c r="F16" i="55" s="1"/>
  <c r="C17" i="53"/>
  <c r="E32" i="42"/>
  <c r="D32" i="42"/>
  <c r="N32" i="42"/>
  <c r="C5" i="53"/>
  <c r="E5" i="52"/>
  <c r="F5" i="52" s="1"/>
  <c r="K5" i="54"/>
  <c r="E5" i="54" s="1"/>
  <c r="F5" i="54" s="1"/>
  <c r="J5" i="32"/>
  <c r="E6" i="52"/>
  <c r="F6" i="52" s="1"/>
  <c r="K9" i="55"/>
  <c r="E9" i="55" s="1"/>
  <c r="F9" i="55" s="1"/>
  <c r="C10" i="53"/>
  <c r="K10" i="54"/>
  <c r="E10" i="54" s="1"/>
  <c r="F10" i="54" s="1"/>
  <c r="C11" i="53"/>
  <c r="K11" i="54"/>
  <c r="E11" i="54" s="1"/>
  <c r="F11" i="54" s="1"/>
  <c r="J11" i="32"/>
  <c r="K12" i="55"/>
  <c r="E12" i="55" s="1"/>
  <c r="F12" i="55" s="1"/>
  <c r="C13" i="53"/>
  <c r="D28" i="42"/>
  <c r="E28" i="42"/>
  <c r="N28" i="42"/>
  <c r="I26" i="42"/>
  <c r="D20" i="42"/>
  <c r="E20" i="42"/>
  <c r="D16" i="42"/>
  <c r="C15" i="19"/>
  <c r="N16" i="42"/>
  <c r="C16" i="42"/>
  <c r="I7" i="42"/>
  <c r="H7" i="42"/>
  <c r="G7" i="42"/>
  <c r="G14" i="42"/>
  <c r="I13" i="52" s="1"/>
  <c r="E13" i="52" s="1"/>
  <c r="F13" i="52" s="1"/>
  <c r="I6" i="42"/>
  <c r="H6" i="42"/>
  <c r="I10" i="42"/>
  <c r="H10" i="42"/>
  <c r="D24" i="42"/>
  <c r="E24" i="42"/>
  <c r="E16" i="42"/>
  <c r="N20" i="42"/>
  <c r="N12" i="42"/>
  <c r="J13" i="32"/>
  <c r="E5" i="42"/>
  <c r="N5" i="42"/>
  <c r="E6" i="42"/>
  <c r="D7" i="42"/>
  <c r="C8" i="42"/>
  <c r="N9" i="42"/>
  <c r="E10" i="42"/>
  <c r="D11" i="42"/>
  <c r="C12" i="42"/>
  <c r="N13" i="42"/>
  <c r="E14" i="42"/>
  <c r="D15" i="42"/>
  <c r="N17" i="42"/>
  <c r="C19" i="42"/>
  <c r="N19" i="42"/>
  <c r="N21" i="42"/>
  <c r="N23" i="42"/>
  <c r="N25" i="42"/>
  <c r="N27" i="42"/>
  <c r="N29" i="42"/>
  <c r="N31" i="42"/>
  <c r="N33" i="42"/>
  <c r="M23" i="57"/>
  <c r="D6" i="42"/>
  <c r="C7" i="42"/>
  <c r="N8" i="42"/>
  <c r="E9" i="42"/>
  <c r="D10" i="42"/>
  <c r="C11" i="42"/>
  <c r="E13" i="42"/>
  <c r="E17" i="42"/>
  <c r="K13" i="54"/>
  <c r="E13" i="54" s="1"/>
  <c r="F13" i="54" s="1"/>
  <c r="R188" i="65"/>
  <c r="R174" i="65"/>
  <c r="R175" i="65" s="1"/>
  <c r="R176" i="65" s="1"/>
  <c r="R177" i="65" s="1"/>
  <c r="R178" i="65" s="1"/>
  <c r="R179" i="65" s="1"/>
  <c r="R180" i="65" s="1"/>
  <c r="R181" i="65" s="1"/>
  <c r="R182" i="65" s="1"/>
  <c r="R183" i="65" s="1"/>
  <c r="R184" i="65" s="1"/>
  <c r="AH184" i="65" s="1"/>
  <c r="E337" i="65"/>
  <c r="E310" i="65"/>
  <c r="E311" i="65" s="1"/>
  <c r="AH311" i="65" s="1"/>
  <c r="Y337" i="65"/>
  <c r="Y330" i="65"/>
  <c r="Y331" i="65" s="1"/>
  <c r="AH331" i="65" s="1"/>
  <c r="K114" i="65"/>
  <c r="K93" i="65"/>
  <c r="K94" i="65" s="1"/>
  <c r="K95" i="65" s="1"/>
  <c r="K96" i="65" s="1"/>
  <c r="K97" i="65" s="1"/>
  <c r="K98" i="65" s="1"/>
  <c r="K99" i="65" s="1"/>
  <c r="K100" i="65" s="1"/>
  <c r="K101" i="65" s="1"/>
  <c r="K102" i="65" s="1"/>
  <c r="K103" i="65" s="1"/>
  <c r="K104" i="65" s="1"/>
  <c r="K105" i="65" s="1"/>
  <c r="K106" i="65" s="1"/>
  <c r="K107" i="65" s="1"/>
  <c r="K108" i="65" s="1"/>
  <c r="K109" i="65" s="1"/>
  <c r="K110" i="65" s="1"/>
  <c r="K111" i="65" s="1"/>
  <c r="AH111" i="65" s="1"/>
  <c r="S114" i="65"/>
  <c r="S101" i="65"/>
  <c r="S102" i="65" s="1"/>
  <c r="S103" i="65" s="1"/>
  <c r="S104" i="65" s="1"/>
  <c r="S105" i="65" s="1"/>
  <c r="S106" i="65" s="1"/>
  <c r="S107" i="65" s="1"/>
  <c r="S108" i="65" s="1"/>
  <c r="S109" i="65" s="1"/>
  <c r="S110" i="65" s="1"/>
  <c r="S111" i="65" s="1"/>
  <c r="S112" i="65" s="1"/>
  <c r="S113" i="65" s="1"/>
  <c r="W105" i="65"/>
  <c r="W106" i="65" s="1"/>
  <c r="W107" i="65" s="1"/>
  <c r="W108" i="65" s="1"/>
  <c r="W109" i="65" s="1"/>
  <c r="W110" i="65" s="1"/>
  <c r="W111" i="65" s="1"/>
  <c r="W112" i="65" s="1"/>
  <c r="W113" i="65" s="1"/>
  <c r="W114" i="65"/>
  <c r="AE113" i="65"/>
  <c r="AE114" i="65"/>
  <c r="H299" i="65"/>
  <c r="H275" i="65"/>
  <c r="H276" i="65" s="1"/>
  <c r="H277" i="65" s="1"/>
  <c r="H278" i="65" s="1"/>
  <c r="AH278" i="65" s="1"/>
  <c r="I337" i="65"/>
  <c r="I314" i="65"/>
  <c r="I315" i="65" s="1"/>
  <c r="AH315" i="65" s="1"/>
  <c r="Q337" i="65"/>
  <c r="Q322" i="65"/>
  <c r="Q323" i="65" s="1"/>
  <c r="AH323" i="65" s="1"/>
  <c r="S151" i="65"/>
  <c r="S138" i="65"/>
  <c r="S139" i="65" s="1"/>
  <c r="S140" i="65" s="1"/>
  <c r="S141" i="65" s="1"/>
  <c r="S142" i="65" s="1"/>
  <c r="S143" i="65" s="1"/>
  <c r="S144" i="65" s="1"/>
  <c r="S145" i="65" s="1"/>
  <c r="S146" i="65" s="1"/>
  <c r="S147" i="65" s="1"/>
  <c r="S148" i="65" s="1"/>
  <c r="S149" i="65" s="1"/>
  <c r="S150" i="65" s="1"/>
  <c r="AE224" i="65"/>
  <c r="X261" i="65"/>
  <c r="N337" i="65"/>
  <c r="AD337" i="65"/>
  <c r="V178" i="65"/>
  <c r="V179" i="65" s="1"/>
  <c r="V180" i="65" s="1"/>
  <c r="V181" i="65" s="1"/>
  <c r="V182" i="65" s="1"/>
  <c r="V183" i="65" s="1"/>
  <c r="V184" i="65" s="1"/>
  <c r="V185" i="65" s="1"/>
  <c r="V186" i="65" s="1"/>
  <c r="V187" i="65" s="1"/>
  <c r="Z182" i="65"/>
  <c r="Z183" i="65" s="1"/>
  <c r="Z184" i="65" s="1"/>
  <c r="Z185" i="65" s="1"/>
  <c r="Z186" i="65" s="1"/>
  <c r="Z187" i="65" s="1"/>
  <c r="AD186" i="65"/>
  <c r="AD187" i="65" s="1"/>
  <c r="M206" i="65"/>
  <c r="M207" i="65" s="1"/>
  <c r="M208" i="65" s="1"/>
  <c r="M209" i="65" s="1"/>
  <c r="M210" i="65" s="1"/>
  <c r="M211" i="65" s="1"/>
  <c r="M212" i="65" s="1"/>
  <c r="M213" i="65" s="1"/>
  <c r="M214" i="65" s="1"/>
  <c r="AH214" i="65" s="1"/>
  <c r="L261" i="65"/>
  <c r="AB261" i="65"/>
  <c r="N281" i="65"/>
  <c r="N282" i="65" s="1"/>
  <c r="N283" i="65" s="1"/>
  <c r="N284" i="65" s="1"/>
  <c r="AH284" i="65" s="1"/>
  <c r="V289" i="65"/>
  <c r="V290" i="65" s="1"/>
  <c r="V291" i="65" s="1"/>
  <c r="V292" i="65" s="1"/>
  <c r="AH292" i="65" s="1"/>
  <c r="AD297" i="65"/>
  <c r="AD298" i="65" s="1"/>
  <c r="W299" i="65"/>
  <c r="R337" i="65"/>
  <c r="F44" i="55"/>
  <c r="E44" i="55" s="1"/>
  <c r="C44" i="55" s="1"/>
  <c r="F52" i="55"/>
  <c r="E52" i="55" s="1"/>
  <c r="C52" i="55" s="1"/>
  <c r="F60" i="55"/>
  <c r="E60" i="55" s="1"/>
  <c r="C60" i="55" s="1"/>
  <c r="S212" i="65"/>
  <c r="S213" i="65" s="1"/>
  <c r="S214" i="65" s="1"/>
  <c r="S215" i="65" s="1"/>
  <c r="S216" i="65" s="1"/>
  <c r="S217" i="65" s="1"/>
  <c r="S218" i="65" s="1"/>
  <c r="S219" i="65" s="1"/>
  <c r="S220" i="65" s="1"/>
  <c r="AH220" i="65" s="1"/>
  <c r="AA220" i="65"/>
  <c r="AA221" i="65" s="1"/>
  <c r="AA222" i="65" s="1"/>
  <c r="AA223" i="65" s="1"/>
  <c r="AA224" i="65" s="1"/>
  <c r="P225" i="65"/>
  <c r="P261" i="65"/>
  <c r="L279" i="65"/>
  <c r="L280" i="65" s="1"/>
  <c r="L281" i="65" s="1"/>
  <c r="L282" i="65" s="1"/>
  <c r="AH282" i="65" s="1"/>
  <c r="T287" i="65"/>
  <c r="T288" i="65" s="1"/>
  <c r="T289" i="65" s="1"/>
  <c r="T290" i="65" s="1"/>
  <c r="AH290" i="65" s="1"/>
  <c r="AB295" i="65"/>
  <c r="AB296" i="65" s="1"/>
  <c r="AB297" i="65" s="1"/>
  <c r="AB298" i="65" s="1"/>
  <c r="AH298" i="65" s="1"/>
  <c r="AE299" i="65"/>
  <c r="F337" i="65"/>
  <c r="V337" i="65"/>
  <c r="S175" i="65"/>
  <c r="S176" i="65" s="1"/>
  <c r="S177" i="65" s="1"/>
  <c r="S178" i="65" s="1"/>
  <c r="S179" i="65" s="1"/>
  <c r="S180" i="65" s="1"/>
  <c r="S181" i="65" s="1"/>
  <c r="S182" i="65" s="1"/>
  <c r="S183" i="65" s="1"/>
  <c r="S184" i="65" s="1"/>
  <c r="S185" i="65" s="1"/>
  <c r="AH185" i="65" s="1"/>
  <c r="Q210" i="65"/>
  <c r="Q211" i="65" s="1"/>
  <c r="Q212" i="65" s="1"/>
  <c r="Q213" i="65" s="1"/>
  <c r="Q214" i="65" s="1"/>
  <c r="Q215" i="65" s="1"/>
  <c r="Q216" i="65" s="1"/>
  <c r="Q217" i="65" s="1"/>
  <c r="Q218" i="65" s="1"/>
  <c r="AH218" i="65" s="1"/>
  <c r="Y218" i="65"/>
  <c r="Y219" i="65" s="1"/>
  <c r="Y220" i="65" s="1"/>
  <c r="Y221" i="65" s="1"/>
  <c r="Y222" i="65" s="1"/>
  <c r="Y223" i="65" s="1"/>
  <c r="Y224" i="65" s="1"/>
  <c r="T261" i="65"/>
  <c r="E272" i="65"/>
  <c r="E273" i="65" s="1"/>
  <c r="E274" i="65" s="1"/>
  <c r="E275" i="65" s="1"/>
  <c r="AH275" i="65" s="1"/>
  <c r="J277" i="65"/>
  <c r="J278" i="65" s="1"/>
  <c r="J279" i="65" s="1"/>
  <c r="J280" i="65" s="1"/>
  <c r="AH280" i="65" s="1"/>
  <c r="R285" i="65"/>
  <c r="R286" i="65" s="1"/>
  <c r="R287" i="65" s="1"/>
  <c r="R288" i="65" s="1"/>
  <c r="AH288" i="65" s="1"/>
  <c r="Z293" i="65"/>
  <c r="Z294" i="65" s="1"/>
  <c r="Z295" i="65" s="1"/>
  <c r="Z296" i="65" s="1"/>
  <c r="AH296" i="65" s="1"/>
  <c r="G299" i="65"/>
  <c r="M318" i="65"/>
  <c r="M319" i="65" s="1"/>
  <c r="AH319" i="65" s="1"/>
  <c r="U326" i="65"/>
  <c r="U327" i="65" s="1"/>
  <c r="AH327" i="65" s="1"/>
  <c r="AC334" i="65"/>
  <c r="AC335" i="65" s="1"/>
  <c r="AH335" i="65" s="1"/>
  <c r="J337" i="65"/>
  <c r="Z337" i="65"/>
  <c r="F7" i="27"/>
  <c r="D39" i="27"/>
  <c r="Q6" i="29"/>
  <c r="E77" i="65"/>
  <c r="E50" i="65"/>
  <c r="E51" i="65" s="1"/>
  <c r="E52" i="65" s="1"/>
  <c r="E53" i="65" s="1"/>
  <c r="E54" i="65" s="1"/>
  <c r="E55" i="65" s="1"/>
  <c r="E56" i="65" s="1"/>
  <c r="E57" i="65" s="1"/>
  <c r="E58" i="65" s="1"/>
  <c r="E59" i="65" s="1"/>
  <c r="E60" i="65" s="1"/>
  <c r="E61" i="65" s="1"/>
  <c r="E62" i="65" s="1"/>
  <c r="E63" i="65" s="1"/>
  <c r="E64" i="65" s="1"/>
  <c r="E65" i="65" s="1"/>
  <c r="E66" i="65" s="1"/>
  <c r="E67" i="65" s="1"/>
  <c r="E68" i="65" s="1"/>
  <c r="E69" i="65" s="1"/>
  <c r="E70" i="65" s="1"/>
  <c r="E71" i="65" s="1"/>
  <c r="E72" i="65" s="1"/>
  <c r="E73" i="65" s="1"/>
  <c r="AH73" i="65" s="1"/>
  <c r="I54" i="65"/>
  <c r="I55" i="65" s="1"/>
  <c r="I56" i="65" s="1"/>
  <c r="I57" i="65" s="1"/>
  <c r="I58" i="65" s="1"/>
  <c r="I59" i="65" s="1"/>
  <c r="I60" i="65" s="1"/>
  <c r="I61" i="65" s="1"/>
  <c r="I62" i="65" s="1"/>
  <c r="I63" i="65" s="1"/>
  <c r="I64" i="65" s="1"/>
  <c r="I65" i="65" s="1"/>
  <c r="I66" i="65" s="1"/>
  <c r="I67" i="65" s="1"/>
  <c r="I68" i="65" s="1"/>
  <c r="I69" i="65" s="1"/>
  <c r="I70" i="65" s="1"/>
  <c r="I71" i="65" s="1"/>
  <c r="I72" i="65" s="1"/>
  <c r="I73" i="65" s="1"/>
  <c r="I74" i="65" s="1"/>
  <c r="I75" i="65" s="1"/>
  <c r="I76" i="65" s="1"/>
  <c r="I77" i="65"/>
  <c r="M77" i="65"/>
  <c r="M58" i="65"/>
  <c r="M59" i="65" s="1"/>
  <c r="M60" i="65" s="1"/>
  <c r="M61" i="65" s="1"/>
  <c r="M62" i="65" s="1"/>
  <c r="M63" i="65" s="1"/>
  <c r="M64" i="65" s="1"/>
  <c r="M65" i="65" s="1"/>
  <c r="M66" i="65" s="1"/>
  <c r="M67" i="65" s="1"/>
  <c r="M68" i="65" s="1"/>
  <c r="M69" i="65" s="1"/>
  <c r="M70" i="65" s="1"/>
  <c r="M71" i="65" s="1"/>
  <c r="M72" i="65" s="1"/>
  <c r="M73" i="65" s="1"/>
  <c r="M74" i="65" s="1"/>
  <c r="M75" i="65" s="1"/>
  <c r="M76" i="65" s="1"/>
  <c r="Q77" i="65"/>
  <c r="Q62" i="65"/>
  <c r="Q63" i="65" s="1"/>
  <c r="Q64" i="65" s="1"/>
  <c r="Q65" i="65" s="1"/>
  <c r="Q66" i="65" s="1"/>
  <c r="Q67" i="65" s="1"/>
  <c r="Q68" i="65" s="1"/>
  <c r="Q69" i="65" s="1"/>
  <c r="Q70" i="65" s="1"/>
  <c r="Q71" i="65" s="1"/>
  <c r="Q72" i="65" s="1"/>
  <c r="Q73" i="65" s="1"/>
  <c r="Q74" i="65" s="1"/>
  <c r="Q75" i="65" s="1"/>
  <c r="Q76" i="65" s="1"/>
  <c r="U77" i="65"/>
  <c r="U66" i="65"/>
  <c r="U67" i="65" s="1"/>
  <c r="U68" i="65" s="1"/>
  <c r="U69" i="65" s="1"/>
  <c r="U70" i="65" s="1"/>
  <c r="U71" i="65" s="1"/>
  <c r="U72" i="65" s="1"/>
  <c r="U73" i="65" s="1"/>
  <c r="U74" i="65" s="1"/>
  <c r="U75" i="65" s="1"/>
  <c r="U76" i="65" s="1"/>
  <c r="Y77" i="65"/>
  <c r="Y70" i="65"/>
  <c r="Y71" i="65" s="1"/>
  <c r="Y72" i="65" s="1"/>
  <c r="Y73" i="65" s="1"/>
  <c r="Y74" i="65" s="1"/>
  <c r="Y75" i="65" s="1"/>
  <c r="Y76" i="65" s="1"/>
  <c r="AC74" i="65"/>
  <c r="AC75" i="65" s="1"/>
  <c r="AC76" i="65" s="1"/>
  <c r="AC77" i="65"/>
  <c r="Q7" i="29"/>
  <c r="F77" i="65"/>
  <c r="F51" i="65"/>
  <c r="F52" i="65" s="1"/>
  <c r="F53" i="65" s="1"/>
  <c r="F54" i="65" s="1"/>
  <c r="F55" i="65" s="1"/>
  <c r="F56" i="65" s="1"/>
  <c r="F57" i="65" s="1"/>
  <c r="F58" i="65" s="1"/>
  <c r="F59" i="65" s="1"/>
  <c r="F60" i="65" s="1"/>
  <c r="F61" i="65" s="1"/>
  <c r="F62" i="65" s="1"/>
  <c r="F63" i="65" s="1"/>
  <c r="F64" i="65" s="1"/>
  <c r="F65" i="65" s="1"/>
  <c r="F66" i="65" s="1"/>
  <c r="F67" i="65" s="1"/>
  <c r="F68" i="65" s="1"/>
  <c r="F69" i="65" s="1"/>
  <c r="F70" i="65" s="1"/>
  <c r="F71" i="65" s="1"/>
  <c r="F72" i="65" s="1"/>
  <c r="F73" i="65" s="1"/>
  <c r="F74" i="65" s="1"/>
  <c r="AH74" i="65" s="1"/>
  <c r="J77" i="65"/>
  <c r="J55" i="65"/>
  <c r="J56" i="65" s="1"/>
  <c r="J57" i="65" s="1"/>
  <c r="J58" i="65" s="1"/>
  <c r="J59" i="65" s="1"/>
  <c r="J60" i="65" s="1"/>
  <c r="J61" i="65" s="1"/>
  <c r="J62" i="65" s="1"/>
  <c r="J63" i="65" s="1"/>
  <c r="J64" i="65" s="1"/>
  <c r="J65" i="65" s="1"/>
  <c r="J66" i="65" s="1"/>
  <c r="J67" i="65" s="1"/>
  <c r="J68" i="65" s="1"/>
  <c r="J69" i="65" s="1"/>
  <c r="J70" i="65" s="1"/>
  <c r="J71" i="65" s="1"/>
  <c r="J72" i="65" s="1"/>
  <c r="J73" i="65" s="1"/>
  <c r="J74" i="65" s="1"/>
  <c r="J75" i="65" s="1"/>
  <c r="J76" i="65" s="1"/>
  <c r="N77" i="65"/>
  <c r="N59" i="65"/>
  <c r="N60" i="65" s="1"/>
  <c r="N61" i="65" s="1"/>
  <c r="N62" i="65" s="1"/>
  <c r="N63" i="65" s="1"/>
  <c r="N64" i="65" s="1"/>
  <c r="N65" i="65" s="1"/>
  <c r="N66" i="65" s="1"/>
  <c r="N67" i="65" s="1"/>
  <c r="N68" i="65" s="1"/>
  <c r="N69" i="65" s="1"/>
  <c r="N70" i="65" s="1"/>
  <c r="N71" i="65" s="1"/>
  <c r="N72" i="65" s="1"/>
  <c r="N73" i="65" s="1"/>
  <c r="N74" i="65" s="1"/>
  <c r="N75" i="65" s="1"/>
  <c r="N76" i="65" s="1"/>
  <c r="R77" i="65"/>
  <c r="R63" i="65"/>
  <c r="R64" i="65" s="1"/>
  <c r="R65" i="65" s="1"/>
  <c r="R66" i="65" s="1"/>
  <c r="R67" i="65" s="1"/>
  <c r="R68" i="65" s="1"/>
  <c r="R69" i="65" s="1"/>
  <c r="R70" i="65" s="1"/>
  <c r="R71" i="65" s="1"/>
  <c r="R72" i="65" s="1"/>
  <c r="R73" i="65" s="1"/>
  <c r="R74" i="65" s="1"/>
  <c r="R75" i="65" s="1"/>
  <c r="R76" i="65" s="1"/>
  <c r="V77" i="65"/>
  <c r="V67" i="65"/>
  <c r="V68" i="65" s="1"/>
  <c r="V69" i="65" s="1"/>
  <c r="V70" i="65" s="1"/>
  <c r="V71" i="65" s="1"/>
  <c r="V72" i="65" s="1"/>
  <c r="V73" i="65" s="1"/>
  <c r="V74" i="65" s="1"/>
  <c r="V75" i="65" s="1"/>
  <c r="V76" i="65" s="1"/>
  <c r="Z77" i="65"/>
  <c r="Z71" i="65"/>
  <c r="Z72" i="65" s="1"/>
  <c r="Z73" i="65" s="1"/>
  <c r="Z74" i="65" s="1"/>
  <c r="Z75" i="65" s="1"/>
  <c r="Z76" i="65" s="1"/>
  <c r="AD77" i="65"/>
  <c r="AD75" i="65"/>
  <c r="AD76" i="65" s="1"/>
  <c r="Q8" i="29"/>
  <c r="G52" i="65"/>
  <c r="G53" i="65" s="1"/>
  <c r="G54" i="65" s="1"/>
  <c r="G55" i="65" s="1"/>
  <c r="G56" i="65" s="1"/>
  <c r="G57" i="65" s="1"/>
  <c r="G58" i="65" s="1"/>
  <c r="G59" i="65" s="1"/>
  <c r="G60" i="65" s="1"/>
  <c r="G61" i="65" s="1"/>
  <c r="G62" i="65" s="1"/>
  <c r="G63" i="65" s="1"/>
  <c r="G64" i="65" s="1"/>
  <c r="G65" i="65" s="1"/>
  <c r="G66" i="65" s="1"/>
  <c r="G67" i="65" s="1"/>
  <c r="G68" i="65" s="1"/>
  <c r="G69" i="65" s="1"/>
  <c r="G70" i="65" s="1"/>
  <c r="G71" i="65" s="1"/>
  <c r="G72" i="65" s="1"/>
  <c r="G73" i="65" s="1"/>
  <c r="G74" i="65" s="1"/>
  <c r="G75" i="65" s="1"/>
  <c r="AH75" i="65" s="1"/>
  <c r="G77" i="65"/>
  <c r="K77" i="65"/>
  <c r="K56" i="65"/>
  <c r="K57" i="65" s="1"/>
  <c r="K58" i="65" s="1"/>
  <c r="K59" i="65" s="1"/>
  <c r="K60" i="65" s="1"/>
  <c r="K61" i="65" s="1"/>
  <c r="K62" i="65" s="1"/>
  <c r="K63" i="65" s="1"/>
  <c r="K64" i="65" s="1"/>
  <c r="K65" i="65" s="1"/>
  <c r="K66" i="65" s="1"/>
  <c r="K67" i="65" s="1"/>
  <c r="K68" i="65" s="1"/>
  <c r="K69" i="65" s="1"/>
  <c r="K70" i="65" s="1"/>
  <c r="K71" i="65" s="1"/>
  <c r="K72" i="65" s="1"/>
  <c r="K73" i="65" s="1"/>
  <c r="K74" i="65" s="1"/>
  <c r="K75" i="65" s="1"/>
  <c r="K76" i="65" s="1"/>
  <c r="O77" i="65"/>
  <c r="O60" i="65"/>
  <c r="O61" i="65" s="1"/>
  <c r="O62" i="65" s="1"/>
  <c r="O63" i="65" s="1"/>
  <c r="O64" i="65" s="1"/>
  <c r="O65" i="65" s="1"/>
  <c r="O66" i="65" s="1"/>
  <c r="O67" i="65" s="1"/>
  <c r="O68" i="65" s="1"/>
  <c r="O69" i="65" s="1"/>
  <c r="O70" i="65" s="1"/>
  <c r="O71" i="65" s="1"/>
  <c r="O72" i="65" s="1"/>
  <c r="O73" i="65" s="1"/>
  <c r="O74" i="65" s="1"/>
  <c r="O75" i="65" s="1"/>
  <c r="O76" i="65" s="1"/>
  <c r="S77" i="65"/>
  <c r="S64" i="65"/>
  <c r="S65" i="65" s="1"/>
  <c r="S66" i="65" s="1"/>
  <c r="S67" i="65" s="1"/>
  <c r="S68" i="65" s="1"/>
  <c r="S69" i="65" s="1"/>
  <c r="S70" i="65" s="1"/>
  <c r="S71" i="65" s="1"/>
  <c r="S72" i="65" s="1"/>
  <c r="S73" i="65" s="1"/>
  <c r="S74" i="65" s="1"/>
  <c r="S75" i="65" s="1"/>
  <c r="S76" i="65" s="1"/>
  <c r="W77" i="65"/>
  <c r="W68" i="65"/>
  <c r="W69" i="65" s="1"/>
  <c r="W70" i="65" s="1"/>
  <c r="W71" i="65" s="1"/>
  <c r="W72" i="65" s="1"/>
  <c r="W73" i="65" s="1"/>
  <c r="W74" i="65" s="1"/>
  <c r="W75" i="65" s="1"/>
  <c r="W76" i="65" s="1"/>
  <c r="Q5" i="29"/>
  <c r="Q9" i="29"/>
  <c r="H53" i="65"/>
  <c r="H54" i="65" s="1"/>
  <c r="H55" i="65" s="1"/>
  <c r="H56" i="65" s="1"/>
  <c r="H57" i="65" s="1"/>
  <c r="H58" i="65" s="1"/>
  <c r="H59" i="65" s="1"/>
  <c r="H60" i="65" s="1"/>
  <c r="H61" i="65" s="1"/>
  <c r="H62" i="65" s="1"/>
  <c r="H63" i="65" s="1"/>
  <c r="H64" i="65" s="1"/>
  <c r="H65" i="65" s="1"/>
  <c r="H66" i="65" s="1"/>
  <c r="H67" i="65" s="1"/>
  <c r="H68" i="65" s="1"/>
  <c r="H69" i="65" s="1"/>
  <c r="H70" i="65" s="1"/>
  <c r="H71" i="65" s="1"/>
  <c r="H72" i="65" s="1"/>
  <c r="H73" i="65" s="1"/>
  <c r="H74" i="65" s="1"/>
  <c r="H75" i="65" s="1"/>
  <c r="H76" i="65" s="1"/>
  <c r="AH76" i="65" s="1"/>
  <c r="H77" i="65"/>
  <c r="L77" i="65"/>
  <c r="L57" i="65"/>
  <c r="L58" i="65" s="1"/>
  <c r="L59" i="65" s="1"/>
  <c r="L60" i="65" s="1"/>
  <c r="L61" i="65" s="1"/>
  <c r="L62" i="65" s="1"/>
  <c r="L63" i="65" s="1"/>
  <c r="L64" i="65" s="1"/>
  <c r="L65" i="65" s="1"/>
  <c r="L66" i="65" s="1"/>
  <c r="L67" i="65" s="1"/>
  <c r="L68" i="65" s="1"/>
  <c r="L69" i="65" s="1"/>
  <c r="L70" i="65" s="1"/>
  <c r="L71" i="65" s="1"/>
  <c r="L72" i="65" s="1"/>
  <c r="L73" i="65" s="1"/>
  <c r="L74" i="65" s="1"/>
  <c r="L75" i="65" s="1"/>
  <c r="L76" i="65" s="1"/>
  <c r="P77" i="65"/>
  <c r="P61" i="65"/>
  <c r="P62" i="65" s="1"/>
  <c r="P63" i="65" s="1"/>
  <c r="P64" i="65" s="1"/>
  <c r="P65" i="65" s="1"/>
  <c r="P66" i="65" s="1"/>
  <c r="P67" i="65" s="1"/>
  <c r="P68" i="65" s="1"/>
  <c r="P69" i="65" s="1"/>
  <c r="P70" i="65" s="1"/>
  <c r="P71" i="65" s="1"/>
  <c r="P72" i="65" s="1"/>
  <c r="P73" i="65" s="1"/>
  <c r="P74" i="65" s="1"/>
  <c r="P75" i="65" s="1"/>
  <c r="P76" i="65" s="1"/>
  <c r="T77" i="65"/>
  <c r="T65" i="65"/>
  <c r="T66" i="65" s="1"/>
  <c r="T67" i="65" s="1"/>
  <c r="T68" i="65" s="1"/>
  <c r="T69" i="65" s="1"/>
  <c r="T70" i="65" s="1"/>
  <c r="T71" i="65" s="1"/>
  <c r="T72" i="65" s="1"/>
  <c r="T73" i="65" s="1"/>
  <c r="T74" i="65" s="1"/>
  <c r="T75" i="65" s="1"/>
  <c r="T76" i="65" s="1"/>
  <c r="X69" i="65"/>
  <c r="X70" i="65" s="1"/>
  <c r="X71" i="65" s="1"/>
  <c r="X72" i="65" s="1"/>
  <c r="X73" i="65" s="1"/>
  <c r="X74" i="65" s="1"/>
  <c r="X75" i="65" s="1"/>
  <c r="X76" i="65" s="1"/>
  <c r="X77" i="65"/>
  <c r="AB77" i="65"/>
  <c r="AB73" i="65"/>
  <c r="AB74" i="65" s="1"/>
  <c r="AB75" i="65" s="1"/>
  <c r="AB76" i="65" s="1"/>
  <c r="J92" i="65"/>
  <c r="J93" i="65" s="1"/>
  <c r="J94" i="65" s="1"/>
  <c r="J95" i="65" s="1"/>
  <c r="J96" i="65" s="1"/>
  <c r="J97" i="65" s="1"/>
  <c r="J98" i="65" s="1"/>
  <c r="J99" i="65" s="1"/>
  <c r="J100" i="65" s="1"/>
  <c r="J101" i="65" s="1"/>
  <c r="J102" i="65" s="1"/>
  <c r="J103" i="65" s="1"/>
  <c r="J104" i="65" s="1"/>
  <c r="J105" i="65" s="1"/>
  <c r="J106" i="65" s="1"/>
  <c r="J107" i="65" s="1"/>
  <c r="J108" i="65" s="1"/>
  <c r="J109" i="65" s="1"/>
  <c r="J110" i="65" s="1"/>
  <c r="AH110" i="65" s="1"/>
  <c r="J114" i="65"/>
  <c r="D85" i="65"/>
  <c r="AH81" i="65"/>
  <c r="B81" i="65" s="1"/>
  <c r="H114" i="65"/>
  <c r="H90" i="65"/>
  <c r="H91" i="65" s="1"/>
  <c r="H92" i="65" s="1"/>
  <c r="H93" i="65" s="1"/>
  <c r="H94" i="65" s="1"/>
  <c r="H95" i="65" s="1"/>
  <c r="H96" i="65" s="1"/>
  <c r="H97" i="65" s="1"/>
  <c r="H98" i="65" s="1"/>
  <c r="H99" i="65" s="1"/>
  <c r="H100" i="65" s="1"/>
  <c r="H101" i="65" s="1"/>
  <c r="H102" i="65" s="1"/>
  <c r="H103" i="65" s="1"/>
  <c r="H104" i="65" s="1"/>
  <c r="H105" i="65" s="1"/>
  <c r="H106" i="65" s="1"/>
  <c r="H107" i="65" s="1"/>
  <c r="H108" i="65" s="1"/>
  <c r="AH108" i="65" s="1"/>
  <c r="L114" i="65"/>
  <c r="L94" i="65"/>
  <c r="L95" i="65" s="1"/>
  <c r="L96" i="65" s="1"/>
  <c r="L97" i="65" s="1"/>
  <c r="L98" i="65" s="1"/>
  <c r="L99" i="65" s="1"/>
  <c r="L100" i="65" s="1"/>
  <c r="L101" i="65" s="1"/>
  <c r="L102" i="65" s="1"/>
  <c r="L103" i="65" s="1"/>
  <c r="L104" i="65" s="1"/>
  <c r="L105" i="65" s="1"/>
  <c r="L106" i="65" s="1"/>
  <c r="L107" i="65" s="1"/>
  <c r="L108" i="65" s="1"/>
  <c r="L109" i="65" s="1"/>
  <c r="L110" i="65" s="1"/>
  <c r="L111" i="65" s="1"/>
  <c r="L112" i="65" s="1"/>
  <c r="AH112" i="65" s="1"/>
  <c r="P114" i="65"/>
  <c r="P98" i="65"/>
  <c r="P99" i="65" s="1"/>
  <c r="P100" i="65" s="1"/>
  <c r="P101" i="65" s="1"/>
  <c r="P102" i="65" s="1"/>
  <c r="P103" i="65" s="1"/>
  <c r="P104" i="65" s="1"/>
  <c r="P105" i="65" s="1"/>
  <c r="P106" i="65" s="1"/>
  <c r="P107" i="65" s="1"/>
  <c r="P108" i="65" s="1"/>
  <c r="P109" i="65" s="1"/>
  <c r="P110" i="65" s="1"/>
  <c r="P111" i="65" s="1"/>
  <c r="P112" i="65" s="1"/>
  <c r="P113" i="65" s="1"/>
  <c r="T114" i="65"/>
  <c r="T102" i="65"/>
  <c r="T103" i="65" s="1"/>
  <c r="T104" i="65" s="1"/>
  <c r="T105" i="65" s="1"/>
  <c r="T106" i="65" s="1"/>
  <c r="T107" i="65" s="1"/>
  <c r="T108" i="65" s="1"/>
  <c r="T109" i="65" s="1"/>
  <c r="T110" i="65" s="1"/>
  <c r="T111" i="65" s="1"/>
  <c r="T112" i="65" s="1"/>
  <c r="T113" i="65" s="1"/>
  <c r="X114" i="65"/>
  <c r="X106" i="65"/>
  <c r="X107" i="65" s="1"/>
  <c r="X108" i="65" s="1"/>
  <c r="X109" i="65" s="1"/>
  <c r="X110" i="65" s="1"/>
  <c r="X111" i="65" s="1"/>
  <c r="X112" i="65" s="1"/>
  <c r="X113" i="65" s="1"/>
  <c r="AB114" i="65"/>
  <c r="AB110" i="65"/>
  <c r="AB111" i="65" s="1"/>
  <c r="AB112" i="65" s="1"/>
  <c r="AB113" i="65" s="1"/>
  <c r="D48" i="65"/>
  <c r="AA72" i="65"/>
  <c r="AA73" i="65" s="1"/>
  <c r="AA74" i="65" s="1"/>
  <c r="AA75" i="65" s="1"/>
  <c r="AA76" i="65" s="1"/>
  <c r="E87" i="65"/>
  <c r="E88" i="65" s="1"/>
  <c r="E89" i="65" s="1"/>
  <c r="E90" i="65" s="1"/>
  <c r="E91" i="65" s="1"/>
  <c r="E92" i="65" s="1"/>
  <c r="E93" i="65" s="1"/>
  <c r="E94" i="65" s="1"/>
  <c r="E95" i="65" s="1"/>
  <c r="E96" i="65" s="1"/>
  <c r="E97" i="65" s="1"/>
  <c r="E98" i="65" s="1"/>
  <c r="E99" i="65" s="1"/>
  <c r="E100" i="65" s="1"/>
  <c r="E101" i="65" s="1"/>
  <c r="E102" i="65" s="1"/>
  <c r="E103" i="65" s="1"/>
  <c r="E104" i="65" s="1"/>
  <c r="E105" i="65" s="1"/>
  <c r="AH105" i="65" s="1"/>
  <c r="E114" i="65"/>
  <c r="AC111" i="65"/>
  <c r="AC112" i="65" s="1"/>
  <c r="AC113" i="65" s="1"/>
  <c r="AC114" i="65"/>
  <c r="AH122" i="65"/>
  <c r="AH151" i="65" s="1"/>
  <c r="D151" i="65"/>
  <c r="D123" i="65"/>
  <c r="H151" i="65"/>
  <c r="H127" i="65"/>
  <c r="H128" i="65" s="1"/>
  <c r="H129" i="65" s="1"/>
  <c r="H130" i="65" s="1"/>
  <c r="H131" i="65" s="1"/>
  <c r="H132" i="65" s="1"/>
  <c r="H133" i="65" s="1"/>
  <c r="H134" i="65" s="1"/>
  <c r="H135" i="65" s="1"/>
  <c r="H136" i="65" s="1"/>
  <c r="H137" i="65" s="1"/>
  <c r="H138" i="65" s="1"/>
  <c r="H139" i="65" s="1"/>
  <c r="H140" i="65" s="1"/>
  <c r="AH140" i="65" s="1"/>
  <c r="P151" i="65"/>
  <c r="P135" i="65"/>
  <c r="P136" i="65" s="1"/>
  <c r="P137" i="65" s="1"/>
  <c r="P138" i="65" s="1"/>
  <c r="P139" i="65" s="1"/>
  <c r="P140" i="65" s="1"/>
  <c r="P141" i="65" s="1"/>
  <c r="P142" i="65" s="1"/>
  <c r="P143" i="65" s="1"/>
  <c r="P144" i="65" s="1"/>
  <c r="P145" i="65" s="1"/>
  <c r="P146" i="65" s="1"/>
  <c r="P147" i="65" s="1"/>
  <c r="P148" i="65" s="1"/>
  <c r="AH148" i="65" s="1"/>
  <c r="F41" i="55"/>
  <c r="E41" i="55" s="1"/>
  <c r="C41" i="55" s="1"/>
  <c r="F45" i="55"/>
  <c r="E45" i="55" s="1"/>
  <c r="C45" i="55" s="1"/>
  <c r="F49" i="55"/>
  <c r="E49" i="55" s="1"/>
  <c r="C49" i="55" s="1"/>
  <c r="F53" i="55"/>
  <c r="E53" i="55" s="1"/>
  <c r="C53" i="55" s="1"/>
  <c r="F57" i="55"/>
  <c r="E57" i="55" s="1"/>
  <c r="C57" i="55" s="1"/>
  <c r="F61" i="55"/>
  <c r="E61" i="55" s="1"/>
  <c r="C61" i="55" s="1"/>
  <c r="F65" i="55"/>
  <c r="E65" i="55" s="1"/>
  <c r="C65" i="55" s="1"/>
  <c r="AH44" i="65"/>
  <c r="F114" i="65"/>
  <c r="F88" i="65"/>
  <c r="F89" i="65" s="1"/>
  <c r="F90" i="65" s="1"/>
  <c r="F91" i="65" s="1"/>
  <c r="F92" i="65" s="1"/>
  <c r="F93" i="65" s="1"/>
  <c r="F94" i="65" s="1"/>
  <c r="F95" i="65" s="1"/>
  <c r="F96" i="65" s="1"/>
  <c r="F97" i="65" s="1"/>
  <c r="F98" i="65" s="1"/>
  <c r="F99" i="65" s="1"/>
  <c r="F100" i="65" s="1"/>
  <c r="F101" i="65" s="1"/>
  <c r="F102" i="65" s="1"/>
  <c r="F103" i="65" s="1"/>
  <c r="F104" i="65" s="1"/>
  <c r="F105" i="65" s="1"/>
  <c r="F106" i="65" s="1"/>
  <c r="AH106" i="65" s="1"/>
  <c r="N114" i="65"/>
  <c r="N96" i="65"/>
  <c r="N97" i="65" s="1"/>
  <c r="N98" i="65" s="1"/>
  <c r="N99" i="65" s="1"/>
  <c r="N100" i="65" s="1"/>
  <c r="N101" i="65" s="1"/>
  <c r="N102" i="65" s="1"/>
  <c r="N103" i="65" s="1"/>
  <c r="N104" i="65" s="1"/>
  <c r="N105" i="65" s="1"/>
  <c r="N106" i="65" s="1"/>
  <c r="N107" i="65" s="1"/>
  <c r="N108" i="65" s="1"/>
  <c r="N109" i="65" s="1"/>
  <c r="N110" i="65" s="1"/>
  <c r="N111" i="65" s="1"/>
  <c r="N112" i="65" s="1"/>
  <c r="N113" i="65" s="1"/>
  <c r="R100" i="65"/>
  <c r="R101" i="65" s="1"/>
  <c r="R102" i="65" s="1"/>
  <c r="R103" i="65" s="1"/>
  <c r="R104" i="65" s="1"/>
  <c r="R105" i="65" s="1"/>
  <c r="R106" i="65" s="1"/>
  <c r="R107" i="65" s="1"/>
  <c r="R108" i="65" s="1"/>
  <c r="R109" i="65" s="1"/>
  <c r="R110" i="65" s="1"/>
  <c r="R111" i="65" s="1"/>
  <c r="R112" i="65" s="1"/>
  <c r="R113" i="65" s="1"/>
  <c r="R114" i="65"/>
  <c r="V114" i="65"/>
  <c r="V104" i="65"/>
  <c r="V105" i="65" s="1"/>
  <c r="V106" i="65" s="1"/>
  <c r="V107" i="65" s="1"/>
  <c r="V108" i="65" s="1"/>
  <c r="V109" i="65" s="1"/>
  <c r="V110" i="65" s="1"/>
  <c r="V111" i="65" s="1"/>
  <c r="V112" i="65" s="1"/>
  <c r="V113" i="65" s="1"/>
  <c r="Z114" i="65"/>
  <c r="Z108" i="65"/>
  <c r="Z109" i="65" s="1"/>
  <c r="Z110" i="65" s="1"/>
  <c r="Z111" i="65" s="1"/>
  <c r="Z112" i="65" s="1"/>
  <c r="Z113" i="65" s="1"/>
  <c r="AD114" i="65"/>
  <c r="AD112" i="65"/>
  <c r="AD113" i="65" s="1"/>
  <c r="F38" i="55"/>
  <c r="F42" i="55"/>
  <c r="E42" i="55" s="1"/>
  <c r="C42" i="55" s="1"/>
  <c r="F46" i="55"/>
  <c r="E46" i="55" s="1"/>
  <c r="C46" i="55" s="1"/>
  <c r="F50" i="55"/>
  <c r="E50" i="55" s="1"/>
  <c r="C50" i="55" s="1"/>
  <c r="F54" i="55"/>
  <c r="E54" i="55" s="1"/>
  <c r="C54" i="55" s="1"/>
  <c r="F58" i="55"/>
  <c r="E58" i="55" s="1"/>
  <c r="C58" i="55" s="1"/>
  <c r="F62" i="55"/>
  <c r="E62" i="55" s="1"/>
  <c r="C62" i="55" s="1"/>
  <c r="AE76" i="65"/>
  <c r="O114" i="65"/>
  <c r="O97" i="65"/>
  <c r="O98" i="65" s="1"/>
  <c r="O99" i="65" s="1"/>
  <c r="O100" i="65" s="1"/>
  <c r="O101" i="65" s="1"/>
  <c r="O102" i="65" s="1"/>
  <c r="O103" i="65" s="1"/>
  <c r="O104" i="65" s="1"/>
  <c r="O105" i="65" s="1"/>
  <c r="O106" i="65" s="1"/>
  <c r="O107" i="65" s="1"/>
  <c r="O108" i="65" s="1"/>
  <c r="O109" i="65" s="1"/>
  <c r="O110" i="65" s="1"/>
  <c r="O111" i="65" s="1"/>
  <c r="O112" i="65" s="1"/>
  <c r="O113" i="65" s="1"/>
  <c r="Z151" i="65"/>
  <c r="Z145" i="65"/>
  <c r="Z146" i="65" s="1"/>
  <c r="Z147" i="65" s="1"/>
  <c r="Z148" i="65" s="1"/>
  <c r="Z149" i="65" s="1"/>
  <c r="Z150" i="65" s="1"/>
  <c r="AD151" i="65"/>
  <c r="AD149" i="65"/>
  <c r="AD150" i="65" s="1"/>
  <c r="AA114" i="65"/>
  <c r="I128" i="65"/>
  <c r="I129" i="65" s="1"/>
  <c r="I130" i="65" s="1"/>
  <c r="I131" i="65" s="1"/>
  <c r="I132" i="65" s="1"/>
  <c r="I133" i="65" s="1"/>
  <c r="I134" i="65" s="1"/>
  <c r="I135" i="65" s="1"/>
  <c r="I136" i="65" s="1"/>
  <c r="I137" i="65" s="1"/>
  <c r="I138" i="65" s="1"/>
  <c r="I139" i="65" s="1"/>
  <c r="I140" i="65" s="1"/>
  <c r="I141" i="65" s="1"/>
  <c r="AH141" i="65" s="1"/>
  <c r="F151" i="65"/>
  <c r="D188" i="65"/>
  <c r="D160" i="65"/>
  <c r="AH159" i="65"/>
  <c r="AH188" i="65" s="1"/>
  <c r="L188" i="65"/>
  <c r="L168" i="65"/>
  <c r="L169" i="65" s="1"/>
  <c r="L170" i="65" s="1"/>
  <c r="L171" i="65" s="1"/>
  <c r="L172" i="65" s="1"/>
  <c r="L173" i="65" s="1"/>
  <c r="L174" i="65" s="1"/>
  <c r="L175" i="65" s="1"/>
  <c r="L176" i="65" s="1"/>
  <c r="L177" i="65" s="1"/>
  <c r="L178" i="65" s="1"/>
  <c r="AH178" i="65" s="1"/>
  <c r="G188" i="65"/>
  <c r="G163" i="65"/>
  <c r="G164" i="65" s="1"/>
  <c r="G165" i="65" s="1"/>
  <c r="G166" i="65" s="1"/>
  <c r="G167" i="65" s="1"/>
  <c r="G168" i="65" s="1"/>
  <c r="G169" i="65" s="1"/>
  <c r="G170" i="65" s="1"/>
  <c r="G171" i="65" s="1"/>
  <c r="G172" i="65" s="1"/>
  <c r="G173" i="65" s="1"/>
  <c r="AH173" i="65" s="1"/>
  <c r="H164" i="65"/>
  <c r="H165" i="65" s="1"/>
  <c r="H166" i="65" s="1"/>
  <c r="H167" i="65" s="1"/>
  <c r="H168" i="65" s="1"/>
  <c r="H169" i="65" s="1"/>
  <c r="H170" i="65" s="1"/>
  <c r="H171" i="65" s="1"/>
  <c r="H172" i="65" s="1"/>
  <c r="H173" i="65" s="1"/>
  <c r="H174" i="65" s="1"/>
  <c r="AH174" i="65" s="1"/>
  <c r="G89" i="65"/>
  <c r="G90" i="65" s="1"/>
  <c r="G91" i="65" s="1"/>
  <c r="G92" i="65" s="1"/>
  <c r="G93" i="65" s="1"/>
  <c r="G94" i="65" s="1"/>
  <c r="G95" i="65" s="1"/>
  <c r="G96" i="65" s="1"/>
  <c r="G97" i="65" s="1"/>
  <c r="G98" i="65" s="1"/>
  <c r="G99" i="65" s="1"/>
  <c r="G100" i="65" s="1"/>
  <c r="G101" i="65" s="1"/>
  <c r="G102" i="65" s="1"/>
  <c r="G103" i="65" s="1"/>
  <c r="G104" i="65" s="1"/>
  <c r="G105" i="65" s="1"/>
  <c r="G106" i="65" s="1"/>
  <c r="G107" i="65" s="1"/>
  <c r="AH107" i="65" s="1"/>
  <c r="M114" i="65"/>
  <c r="U114" i="65"/>
  <c r="R151" i="65"/>
  <c r="R137" i="65"/>
  <c r="R138" i="65" s="1"/>
  <c r="R139" i="65" s="1"/>
  <c r="R140" i="65" s="1"/>
  <c r="R141" i="65" s="1"/>
  <c r="R142" i="65" s="1"/>
  <c r="R143" i="65" s="1"/>
  <c r="R144" i="65" s="1"/>
  <c r="R145" i="65" s="1"/>
  <c r="R146" i="65" s="1"/>
  <c r="R147" i="65" s="1"/>
  <c r="R148" i="65" s="1"/>
  <c r="R149" i="65" s="1"/>
  <c r="R150" i="65" s="1"/>
  <c r="AH150" i="65" s="1"/>
  <c r="AH118" i="65"/>
  <c r="B118" i="65" s="1"/>
  <c r="N151" i="65"/>
  <c r="G151" i="65"/>
  <c r="G126" i="65"/>
  <c r="G127" i="65" s="1"/>
  <c r="G128" i="65" s="1"/>
  <c r="G129" i="65" s="1"/>
  <c r="G130" i="65" s="1"/>
  <c r="G131" i="65" s="1"/>
  <c r="G132" i="65" s="1"/>
  <c r="G133" i="65" s="1"/>
  <c r="G134" i="65" s="1"/>
  <c r="G135" i="65" s="1"/>
  <c r="G136" i="65" s="1"/>
  <c r="G137" i="65" s="1"/>
  <c r="G138" i="65" s="1"/>
  <c r="G139" i="65" s="1"/>
  <c r="AH139" i="65" s="1"/>
  <c r="O151" i="65"/>
  <c r="O134" i="65"/>
  <c r="O135" i="65" s="1"/>
  <c r="O136" i="65" s="1"/>
  <c r="O137" i="65" s="1"/>
  <c r="O138" i="65" s="1"/>
  <c r="O139" i="65" s="1"/>
  <c r="O140" i="65" s="1"/>
  <c r="O141" i="65" s="1"/>
  <c r="O142" i="65" s="1"/>
  <c r="O143" i="65" s="1"/>
  <c r="O144" i="65" s="1"/>
  <c r="O145" i="65" s="1"/>
  <c r="O146" i="65" s="1"/>
  <c r="O147" i="65" s="1"/>
  <c r="AH147" i="65" s="1"/>
  <c r="J129" i="65"/>
  <c r="J130" i="65" s="1"/>
  <c r="J131" i="65" s="1"/>
  <c r="J132" i="65" s="1"/>
  <c r="J133" i="65" s="1"/>
  <c r="J134" i="65" s="1"/>
  <c r="J135" i="65" s="1"/>
  <c r="J136" i="65" s="1"/>
  <c r="J137" i="65" s="1"/>
  <c r="J138" i="65" s="1"/>
  <c r="J139" i="65" s="1"/>
  <c r="J140" i="65" s="1"/>
  <c r="J141" i="65" s="1"/>
  <c r="J142" i="65" s="1"/>
  <c r="AH142" i="65" s="1"/>
  <c r="L151" i="65"/>
  <c r="L131" i="65"/>
  <c r="L132" i="65" s="1"/>
  <c r="L133" i="65" s="1"/>
  <c r="L134" i="65" s="1"/>
  <c r="L135" i="65" s="1"/>
  <c r="L136" i="65" s="1"/>
  <c r="L137" i="65" s="1"/>
  <c r="L138" i="65" s="1"/>
  <c r="L139" i="65" s="1"/>
  <c r="L140" i="65" s="1"/>
  <c r="L141" i="65" s="1"/>
  <c r="L142" i="65" s="1"/>
  <c r="L143" i="65" s="1"/>
  <c r="L144" i="65" s="1"/>
  <c r="AH144" i="65" s="1"/>
  <c r="V151" i="65"/>
  <c r="I114" i="65"/>
  <c r="Q114" i="65"/>
  <c r="Y114" i="65"/>
  <c r="T139" i="65"/>
  <c r="T140" i="65" s="1"/>
  <c r="T141" i="65" s="1"/>
  <c r="T142" i="65" s="1"/>
  <c r="T143" i="65" s="1"/>
  <c r="T144" i="65" s="1"/>
  <c r="T145" i="65" s="1"/>
  <c r="T146" i="65" s="1"/>
  <c r="T147" i="65" s="1"/>
  <c r="T148" i="65" s="1"/>
  <c r="T149" i="65" s="1"/>
  <c r="T150" i="65" s="1"/>
  <c r="T151" i="65"/>
  <c r="X143" i="65"/>
  <c r="X144" i="65" s="1"/>
  <c r="X145" i="65" s="1"/>
  <c r="X146" i="65" s="1"/>
  <c r="X147" i="65" s="1"/>
  <c r="X148" i="65" s="1"/>
  <c r="X149" i="65" s="1"/>
  <c r="X150" i="65" s="1"/>
  <c r="X151" i="65"/>
  <c r="AB147" i="65"/>
  <c r="AB148" i="65" s="1"/>
  <c r="AB149" i="65" s="1"/>
  <c r="AB150" i="65" s="1"/>
  <c r="AB151" i="65"/>
  <c r="E124" i="65"/>
  <c r="E125" i="65" s="1"/>
  <c r="E126" i="65" s="1"/>
  <c r="E127" i="65" s="1"/>
  <c r="E128" i="65" s="1"/>
  <c r="E129" i="65" s="1"/>
  <c r="E130" i="65" s="1"/>
  <c r="E131" i="65" s="1"/>
  <c r="E132" i="65" s="1"/>
  <c r="E133" i="65" s="1"/>
  <c r="E134" i="65" s="1"/>
  <c r="E135" i="65" s="1"/>
  <c r="E136" i="65" s="1"/>
  <c r="E137" i="65" s="1"/>
  <c r="AH137" i="65" s="1"/>
  <c r="Q136" i="65"/>
  <c r="Q137" i="65" s="1"/>
  <c r="Q138" i="65" s="1"/>
  <c r="Q139" i="65" s="1"/>
  <c r="Q140" i="65" s="1"/>
  <c r="Q141" i="65" s="1"/>
  <c r="Q142" i="65" s="1"/>
  <c r="Q143" i="65" s="1"/>
  <c r="Q144" i="65" s="1"/>
  <c r="Q145" i="65" s="1"/>
  <c r="Q146" i="65" s="1"/>
  <c r="Q147" i="65" s="1"/>
  <c r="Q148" i="65" s="1"/>
  <c r="Q149" i="65" s="1"/>
  <c r="AH149" i="65" s="1"/>
  <c r="K167" i="65"/>
  <c r="K168" i="65" s="1"/>
  <c r="K169" i="65" s="1"/>
  <c r="K170" i="65" s="1"/>
  <c r="K171" i="65" s="1"/>
  <c r="K172" i="65" s="1"/>
  <c r="K173" i="65" s="1"/>
  <c r="K174" i="65" s="1"/>
  <c r="K175" i="65" s="1"/>
  <c r="K176" i="65" s="1"/>
  <c r="K177" i="65" s="1"/>
  <c r="AH177" i="65" s="1"/>
  <c r="Q188" i="65"/>
  <c r="Q173" i="65"/>
  <c r="Q174" i="65" s="1"/>
  <c r="Q175" i="65" s="1"/>
  <c r="Q176" i="65" s="1"/>
  <c r="Q177" i="65" s="1"/>
  <c r="Q178" i="65" s="1"/>
  <c r="Q179" i="65" s="1"/>
  <c r="Q180" i="65" s="1"/>
  <c r="Q181" i="65" s="1"/>
  <c r="Q182" i="65" s="1"/>
  <c r="Q183" i="65" s="1"/>
  <c r="AH183" i="65" s="1"/>
  <c r="W151" i="65"/>
  <c r="W142" i="65"/>
  <c r="W143" i="65" s="1"/>
  <c r="W144" i="65" s="1"/>
  <c r="W145" i="65" s="1"/>
  <c r="W146" i="65" s="1"/>
  <c r="W147" i="65" s="1"/>
  <c r="W148" i="65" s="1"/>
  <c r="W149" i="65" s="1"/>
  <c r="W150" i="65" s="1"/>
  <c r="AA151" i="65"/>
  <c r="AA146" i="65"/>
  <c r="AA147" i="65" s="1"/>
  <c r="AA148" i="65" s="1"/>
  <c r="AA149" i="65" s="1"/>
  <c r="AA150" i="65" s="1"/>
  <c r="AE151" i="65"/>
  <c r="AE150" i="65"/>
  <c r="K130" i="65"/>
  <c r="K131" i="65" s="1"/>
  <c r="K132" i="65" s="1"/>
  <c r="K133" i="65" s="1"/>
  <c r="K134" i="65" s="1"/>
  <c r="K135" i="65" s="1"/>
  <c r="K136" i="65" s="1"/>
  <c r="K137" i="65" s="1"/>
  <c r="K138" i="65" s="1"/>
  <c r="K139" i="65" s="1"/>
  <c r="K140" i="65" s="1"/>
  <c r="K141" i="65" s="1"/>
  <c r="K142" i="65" s="1"/>
  <c r="K143" i="65" s="1"/>
  <c r="AH143" i="65" s="1"/>
  <c r="N188" i="65"/>
  <c r="N170" i="65"/>
  <c r="N171" i="65" s="1"/>
  <c r="N172" i="65" s="1"/>
  <c r="N173" i="65" s="1"/>
  <c r="N174" i="65" s="1"/>
  <c r="N175" i="65" s="1"/>
  <c r="N176" i="65" s="1"/>
  <c r="N177" i="65" s="1"/>
  <c r="N178" i="65" s="1"/>
  <c r="N179" i="65" s="1"/>
  <c r="N180" i="65" s="1"/>
  <c r="AH180" i="65" s="1"/>
  <c r="N225" i="65"/>
  <c r="N207" i="65"/>
  <c r="N208" i="65" s="1"/>
  <c r="N209" i="65" s="1"/>
  <c r="N210" i="65" s="1"/>
  <c r="N211" i="65" s="1"/>
  <c r="N212" i="65" s="1"/>
  <c r="N213" i="65" s="1"/>
  <c r="N214" i="65" s="1"/>
  <c r="N215" i="65" s="1"/>
  <c r="AH215" i="65" s="1"/>
  <c r="R225" i="65"/>
  <c r="R211" i="65"/>
  <c r="R212" i="65" s="1"/>
  <c r="R213" i="65" s="1"/>
  <c r="R214" i="65" s="1"/>
  <c r="R215" i="65" s="1"/>
  <c r="R216" i="65" s="1"/>
  <c r="R217" i="65" s="1"/>
  <c r="R218" i="65" s="1"/>
  <c r="R219" i="65" s="1"/>
  <c r="AH219" i="65" s="1"/>
  <c r="V225" i="65"/>
  <c r="V215" i="65"/>
  <c r="V216" i="65" s="1"/>
  <c r="V217" i="65" s="1"/>
  <c r="V218" i="65" s="1"/>
  <c r="V219" i="65" s="1"/>
  <c r="V220" i="65" s="1"/>
  <c r="V221" i="65" s="1"/>
  <c r="V222" i="65" s="1"/>
  <c r="V223" i="65" s="1"/>
  <c r="AH223" i="65" s="1"/>
  <c r="Z225" i="65"/>
  <c r="Z219" i="65"/>
  <c r="Z220" i="65" s="1"/>
  <c r="Z221" i="65" s="1"/>
  <c r="Z222" i="65" s="1"/>
  <c r="Z223" i="65" s="1"/>
  <c r="Z224" i="65" s="1"/>
  <c r="T225" i="65"/>
  <c r="G261" i="65"/>
  <c r="G236" i="65"/>
  <c r="G237" i="65" s="1"/>
  <c r="G238" i="65" s="1"/>
  <c r="G239" i="65" s="1"/>
  <c r="G240" i="65" s="1"/>
  <c r="G241" i="65" s="1"/>
  <c r="AH241" i="65" s="1"/>
  <c r="J239" i="65"/>
  <c r="J240" i="65" s="1"/>
  <c r="J241" i="65" s="1"/>
  <c r="J242" i="65" s="1"/>
  <c r="J243" i="65" s="1"/>
  <c r="J244" i="65" s="1"/>
  <c r="AH244" i="65" s="1"/>
  <c r="J203" i="65"/>
  <c r="J204" i="65" s="1"/>
  <c r="J205" i="65" s="1"/>
  <c r="J206" i="65" s="1"/>
  <c r="J207" i="65" s="1"/>
  <c r="J208" i="65" s="1"/>
  <c r="J209" i="65" s="1"/>
  <c r="J210" i="65" s="1"/>
  <c r="J211" i="65" s="1"/>
  <c r="AH211" i="65" s="1"/>
  <c r="J225" i="65"/>
  <c r="Y144" i="65"/>
  <c r="Y145" i="65" s="1"/>
  <c r="Y146" i="65" s="1"/>
  <c r="Y147" i="65" s="1"/>
  <c r="Y148" i="65" s="1"/>
  <c r="Y149" i="65" s="1"/>
  <c r="Y150" i="65" s="1"/>
  <c r="Y151" i="65"/>
  <c r="AC148" i="65"/>
  <c r="AC149" i="65" s="1"/>
  <c r="AC150" i="65" s="1"/>
  <c r="AC151" i="65"/>
  <c r="E188" i="65"/>
  <c r="E161" i="65"/>
  <c r="E162" i="65" s="1"/>
  <c r="E163" i="65" s="1"/>
  <c r="E164" i="65" s="1"/>
  <c r="E165" i="65" s="1"/>
  <c r="E166" i="65" s="1"/>
  <c r="E167" i="65" s="1"/>
  <c r="E168" i="65" s="1"/>
  <c r="E169" i="65" s="1"/>
  <c r="E170" i="65" s="1"/>
  <c r="E171" i="65" s="1"/>
  <c r="AH171" i="65" s="1"/>
  <c r="I188" i="65"/>
  <c r="I165" i="65"/>
  <c r="I166" i="65" s="1"/>
  <c r="I167" i="65" s="1"/>
  <c r="I168" i="65" s="1"/>
  <c r="I169" i="65" s="1"/>
  <c r="I170" i="65" s="1"/>
  <c r="I171" i="65" s="1"/>
  <c r="I172" i="65" s="1"/>
  <c r="I173" i="65" s="1"/>
  <c r="I174" i="65" s="1"/>
  <c r="I175" i="65" s="1"/>
  <c r="AH175" i="65" s="1"/>
  <c r="M188" i="65"/>
  <c r="M169" i="65"/>
  <c r="M170" i="65" s="1"/>
  <c r="M171" i="65" s="1"/>
  <c r="M172" i="65" s="1"/>
  <c r="M173" i="65" s="1"/>
  <c r="M174" i="65" s="1"/>
  <c r="M175" i="65" s="1"/>
  <c r="M176" i="65" s="1"/>
  <c r="M177" i="65" s="1"/>
  <c r="M178" i="65" s="1"/>
  <c r="M179" i="65" s="1"/>
  <c r="AH179" i="65" s="1"/>
  <c r="F188" i="65"/>
  <c r="F162" i="65"/>
  <c r="F163" i="65" s="1"/>
  <c r="F164" i="65" s="1"/>
  <c r="F165" i="65" s="1"/>
  <c r="F166" i="65" s="1"/>
  <c r="F167" i="65" s="1"/>
  <c r="F168" i="65" s="1"/>
  <c r="F169" i="65" s="1"/>
  <c r="F170" i="65" s="1"/>
  <c r="F171" i="65" s="1"/>
  <c r="F172" i="65" s="1"/>
  <c r="AH172" i="65" s="1"/>
  <c r="U177" i="65"/>
  <c r="U178" i="65" s="1"/>
  <c r="U179" i="65" s="1"/>
  <c r="U180" i="65" s="1"/>
  <c r="U181" i="65" s="1"/>
  <c r="U182" i="65" s="1"/>
  <c r="U183" i="65" s="1"/>
  <c r="U184" i="65" s="1"/>
  <c r="U185" i="65" s="1"/>
  <c r="U186" i="65" s="1"/>
  <c r="U187" i="65" s="1"/>
  <c r="AH187" i="65" s="1"/>
  <c r="W179" i="65"/>
  <c r="W180" i="65" s="1"/>
  <c r="W181" i="65" s="1"/>
  <c r="W182" i="65" s="1"/>
  <c r="W183" i="65" s="1"/>
  <c r="W184" i="65" s="1"/>
  <c r="W185" i="65" s="1"/>
  <c r="W186" i="65" s="1"/>
  <c r="W187" i="65" s="1"/>
  <c r="Y181" i="65"/>
  <c r="Y182" i="65" s="1"/>
  <c r="Y183" i="65" s="1"/>
  <c r="Y184" i="65" s="1"/>
  <c r="Y185" i="65" s="1"/>
  <c r="Y186" i="65" s="1"/>
  <c r="Y187" i="65" s="1"/>
  <c r="AA183" i="65"/>
  <c r="AA184" i="65" s="1"/>
  <c r="AA185" i="65" s="1"/>
  <c r="AA186" i="65" s="1"/>
  <c r="AA187" i="65" s="1"/>
  <c r="AC185" i="65"/>
  <c r="AC186" i="65" s="1"/>
  <c r="AC187" i="65" s="1"/>
  <c r="AE187" i="65"/>
  <c r="P188" i="65"/>
  <c r="L225" i="65"/>
  <c r="AB225" i="65"/>
  <c r="H237" i="65"/>
  <c r="H238" i="65" s="1"/>
  <c r="H239" i="65" s="1"/>
  <c r="H240" i="65" s="1"/>
  <c r="H241" i="65" s="1"/>
  <c r="H242" i="65" s="1"/>
  <c r="AH242" i="65" s="1"/>
  <c r="M261" i="65"/>
  <c r="M242" i="65"/>
  <c r="M243" i="65" s="1"/>
  <c r="M244" i="65" s="1"/>
  <c r="M245" i="65" s="1"/>
  <c r="M246" i="65" s="1"/>
  <c r="M247" i="65" s="1"/>
  <c r="AH247" i="65" s="1"/>
  <c r="O261" i="65"/>
  <c r="O244" i="65"/>
  <c r="O245" i="65" s="1"/>
  <c r="O246" i="65" s="1"/>
  <c r="O247" i="65" s="1"/>
  <c r="O248" i="65" s="1"/>
  <c r="O249" i="65" s="1"/>
  <c r="AH249" i="65" s="1"/>
  <c r="Q261" i="65"/>
  <c r="Q246" i="65"/>
  <c r="Q247" i="65" s="1"/>
  <c r="Q248" i="65" s="1"/>
  <c r="Q249" i="65" s="1"/>
  <c r="Q250" i="65" s="1"/>
  <c r="Q251" i="65" s="1"/>
  <c r="AH251" i="65" s="1"/>
  <c r="S261" i="65"/>
  <c r="S248" i="65"/>
  <c r="S249" i="65" s="1"/>
  <c r="S250" i="65" s="1"/>
  <c r="S251" i="65" s="1"/>
  <c r="S252" i="65" s="1"/>
  <c r="S253" i="65" s="1"/>
  <c r="AH253" i="65" s="1"/>
  <c r="U261" i="65"/>
  <c r="U250" i="65"/>
  <c r="U251" i="65" s="1"/>
  <c r="U252" i="65" s="1"/>
  <c r="U253" i="65" s="1"/>
  <c r="U254" i="65" s="1"/>
  <c r="U255" i="65" s="1"/>
  <c r="AH255" i="65" s="1"/>
  <c r="W261" i="65"/>
  <c r="W252" i="65"/>
  <c r="W253" i="65" s="1"/>
  <c r="W254" i="65" s="1"/>
  <c r="W255" i="65" s="1"/>
  <c r="W256" i="65" s="1"/>
  <c r="W257" i="65" s="1"/>
  <c r="AH257" i="65" s="1"/>
  <c r="Y261" i="65"/>
  <c r="Y254" i="65"/>
  <c r="Y255" i="65" s="1"/>
  <c r="Y256" i="65" s="1"/>
  <c r="Y257" i="65" s="1"/>
  <c r="Y258" i="65" s="1"/>
  <c r="Y259" i="65" s="1"/>
  <c r="AH259" i="65" s="1"/>
  <c r="AA261" i="65"/>
  <c r="AA256" i="65"/>
  <c r="AA257" i="65" s="1"/>
  <c r="AA258" i="65" s="1"/>
  <c r="AA259" i="65" s="1"/>
  <c r="AA260" i="65" s="1"/>
  <c r="AC261" i="65"/>
  <c r="AC258" i="65"/>
  <c r="AC259" i="65" s="1"/>
  <c r="AC260" i="65" s="1"/>
  <c r="AE261" i="65"/>
  <c r="AE260" i="65"/>
  <c r="U140" i="65"/>
  <c r="U141" i="65" s="1"/>
  <c r="U142" i="65" s="1"/>
  <c r="U143" i="65" s="1"/>
  <c r="U144" i="65" s="1"/>
  <c r="U145" i="65" s="1"/>
  <c r="U146" i="65" s="1"/>
  <c r="U147" i="65" s="1"/>
  <c r="U148" i="65" s="1"/>
  <c r="U149" i="65" s="1"/>
  <c r="U150" i="65" s="1"/>
  <c r="J188" i="65"/>
  <c r="J166" i="65"/>
  <c r="J167" i="65" s="1"/>
  <c r="J168" i="65" s="1"/>
  <c r="J169" i="65" s="1"/>
  <c r="J170" i="65" s="1"/>
  <c r="J171" i="65" s="1"/>
  <c r="J172" i="65" s="1"/>
  <c r="J173" i="65" s="1"/>
  <c r="J174" i="65" s="1"/>
  <c r="J175" i="65" s="1"/>
  <c r="J176" i="65" s="1"/>
  <c r="AH176" i="65" s="1"/>
  <c r="O188" i="65"/>
  <c r="O171" i="65"/>
  <c r="O172" i="65" s="1"/>
  <c r="O173" i="65" s="1"/>
  <c r="O174" i="65" s="1"/>
  <c r="O175" i="65" s="1"/>
  <c r="O176" i="65" s="1"/>
  <c r="O177" i="65" s="1"/>
  <c r="O178" i="65" s="1"/>
  <c r="O179" i="65" s="1"/>
  <c r="O180" i="65" s="1"/>
  <c r="O181" i="65" s="1"/>
  <c r="AH181" i="65" s="1"/>
  <c r="G225" i="65"/>
  <c r="G200" i="65"/>
  <c r="G201" i="65" s="1"/>
  <c r="G202" i="65" s="1"/>
  <c r="G203" i="65" s="1"/>
  <c r="G204" i="65" s="1"/>
  <c r="G205" i="65" s="1"/>
  <c r="G206" i="65" s="1"/>
  <c r="G207" i="65" s="1"/>
  <c r="G208" i="65" s="1"/>
  <c r="AH208" i="65" s="1"/>
  <c r="K204" i="65"/>
  <c r="K205" i="65" s="1"/>
  <c r="K206" i="65" s="1"/>
  <c r="K207" i="65" s="1"/>
  <c r="K208" i="65" s="1"/>
  <c r="K209" i="65" s="1"/>
  <c r="K210" i="65" s="1"/>
  <c r="K211" i="65" s="1"/>
  <c r="K212" i="65" s="1"/>
  <c r="AH212" i="65" s="1"/>
  <c r="D233" i="65"/>
  <c r="AH232" i="65"/>
  <c r="AH261" i="65" s="1"/>
  <c r="AH308" i="65"/>
  <c r="AH337" i="65" s="1"/>
  <c r="D309" i="65"/>
  <c r="D337" i="65"/>
  <c r="AH155" i="65"/>
  <c r="B155" i="65" s="1"/>
  <c r="E225" i="65"/>
  <c r="E198" i="65"/>
  <c r="E199" i="65" s="1"/>
  <c r="E200" i="65" s="1"/>
  <c r="E201" i="65" s="1"/>
  <c r="E202" i="65" s="1"/>
  <c r="E203" i="65" s="1"/>
  <c r="E204" i="65" s="1"/>
  <c r="E205" i="65" s="1"/>
  <c r="E206" i="65" s="1"/>
  <c r="AH206" i="65" s="1"/>
  <c r="I202" i="65"/>
  <c r="I203" i="65" s="1"/>
  <c r="I204" i="65" s="1"/>
  <c r="I205" i="65" s="1"/>
  <c r="I206" i="65" s="1"/>
  <c r="I207" i="65" s="1"/>
  <c r="I208" i="65" s="1"/>
  <c r="I209" i="65" s="1"/>
  <c r="I210" i="65" s="1"/>
  <c r="AH210" i="65" s="1"/>
  <c r="I225" i="65"/>
  <c r="K261" i="65"/>
  <c r="K240" i="65"/>
  <c r="K241" i="65" s="1"/>
  <c r="K242" i="65" s="1"/>
  <c r="K243" i="65" s="1"/>
  <c r="K244" i="65" s="1"/>
  <c r="K245" i="65" s="1"/>
  <c r="AH245" i="65" s="1"/>
  <c r="D299" i="65"/>
  <c r="AH270" i="65"/>
  <c r="AH299" i="65" s="1"/>
  <c r="D271" i="65"/>
  <c r="F273" i="65"/>
  <c r="F274" i="65" s="1"/>
  <c r="F275" i="65" s="1"/>
  <c r="F276" i="65" s="1"/>
  <c r="AH276" i="65" s="1"/>
  <c r="F225" i="65"/>
  <c r="E261" i="65"/>
  <c r="E234" i="65"/>
  <c r="E235" i="65" s="1"/>
  <c r="E236" i="65" s="1"/>
  <c r="E237" i="65" s="1"/>
  <c r="E238" i="65" s="1"/>
  <c r="E239" i="65" s="1"/>
  <c r="AH239" i="65" s="1"/>
  <c r="I261" i="65"/>
  <c r="I238" i="65"/>
  <c r="I239" i="65" s="1"/>
  <c r="I240" i="65" s="1"/>
  <c r="I241" i="65" s="1"/>
  <c r="I242" i="65" s="1"/>
  <c r="I243" i="65" s="1"/>
  <c r="AH243" i="65" s="1"/>
  <c r="F261" i="65"/>
  <c r="F235" i="65"/>
  <c r="F236" i="65" s="1"/>
  <c r="F237" i="65" s="1"/>
  <c r="F238" i="65" s="1"/>
  <c r="F239" i="65" s="1"/>
  <c r="F240" i="65" s="1"/>
  <c r="AH240" i="65" s="1"/>
  <c r="D196" i="65"/>
  <c r="AD222" i="65"/>
  <c r="AH228" i="65"/>
  <c r="B228" i="65" s="1"/>
  <c r="N261" i="65"/>
  <c r="V261" i="65"/>
  <c r="AD261" i="65"/>
  <c r="I276" i="65"/>
  <c r="I277" i="65" s="1"/>
  <c r="I278" i="65" s="1"/>
  <c r="I279" i="65" s="1"/>
  <c r="AH279" i="65" s="1"/>
  <c r="I299" i="65"/>
  <c r="M280" i="65"/>
  <c r="M281" i="65" s="1"/>
  <c r="M282" i="65" s="1"/>
  <c r="M283" i="65" s="1"/>
  <c r="AH283" i="65" s="1"/>
  <c r="M299" i="65"/>
  <c r="Q284" i="65"/>
  <c r="Q285" i="65" s="1"/>
  <c r="Q286" i="65" s="1"/>
  <c r="Q287" i="65" s="1"/>
  <c r="AH287" i="65" s="1"/>
  <c r="Q299" i="65"/>
  <c r="U288" i="65"/>
  <c r="U289" i="65" s="1"/>
  <c r="U290" i="65" s="1"/>
  <c r="U291" i="65" s="1"/>
  <c r="AH291" i="65" s="1"/>
  <c r="U299" i="65"/>
  <c r="Y292" i="65"/>
  <c r="Y293" i="65" s="1"/>
  <c r="Y294" i="65" s="1"/>
  <c r="Y295" i="65" s="1"/>
  <c r="AH295" i="65" s="1"/>
  <c r="Y299" i="65"/>
  <c r="AC296" i="65"/>
  <c r="AC297" i="65" s="1"/>
  <c r="AC298" i="65" s="1"/>
  <c r="AC299" i="65"/>
  <c r="S299" i="65"/>
  <c r="R261" i="65"/>
  <c r="Z261" i="65"/>
  <c r="K299" i="65"/>
  <c r="AA299" i="65"/>
  <c r="AH266" i="65"/>
  <c r="B266" i="65" s="1"/>
  <c r="AH304" i="65"/>
  <c r="B304" i="65" s="1"/>
  <c r="G312" i="65"/>
  <c r="G313" i="65" s="1"/>
  <c r="AH313" i="65" s="1"/>
  <c r="K316" i="65"/>
  <c r="K317" i="65" s="1"/>
  <c r="AH317" i="65" s="1"/>
  <c r="O320" i="65"/>
  <c r="O321" i="65" s="1"/>
  <c r="AH321" i="65" s="1"/>
  <c r="S324" i="65"/>
  <c r="S325" i="65" s="1"/>
  <c r="AH325" i="65" s="1"/>
  <c r="W328" i="65"/>
  <c r="W329" i="65" s="1"/>
  <c r="AH329" i="65" s="1"/>
  <c r="AA332" i="65"/>
  <c r="AA333" i="65" s="1"/>
  <c r="AH333" i="65" s="1"/>
  <c r="AE336" i="65"/>
  <c r="H337" i="65"/>
  <c r="P337" i="65"/>
  <c r="X337" i="65"/>
  <c r="L337" i="65"/>
  <c r="T337" i="65"/>
  <c r="AB337" i="65"/>
  <c r="Z16" i="82" l="1"/>
  <c r="N16" i="82"/>
  <c r="AA15" i="47"/>
  <c r="AA23" i="47"/>
  <c r="C16" i="82"/>
  <c r="AA19" i="47"/>
  <c r="L16" i="82"/>
  <c r="E16" i="82"/>
  <c r="E22" i="82" s="1"/>
  <c r="F16" i="82"/>
  <c r="F22" i="82" s="1"/>
  <c r="AA33" i="47"/>
  <c r="W16" i="82"/>
  <c r="U16" i="82"/>
  <c r="V16" i="82"/>
  <c r="S16" i="82"/>
  <c r="T16" i="82"/>
  <c r="H16" i="82"/>
  <c r="Q16" i="82"/>
  <c r="AA24" i="47"/>
  <c r="X16" i="82"/>
  <c r="Y16" i="82"/>
  <c r="D16" i="82"/>
  <c r="D22" i="82" s="1"/>
  <c r="O16" i="82"/>
  <c r="D31" i="60"/>
  <c r="AC17" i="82" s="1"/>
  <c r="AC16" i="82" s="1"/>
  <c r="AD16" i="82"/>
  <c r="R16" i="82"/>
  <c r="AA26" i="47"/>
  <c r="I16" i="82"/>
  <c r="AB16" i="82"/>
  <c r="P16" i="82"/>
  <c r="K16" i="82"/>
  <c r="AA25" i="47"/>
  <c r="C13" i="82"/>
  <c r="C22" i="82" s="1"/>
  <c r="C4" i="83" s="1"/>
  <c r="AG15" i="82"/>
  <c r="AG20" i="82"/>
  <c r="G16" i="82"/>
  <c r="M11" i="57"/>
  <c r="AA11" i="57" s="1"/>
  <c r="AA17" i="47"/>
  <c r="M24" i="57"/>
  <c r="AA24" i="57" s="1"/>
  <c r="AA6" i="47"/>
  <c r="AA22" i="47"/>
  <c r="J4" i="32"/>
  <c r="AA4" i="47"/>
  <c r="M16" i="57"/>
  <c r="AA16" i="57" s="1"/>
  <c r="F16" i="53"/>
  <c r="G18" i="42"/>
  <c r="I17" i="52" s="1"/>
  <c r="E17" i="52" s="1"/>
  <c r="F17" i="52" s="1"/>
  <c r="J8" i="32"/>
  <c r="G15" i="42"/>
  <c r="I14" i="52" s="1"/>
  <c r="E14" i="52" s="1"/>
  <c r="F14" i="52" s="1"/>
  <c r="E18" i="29"/>
  <c r="C19" i="60" s="1"/>
  <c r="D15" i="60"/>
  <c r="M17" i="82" s="1"/>
  <c r="K17" i="54"/>
  <c r="E17" i="54" s="1"/>
  <c r="F17" i="54" s="1"/>
  <c r="H34" i="42"/>
  <c r="K8" i="54"/>
  <c r="E8" i="54" s="1"/>
  <c r="F8" i="54" s="1"/>
  <c r="G30" i="42"/>
  <c r="I29" i="52" s="1"/>
  <c r="E29" i="52" s="1"/>
  <c r="F29" i="52" s="1"/>
  <c r="AA29" i="47"/>
  <c r="F21" i="53"/>
  <c r="AA10" i="47"/>
  <c r="Y8" i="57"/>
  <c r="C14" i="53"/>
  <c r="G14" i="53" s="1"/>
  <c r="H30" i="42"/>
  <c r="K7" i="55"/>
  <c r="E7" i="55" s="1"/>
  <c r="F7" i="55" s="1"/>
  <c r="AA27" i="47"/>
  <c r="F13" i="53"/>
  <c r="M6" i="57"/>
  <c r="AA9" i="47"/>
  <c r="AA18" i="47"/>
  <c r="J7" i="32"/>
  <c r="F11" i="53"/>
  <c r="G11" i="53" s="1"/>
  <c r="G34" i="42"/>
  <c r="I33" i="52" s="1"/>
  <c r="E33" i="52" s="1"/>
  <c r="F33" i="52" s="1"/>
  <c r="C7" i="53"/>
  <c r="E7" i="53" s="1"/>
  <c r="F9" i="53"/>
  <c r="J6" i="32"/>
  <c r="M8" i="57"/>
  <c r="AA21" i="47"/>
  <c r="AA16" i="47"/>
  <c r="F8" i="53"/>
  <c r="U21" i="57"/>
  <c r="D21" i="58" s="1"/>
  <c r="S6" i="82" s="1"/>
  <c r="S11" i="94" s="1"/>
  <c r="M7" i="57"/>
  <c r="AA7" i="57" s="1"/>
  <c r="H22" i="42"/>
  <c r="H26" i="42"/>
  <c r="J12" i="32"/>
  <c r="J10" i="32"/>
  <c r="C9" i="53"/>
  <c r="E9" i="53" s="1"/>
  <c r="K6" i="55"/>
  <c r="E6" i="55" s="1"/>
  <c r="F6" i="55" s="1"/>
  <c r="K4" i="54"/>
  <c r="E4" i="54" s="1"/>
  <c r="F4" i="54" s="1"/>
  <c r="J16" i="32"/>
  <c r="AA28" i="47"/>
  <c r="AA20" i="47"/>
  <c r="AA12" i="47"/>
  <c r="AA5" i="47"/>
  <c r="F12" i="53"/>
  <c r="F10" i="53"/>
  <c r="G10" i="53" s="1"/>
  <c r="F24" i="53"/>
  <c r="F15" i="53"/>
  <c r="M15" i="57"/>
  <c r="U15" i="57" s="1"/>
  <c r="D15" i="58" s="1"/>
  <c r="M6" i="82" s="1"/>
  <c r="M11" i="94" s="1"/>
  <c r="M10" i="57"/>
  <c r="AA10" i="57" s="1"/>
  <c r="M12" i="57"/>
  <c r="AA12" i="57" s="1"/>
  <c r="U11" i="57"/>
  <c r="D11" i="58" s="1"/>
  <c r="I6" i="82" s="1"/>
  <c r="Q5" i="57"/>
  <c r="R5" i="57" s="1"/>
  <c r="Y36" i="47"/>
  <c r="W37" i="47" s="1"/>
  <c r="D29" i="83" s="1"/>
  <c r="F29" i="83" s="1"/>
  <c r="Q7" i="57"/>
  <c r="R7" i="57" s="1"/>
  <c r="Q13" i="57"/>
  <c r="R13" i="57" s="1"/>
  <c r="C13" i="58" s="1"/>
  <c r="K5" i="82" s="1"/>
  <c r="K10" i="94" s="1"/>
  <c r="Q9" i="57"/>
  <c r="R9" i="57" s="1"/>
  <c r="Q18" i="57"/>
  <c r="R18" i="57" s="1"/>
  <c r="C18" i="58" s="1"/>
  <c r="P5" i="82" s="1"/>
  <c r="P10" i="94" s="1"/>
  <c r="Q21" i="57"/>
  <c r="R21" i="57" s="1"/>
  <c r="Q26" i="57"/>
  <c r="R26" i="57" s="1"/>
  <c r="C26" i="58" s="1"/>
  <c r="X5" i="82" s="1"/>
  <c r="X10" i="94" s="1"/>
  <c r="Q10" i="57"/>
  <c r="R10" i="57" s="1"/>
  <c r="Q15" i="57"/>
  <c r="R15" i="57" s="1"/>
  <c r="C15" i="58" s="1"/>
  <c r="M5" i="82" s="1"/>
  <c r="M10" i="94" s="1"/>
  <c r="Q11" i="57"/>
  <c r="R11" i="57" s="1"/>
  <c r="Q29" i="57"/>
  <c r="R29" i="57" s="1"/>
  <c r="C29" i="58" s="1"/>
  <c r="AA5" i="82" s="1"/>
  <c r="AA10" i="94" s="1"/>
  <c r="Q24" i="57"/>
  <c r="R24" i="57" s="1"/>
  <c r="Q12" i="57"/>
  <c r="Q16" i="57"/>
  <c r="R16" i="57" s="1"/>
  <c r="C16" i="58" s="1"/>
  <c r="N5" i="82" s="1"/>
  <c r="N10" i="94" s="1"/>
  <c r="Q23" i="57"/>
  <c r="R23" i="57" s="1"/>
  <c r="C23" i="58" s="1"/>
  <c r="U5" i="82" s="1"/>
  <c r="U10" i="94" s="1"/>
  <c r="Y5" i="57"/>
  <c r="X3" i="57"/>
  <c r="M29" i="57"/>
  <c r="AA29" i="57" s="1"/>
  <c r="M9" i="57"/>
  <c r="U9" i="57" s="1"/>
  <c r="D9" i="58" s="1"/>
  <c r="G6" i="82" s="1"/>
  <c r="U18" i="57"/>
  <c r="D18" i="58" s="1"/>
  <c r="P6" i="82" s="1"/>
  <c r="P11" i="94" s="1"/>
  <c r="P34" i="27"/>
  <c r="Q35" i="27" s="1"/>
  <c r="F39" i="27"/>
  <c r="C18" i="53"/>
  <c r="G18" i="53" s="1"/>
  <c r="Y9" i="57"/>
  <c r="J17" i="32"/>
  <c r="M5" i="57"/>
  <c r="AA5" i="57" s="1"/>
  <c r="I22" i="42"/>
  <c r="C12" i="53"/>
  <c r="E12" i="53" s="1"/>
  <c r="J9" i="32"/>
  <c r="C8" i="53"/>
  <c r="E8" i="53" s="1"/>
  <c r="C6" i="53"/>
  <c r="E6" i="53" s="1"/>
  <c r="H15" i="42"/>
  <c r="G11" i="42"/>
  <c r="I10" i="52" s="1"/>
  <c r="E10" i="52" s="1"/>
  <c r="F10" i="52" s="1"/>
  <c r="U7" i="57"/>
  <c r="F26" i="53"/>
  <c r="M26" i="57"/>
  <c r="AA26" i="57" s="1"/>
  <c r="J7" i="29"/>
  <c r="J8" i="60"/>
  <c r="F10" i="65"/>
  <c r="G8" i="65"/>
  <c r="F9" i="65"/>
  <c r="K34" i="57"/>
  <c r="Q34" i="57" s="1"/>
  <c r="F34" i="53"/>
  <c r="K31" i="57"/>
  <c r="Q31" i="57" s="1"/>
  <c r="F31" i="53"/>
  <c r="E45" i="54"/>
  <c r="C45" i="54" s="1"/>
  <c r="D46" i="54"/>
  <c r="F10" i="29"/>
  <c r="Q10" i="29" s="1"/>
  <c r="I9" i="29"/>
  <c r="H9" i="29"/>
  <c r="K33" i="57"/>
  <c r="F33" i="53"/>
  <c r="K27" i="57"/>
  <c r="Q27" i="57" s="1"/>
  <c r="F27" i="53"/>
  <c r="K25" i="57"/>
  <c r="F25" i="53"/>
  <c r="K22" i="57"/>
  <c r="Q22" i="57" s="1"/>
  <c r="F22" i="53"/>
  <c r="K20" i="57"/>
  <c r="Q20" i="57" s="1"/>
  <c r="F20" i="53"/>
  <c r="K14" i="57"/>
  <c r="Q14" i="57" s="1"/>
  <c r="F14" i="53"/>
  <c r="L13" i="57"/>
  <c r="M13" i="57" s="1"/>
  <c r="AA13" i="57" s="1"/>
  <c r="I12" i="21"/>
  <c r="F12" i="21"/>
  <c r="G19" i="19"/>
  <c r="C18" i="19"/>
  <c r="C20" i="29"/>
  <c r="O20" i="29" s="1"/>
  <c r="R20" i="29" s="1"/>
  <c r="E19" i="29"/>
  <c r="K32" i="57"/>
  <c r="F32" i="53"/>
  <c r="D50" i="32"/>
  <c r="E49" i="32"/>
  <c r="C49" i="32" s="1"/>
  <c r="W6" i="27"/>
  <c r="Y6" i="27" s="1"/>
  <c r="AA6" i="27" s="1"/>
  <c r="X7" i="27" s="1"/>
  <c r="K30" i="57"/>
  <c r="F30" i="53"/>
  <c r="K28" i="57"/>
  <c r="F28" i="53"/>
  <c r="K19" i="57"/>
  <c r="F19" i="53"/>
  <c r="K17" i="57"/>
  <c r="F17" i="53"/>
  <c r="G17" i="53" s="1"/>
  <c r="J14" i="32"/>
  <c r="K14" i="54"/>
  <c r="E14" i="54" s="1"/>
  <c r="F14" i="54" s="1"/>
  <c r="K14" i="55"/>
  <c r="E14" i="55" s="1"/>
  <c r="F14" i="55" s="1"/>
  <c r="C15" i="53"/>
  <c r="I13" i="21"/>
  <c r="J5" i="60"/>
  <c r="J9" i="60"/>
  <c r="J6" i="60"/>
  <c r="J7" i="60"/>
  <c r="I35" i="60"/>
  <c r="F35" i="60"/>
  <c r="H8" i="42"/>
  <c r="G8" i="42"/>
  <c r="I8" i="42"/>
  <c r="H27" i="42"/>
  <c r="G27" i="42"/>
  <c r="I26" i="52" s="1"/>
  <c r="E26" i="52" s="1"/>
  <c r="F26" i="52" s="1"/>
  <c r="I27" i="42"/>
  <c r="H19" i="42"/>
  <c r="G19" i="42"/>
  <c r="I18" i="52" s="1"/>
  <c r="E18" i="52" s="1"/>
  <c r="F18" i="52" s="1"/>
  <c r="I19" i="42"/>
  <c r="G5" i="53"/>
  <c r="E5" i="53"/>
  <c r="G32" i="42"/>
  <c r="I31" i="52" s="1"/>
  <c r="E31" i="52" s="1"/>
  <c r="F31" i="52" s="1"/>
  <c r="I32" i="42"/>
  <c r="H32" i="42"/>
  <c r="U23" i="57"/>
  <c r="D23" i="58" s="1"/>
  <c r="U6" i="82" s="1"/>
  <c r="U11" i="94" s="1"/>
  <c r="AA23" i="57"/>
  <c r="U5" i="57"/>
  <c r="Z3" i="57"/>
  <c r="H33" i="42"/>
  <c r="I33" i="42"/>
  <c r="G33" i="42"/>
  <c r="I32" i="52" s="1"/>
  <c r="E32" i="52" s="1"/>
  <c r="F32" i="52" s="1"/>
  <c r="H29" i="42"/>
  <c r="I29" i="42"/>
  <c r="G29" i="42"/>
  <c r="I28" i="52" s="1"/>
  <c r="E28" i="52" s="1"/>
  <c r="F28" i="52" s="1"/>
  <c r="H25" i="42"/>
  <c r="G25" i="42"/>
  <c r="I24" i="52" s="1"/>
  <c r="E24" i="52" s="1"/>
  <c r="F24" i="52" s="1"/>
  <c r="I25" i="42"/>
  <c r="H21" i="42"/>
  <c r="G21" i="42"/>
  <c r="I20" i="52" s="1"/>
  <c r="E20" i="52" s="1"/>
  <c r="F20" i="52" s="1"/>
  <c r="I21" i="42"/>
  <c r="G17" i="42"/>
  <c r="I16" i="52" s="1"/>
  <c r="E16" i="52" s="1"/>
  <c r="F16" i="52" s="1"/>
  <c r="I17" i="42"/>
  <c r="H17" i="42"/>
  <c r="H16" i="42"/>
  <c r="G16" i="42"/>
  <c r="I15" i="52" s="1"/>
  <c r="E15" i="52" s="1"/>
  <c r="F15" i="52" s="1"/>
  <c r="I16" i="42"/>
  <c r="H31" i="42"/>
  <c r="I31" i="42"/>
  <c r="G31" i="42"/>
  <c r="I30" i="52" s="1"/>
  <c r="E30" i="52" s="1"/>
  <c r="F30" i="52" s="1"/>
  <c r="H23" i="42"/>
  <c r="G23" i="42"/>
  <c r="I22" i="52" s="1"/>
  <c r="E22" i="52" s="1"/>
  <c r="F22" i="52" s="1"/>
  <c r="I23" i="42"/>
  <c r="E10" i="53"/>
  <c r="G13" i="42"/>
  <c r="I12" i="52" s="1"/>
  <c r="E12" i="52" s="1"/>
  <c r="F12" i="52" s="1"/>
  <c r="I13" i="42"/>
  <c r="H13" i="42"/>
  <c r="G9" i="42"/>
  <c r="I8" i="52" s="1"/>
  <c r="E8" i="52" s="1"/>
  <c r="F8" i="52" s="1"/>
  <c r="I9" i="42"/>
  <c r="H9" i="42"/>
  <c r="G5" i="42"/>
  <c r="I5" i="42"/>
  <c r="H5" i="42"/>
  <c r="H12" i="42"/>
  <c r="G12" i="42"/>
  <c r="I11" i="52" s="1"/>
  <c r="E11" i="52" s="1"/>
  <c r="F11" i="52" s="1"/>
  <c r="I12" i="42"/>
  <c r="H28" i="42"/>
  <c r="G28" i="42"/>
  <c r="I27" i="52" s="1"/>
  <c r="E27" i="52" s="1"/>
  <c r="F27" i="52" s="1"/>
  <c r="I28" i="42"/>
  <c r="G6" i="53"/>
  <c r="E17" i="53"/>
  <c r="E18" i="53"/>
  <c r="H20" i="42"/>
  <c r="I20" i="42"/>
  <c r="G20" i="42"/>
  <c r="I19" i="52" s="1"/>
  <c r="E19" i="52" s="1"/>
  <c r="F19" i="52" s="1"/>
  <c r="K15" i="54"/>
  <c r="E15" i="54" s="1"/>
  <c r="F15" i="54" s="1"/>
  <c r="J15" i="32"/>
  <c r="K15" i="55"/>
  <c r="E15" i="55" s="1"/>
  <c r="F15" i="55" s="1"/>
  <c r="C16" i="53"/>
  <c r="G13" i="53"/>
  <c r="E13" i="53"/>
  <c r="E11" i="53"/>
  <c r="AH196" i="65"/>
  <c r="AH225" i="65" s="1"/>
  <c r="D197" i="65"/>
  <c r="D225" i="65"/>
  <c r="AH309" i="65"/>
  <c r="D310" i="65"/>
  <c r="AH310" i="65" s="1"/>
  <c r="AH160" i="65"/>
  <c r="D161" i="65"/>
  <c r="B44" i="65"/>
  <c r="D114" i="65"/>
  <c r="AH85" i="65"/>
  <c r="AH114" i="65" s="1"/>
  <c r="D86" i="65"/>
  <c r="O17" i="29"/>
  <c r="R17" i="29" s="1"/>
  <c r="O12" i="29"/>
  <c r="R12" i="29" s="1"/>
  <c r="O19" i="29"/>
  <c r="R19" i="29" s="1"/>
  <c r="O10" i="29"/>
  <c r="R10" i="29" s="1"/>
  <c r="D272" i="65"/>
  <c r="AH271" i="65"/>
  <c r="AH123" i="65"/>
  <c r="D124" i="65"/>
  <c r="D77" i="65"/>
  <c r="AH48" i="65"/>
  <c r="D49" i="65"/>
  <c r="O13" i="29"/>
  <c r="R13" i="29" s="1"/>
  <c r="O8" i="29"/>
  <c r="R8" i="29" s="1"/>
  <c r="O15" i="29"/>
  <c r="R15" i="29" s="1"/>
  <c r="O6" i="29"/>
  <c r="R6" i="29" s="1"/>
  <c r="O9" i="29"/>
  <c r="R9" i="29" s="1"/>
  <c r="P34" i="29"/>
  <c r="Q4" i="29"/>
  <c r="N34" i="29"/>
  <c r="O4" i="29"/>
  <c r="R4" i="29" s="1"/>
  <c r="O11" i="29"/>
  <c r="R11" i="29" s="1"/>
  <c r="O18" i="29"/>
  <c r="R18" i="29" s="1"/>
  <c r="AD225" i="65"/>
  <c r="AD223" i="65"/>
  <c r="AD224" i="65" s="1"/>
  <c r="AH233" i="65"/>
  <c r="D234" i="65"/>
  <c r="F69" i="55"/>
  <c r="E38" i="55"/>
  <c r="C38" i="55" s="1"/>
  <c r="C69" i="55" s="1"/>
  <c r="O5" i="29"/>
  <c r="R5" i="29" s="1"/>
  <c r="O16" i="29"/>
  <c r="R16" i="29" s="1"/>
  <c r="O7" i="29"/>
  <c r="R7" i="29" s="1"/>
  <c r="O14" i="29"/>
  <c r="R14" i="29" s="1"/>
  <c r="E24" i="82" l="1"/>
  <c r="E26" i="82" s="1"/>
  <c r="E12" i="83" s="1"/>
  <c r="E4" i="83"/>
  <c r="F24" i="82"/>
  <c r="F27" i="82" s="1"/>
  <c r="F4" i="83"/>
  <c r="D24" i="82"/>
  <c r="D30" i="82" s="1"/>
  <c r="D4" i="83"/>
  <c r="C14" i="83"/>
  <c r="F34" i="82"/>
  <c r="F31" i="82"/>
  <c r="F30" i="82"/>
  <c r="F32" i="82" s="1"/>
  <c r="AG17" i="82"/>
  <c r="E31" i="82"/>
  <c r="E34" i="82"/>
  <c r="M16" i="82"/>
  <c r="AG16" i="82" s="1"/>
  <c r="E30" i="82"/>
  <c r="E27" i="82"/>
  <c r="D30" i="83"/>
  <c r="F30" i="83" s="1"/>
  <c r="F32" i="83" s="1"/>
  <c r="AG13" i="82"/>
  <c r="D31" i="82"/>
  <c r="C24" i="82"/>
  <c r="E14" i="53"/>
  <c r="G7" i="53"/>
  <c r="G8" i="53"/>
  <c r="U29" i="57"/>
  <c r="D29" i="58" s="1"/>
  <c r="AA6" i="82" s="1"/>
  <c r="AA11" i="94" s="1"/>
  <c r="AA9" i="57"/>
  <c r="D35" i="60"/>
  <c r="D40" i="60" s="1"/>
  <c r="AA15" i="57"/>
  <c r="G9" i="53"/>
  <c r="U24" i="57"/>
  <c r="D24" i="58" s="1"/>
  <c r="V6" i="82" s="1"/>
  <c r="V11" i="94" s="1"/>
  <c r="AA6" i="57"/>
  <c r="U6" i="57"/>
  <c r="U13" i="57"/>
  <c r="D13" i="58" s="1"/>
  <c r="K6" i="82" s="1"/>
  <c r="K11" i="94" s="1"/>
  <c r="U10" i="57"/>
  <c r="D10" i="58" s="1"/>
  <c r="H6" i="82" s="1"/>
  <c r="AB3" i="57"/>
  <c r="U16" i="57"/>
  <c r="D16" i="58" s="1"/>
  <c r="N6" i="82" s="1"/>
  <c r="N11" i="94" s="1"/>
  <c r="U8" i="57"/>
  <c r="AA8" i="57"/>
  <c r="G12" i="53"/>
  <c r="U12" i="57"/>
  <c r="D12" i="58" s="1"/>
  <c r="J6" i="82" s="1"/>
  <c r="I34" i="21"/>
  <c r="V7" i="57"/>
  <c r="F7" i="57" s="1"/>
  <c r="Q32" i="57"/>
  <c r="R32" i="57" s="1"/>
  <c r="Q17" i="57"/>
  <c r="R17" i="57" s="1"/>
  <c r="Q19" i="57"/>
  <c r="R19" i="57" s="1"/>
  <c r="C19" i="58" s="1"/>
  <c r="Q5" i="82" s="1"/>
  <c r="Q10" i="94" s="1"/>
  <c r="Q30" i="57"/>
  <c r="R30" i="57" s="1"/>
  <c r="Q25" i="57"/>
  <c r="R25" i="57" s="1"/>
  <c r="Q28" i="57"/>
  <c r="R28" i="57" s="1"/>
  <c r="Q33" i="57"/>
  <c r="R33" i="57" s="1"/>
  <c r="C33" i="58" s="1"/>
  <c r="AE5" i="82" s="1"/>
  <c r="AE10" i="94" s="1"/>
  <c r="R14" i="57"/>
  <c r="R20" i="57"/>
  <c r="C20" i="58" s="1"/>
  <c r="R5" i="82" s="1"/>
  <c r="R10" i="94" s="1"/>
  <c r="R12" i="57"/>
  <c r="C12" i="58" s="1"/>
  <c r="C24" i="58"/>
  <c r="V5" i="82" s="1"/>
  <c r="V10" i="94" s="1"/>
  <c r="V21" i="57"/>
  <c r="E21" i="57" s="1"/>
  <c r="C21" i="58"/>
  <c r="S5" i="82" s="1"/>
  <c r="S10" i="94" s="1"/>
  <c r="V11" i="57"/>
  <c r="E11" i="57" s="1"/>
  <c r="C11" i="58"/>
  <c r="I5" i="82" s="1"/>
  <c r="C10" i="58"/>
  <c r="R27" i="57"/>
  <c r="C27" i="58" s="1"/>
  <c r="Y5" i="82" s="1"/>
  <c r="Y10" i="94" s="1"/>
  <c r="R22" i="57"/>
  <c r="C22" i="58" s="1"/>
  <c r="T5" i="82" s="1"/>
  <c r="T10" i="94" s="1"/>
  <c r="R34" i="57"/>
  <c r="C34" i="58" s="1"/>
  <c r="AF5" i="82" s="1"/>
  <c r="AF10" i="94" s="1"/>
  <c r="R31" i="57"/>
  <c r="C31" i="58" s="1"/>
  <c r="AC5" i="82" s="1"/>
  <c r="AC10" i="94" s="1"/>
  <c r="V18" i="57"/>
  <c r="E18" i="57" s="1"/>
  <c r="U26" i="57"/>
  <c r="D26" i="58" s="1"/>
  <c r="X6" i="82" s="1"/>
  <c r="X11" i="94" s="1"/>
  <c r="V9" i="57"/>
  <c r="G9" i="57" s="1"/>
  <c r="Y17" i="57"/>
  <c r="M17" i="57"/>
  <c r="M19" i="57"/>
  <c r="Y19" i="57"/>
  <c r="M28" i="57"/>
  <c r="Y28" i="57"/>
  <c r="Y30" i="57"/>
  <c r="M30" i="57"/>
  <c r="D51" i="32"/>
  <c r="E50" i="32"/>
  <c r="C50" i="32" s="1"/>
  <c r="Y32" i="57"/>
  <c r="M32" i="57"/>
  <c r="C20" i="60"/>
  <c r="K18" i="55"/>
  <c r="E18" i="55" s="1"/>
  <c r="F18" i="55" s="1"/>
  <c r="C19" i="53"/>
  <c r="J18" i="32"/>
  <c r="K18" i="54"/>
  <c r="E18" i="54" s="1"/>
  <c r="F18" i="54" s="1"/>
  <c r="Y14" i="57"/>
  <c r="M14" i="57"/>
  <c r="Y20" i="57"/>
  <c r="M20" i="57"/>
  <c r="Y22" i="57"/>
  <c r="M22" i="57"/>
  <c r="Y25" i="57"/>
  <c r="M25" i="57"/>
  <c r="M27" i="57"/>
  <c r="Y27" i="57"/>
  <c r="Y33" i="57"/>
  <c r="M33" i="57"/>
  <c r="E46" i="54"/>
  <c r="C46" i="54" s="1"/>
  <c r="D47" i="54"/>
  <c r="G9" i="65"/>
  <c r="H8" i="65"/>
  <c r="G10" i="65"/>
  <c r="G15" i="53"/>
  <c r="E15" i="53"/>
  <c r="W7" i="27"/>
  <c r="Y7" i="27" s="1"/>
  <c r="AA7" i="27" s="1"/>
  <c r="X8" i="27" s="1"/>
  <c r="C21" i="29"/>
  <c r="E20" i="29"/>
  <c r="G20" i="19"/>
  <c r="C19" i="19"/>
  <c r="C20" i="42"/>
  <c r="H10" i="60"/>
  <c r="J9" i="29"/>
  <c r="F11" i="29"/>
  <c r="I10" i="29"/>
  <c r="H10" i="29"/>
  <c r="Y31" i="57"/>
  <c r="M31" i="57"/>
  <c r="Y34" i="57"/>
  <c r="M34" i="57"/>
  <c r="D42" i="60"/>
  <c r="V15" i="57"/>
  <c r="C15" i="57" s="1"/>
  <c r="E23" i="58"/>
  <c r="U7" i="82" s="1"/>
  <c r="E18" i="58"/>
  <c r="P7" i="82" s="1"/>
  <c r="V23" i="57"/>
  <c r="E16" i="53"/>
  <c r="G16" i="53"/>
  <c r="V5" i="57"/>
  <c r="D5" i="57" s="1"/>
  <c r="E15" i="58"/>
  <c r="M7" i="82" s="1"/>
  <c r="E9" i="58"/>
  <c r="G7" i="82" s="1"/>
  <c r="AH77" i="65"/>
  <c r="D235" i="65"/>
  <c r="AH234" i="65"/>
  <c r="D273" i="65"/>
  <c r="AH272" i="65"/>
  <c r="AH86" i="65"/>
  <c r="D87" i="65"/>
  <c r="D162" i="65"/>
  <c r="AH161" i="65"/>
  <c r="D125" i="65"/>
  <c r="AH124" i="65"/>
  <c r="AH197" i="65"/>
  <c r="D198" i="65"/>
  <c r="AH49" i="65"/>
  <c r="D50" i="65"/>
  <c r="F13" i="83" l="1"/>
  <c r="D27" i="82"/>
  <c r="D13" i="83" s="1"/>
  <c r="D26" i="82"/>
  <c r="D12" i="83" s="1"/>
  <c r="D34" i="82"/>
  <c r="F26" i="82"/>
  <c r="F12" i="83" s="1"/>
  <c r="F11" i="83" s="1"/>
  <c r="F6" i="83" s="1"/>
  <c r="F14" i="83" s="1"/>
  <c r="E25" i="82"/>
  <c r="E28" i="82" s="1"/>
  <c r="E13" i="83"/>
  <c r="M4" i="82"/>
  <c r="M10" i="82" s="1"/>
  <c r="M12" i="94"/>
  <c r="M9" i="94" s="1"/>
  <c r="P4" i="82"/>
  <c r="P10" i="82" s="1"/>
  <c r="P12" i="94"/>
  <c r="P9" i="94" s="1"/>
  <c r="U4" i="82"/>
  <c r="U12" i="94"/>
  <c r="U9" i="94" s="1"/>
  <c r="E11" i="83"/>
  <c r="E6" i="83" s="1"/>
  <c r="E14" i="83" s="1"/>
  <c r="E32" i="82"/>
  <c r="D32" i="82"/>
  <c r="U9" i="82"/>
  <c r="U10" i="82"/>
  <c r="E29" i="58"/>
  <c r="AA7" i="82" s="1"/>
  <c r="V29" i="57"/>
  <c r="F29" i="57" s="1"/>
  <c r="G4" i="82"/>
  <c r="V16" i="57"/>
  <c r="C16" i="57" s="1"/>
  <c r="E10" i="58"/>
  <c r="H7" i="82" s="1"/>
  <c r="H5" i="82"/>
  <c r="C30" i="82"/>
  <c r="C34" i="82"/>
  <c r="C31" i="82"/>
  <c r="C28" i="82"/>
  <c r="E12" i="58"/>
  <c r="J7" i="82" s="1"/>
  <c r="J4" i="82" s="1"/>
  <c r="J5" i="82"/>
  <c r="E24" i="58"/>
  <c r="V7" i="82" s="1"/>
  <c r="E16" i="58"/>
  <c r="N7" i="82" s="1"/>
  <c r="V10" i="57"/>
  <c r="C10" i="57" s="1"/>
  <c r="F11" i="57"/>
  <c r="V6" i="57"/>
  <c r="V24" i="57"/>
  <c r="G24" i="57" s="1"/>
  <c r="V8" i="57"/>
  <c r="G7" i="57"/>
  <c r="E13" i="58"/>
  <c r="K7" i="82" s="1"/>
  <c r="V13" i="57"/>
  <c r="D13" i="57" s="1"/>
  <c r="E7" i="57"/>
  <c r="D7" i="57"/>
  <c r="C7" i="57"/>
  <c r="D21" i="57"/>
  <c r="F21" i="57"/>
  <c r="D11" i="57"/>
  <c r="Q35" i="57"/>
  <c r="C21" i="57"/>
  <c r="C11" i="57"/>
  <c r="G18" i="57"/>
  <c r="V12" i="57"/>
  <c r="D12" i="57" s="1"/>
  <c r="E21" i="58"/>
  <c r="S7" i="82" s="1"/>
  <c r="E11" i="58"/>
  <c r="I7" i="82" s="1"/>
  <c r="I4" i="82" s="1"/>
  <c r="D18" i="57"/>
  <c r="E10" i="57"/>
  <c r="G21" i="57"/>
  <c r="G11" i="57"/>
  <c r="F18" i="57"/>
  <c r="C18" i="57"/>
  <c r="E26" i="58"/>
  <c r="X7" i="82" s="1"/>
  <c r="V26" i="57"/>
  <c r="D9" i="57"/>
  <c r="E9" i="57"/>
  <c r="C9" i="57"/>
  <c r="F9" i="57"/>
  <c r="W8" i="27"/>
  <c r="Y8" i="27" s="1"/>
  <c r="AA8" i="27" s="1"/>
  <c r="X9" i="27" s="1"/>
  <c r="R35" i="57"/>
  <c r="C14" i="58"/>
  <c r="L5" i="82" s="1"/>
  <c r="L10" i="94" s="1"/>
  <c r="AA34" i="57"/>
  <c r="U34" i="57"/>
  <c r="AA31" i="57"/>
  <c r="U31" i="57"/>
  <c r="G21" i="19"/>
  <c r="C20" i="19"/>
  <c r="C21" i="42"/>
  <c r="C22" i="29"/>
  <c r="E21" i="29"/>
  <c r="O21" i="29"/>
  <c r="R21" i="29" s="1"/>
  <c r="C25" i="58"/>
  <c r="W5" i="82" s="1"/>
  <c r="W10" i="94" s="1"/>
  <c r="H10" i="65"/>
  <c r="I8" i="65"/>
  <c r="H9" i="65"/>
  <c r="E47" i="54"/>
  <c r="C47" i="54" s="1"/>
  <c r="D48" i="54"/>
  <c r="AA33" i="57"/>
  <c r="U33" i="57"/>
  <c r="U27" i="57"/>
  <c r="AA27" i="57"/>
  <c r="C30" i="58"/>
  <c r="AB5" i="82" s="1"/>
  <c r="AB10" i="94" s="1"/>
  <c r="AA32" i="57"/>
  <c r="U32" i="57"/>
  <c r="D32" i="58" s="1"/>
  <c r="AD6" i="82" s="1"/>
  <c r="AD11" i="94" s="1"/>
  <c r="AA30" i="57"/>
  <c r="U30" i="57"/>
  <c r="D30" i="58" s="1"/>
  <c r="AB6" i="82" s="1"/>
  <c r="AB11" i="94" s="1"/>
  <c r="AA17" i="57"/>
  <c r="U17" i="57"/>
  <c r="D17" i="58" s="1"/>
  <c r="O6" i="82" s="1"/>
  <c r="O11" i="94" s="1"/>
  <c r="C28" i="58"/>
  <c r="Z5" i="82" s="1"/>
  <c r="Z10" i="94" s="1"/>
  <c r="H11" i="60"/>
  <c r="J11" i="60" s="1"/>
  <c r="J10" i="29"/>
  <c r="F12" i="29"/>
  <c r="I11" i="29"/>
  <c r="H11" i="29"/>
  <c r="Q11" i="29"/>
  <c r="J10" i="60"/>
  <c r="K19" i="55"/>
  <c r="E19" i="55" s="1"/>
  <c r="F19" i="55" s="1"/>
  <c r="C20" i="53"/>
  <c r="K19" i="54"/>
  <c r="E19" i="54" s="1"/>
  <c r="F19" i="54" s="1"/>
  <c r="J19" i="32"/>
  <c r="C21" i="60"/>
  <c r="C17" i="58"/>
  <c r="O5" i="82" s="1"/>
  <c r="O10" i="94" s="1"/>
  <c r="AA25" i="57"/>
  <c r="U25" i="57"/>
  <c r="D25" i="58" s="1"/>
  <c r="W6" i="82" s="1"/>
  <c r="W11" i="94" s="1"/>
  <c r="AA22" i="57"/>
  <c r="U22" i="57"/>
  <c r="U20" i="57"/>
  <c r="AA20" i="57"/>
  <c r="AA14" i="57"/>
  <c r="U14" i="57"/>
  <c r="E19" i="53"/>
  <c r="G19" i="53"/>
  <c r="C32" i="58"/>
  <c r="AD5" i="82" s="1"/>
  <c r="AD10" i="94" s="1"/>
  <c r="D52" i="32"/>
  <c r="E51" i="32"/>
  <c r="C51" i="32" s="1"/>
  <c r="AA28" i="57"/>
  <c r="U28" i="57"/>
  <c r="D28" i="58" s="1"/>
  <c r="Z6" i="82" s="1"/>
  <c r="Z11" i="94" s="1"/>
  <c r="AA19" i="57"/>
  <c r="U19" i="57"/>
  <c r="D19" i="58" s="1"/>
  <c r="Q6" i="82" s="1"/>
  <c r="Q11" i="94" s="1"/>
  <c r="F15" i="57"/>
  <c r="D15" i="57"/>
  <c r="E15" i="57"/>
  <c r="G15" i="57"/>
  <c r="F9" i="58"/>
  <c r="C9" i="59" s="1"/>
  <c r="F10" i="58"/>
  <c r="C10" i="59" s="1"/>
  <c r="D10" i="59" s="1"/>
  <c r="F10" i="59" s="1"/>
  <c r="F15" i="58"/>
  <c r="C15" i="59" s="1"/>
  <c r="D15" i="59" s="1"/>
  <c r="F15" i="59" s="1"/>
  <c r="C6" i="59"/>
  <c r="D6" i="59" s="1"/>
  <c r="F6" i="59" s="1"/>
  <c r="C5" i="59"/>
  <c r="F18" i="58"/>
  <c r="C18" i="59" s="1"/>
  <c r="D18" i="59" s="1"/>
  <c r="F23" i="58"/>
  <c r="C23" i="59" s="1"/>
  <c r="D23" i="59" s="1"/>
  <c r="F23" i="59" s="1"/>
  <c r="G5" i="57"/>
  <c r="C5" i="57"/>
  <c r="F5" i="57"/>
  <c r="E5" i="57"/>
  <c r="C7" i="59"/>
  <c r="D23" i="57"/>
  <c r="G23" i="57"/>
  <c r="C23" i="57"/>
  <c r="F23" i="57"/>
  <c r="E23" i="57"/>
  <c r="C8" i="59"/>
  <c r="AH50" i="65"/>
  <c r="D51" i="65"/>
  <c r="AH235" i="65"/>
  <c r="D236" i="65"/>
  <c r="AH198" i="65"/>
  <c r="D199" i="65"/>
  <c r="D126" i="65"/>
  <c r="AH125" i="65"/>
  <c r="AH162" i="65"/>
  <c r="D163" i="65"/>
  <c r="AH87" i="65"/>
  <c r="D88" i="65"/>
  <c r="D274" i="65"/>
  <c r="AH274" i="65" s="1"/>
  <c r="AH273" i="65"/>
  <c r="D11" i="83" l="1"/>
  <c r="X4" i="82"/>
  <c r="X12" i="94"/>
  <c r="X9" i="94" s="1"/>
  <c r="P9" i="82"/>
  <c r="P8" i="82" s="1"/>
  <c r="M15" i="94"/>
  <c r="M14" i="94"/>
  <c r="M13" i="94" s="1"/>
  <c r="M17" i="94" s="1"/>
  <c r="M26" i="94" s="1"/>
  <c r="M27" i="94" s="1"/>
  <c r="N4" i="82"/>
  <c r="N9" i="82" s="1"/>
  <c r="N12" i="94"/>
  <c r="N9" i="94" s="1"/>
  <c r="M9" i="82"/>
  <c r="M8" i="82" s="1"/>
  <c r="P14" i="94"/>
  <c r="P15" i="94"/>
  <c r="AG10" i="94"/>
  <c r="V4" i="82"/>
  <c r="V12" i="94"/>
  <c r="V9" i="94" s="1"/>
  <c r="U14" i="94"/>
  <c r="U15" i="94"/>
  <c r="U13" i="94" s="1"/>
  <c r="U17" i="94" s="1"/>
  <c r="D25" i="82"/>
  <c r="D28" i="82" s="1"/>
  <c r="S4" i="82"/>
  <c r="S12" i="94"/>
  <c r="S9" i="94" s="1"/>
  <c r="F25" i="82"/>
  <c r="F28" i="82" s="1"/>
  <c r="K4" i="82"/>
  <c r="K10" i="82" s="1"/>
  <c r="K12" i="94"/>
  <c r="AA4" i="82"/>
  <c r="AA12" i="94"/>
  <c r="AA9" i="94" s="1"/>
  <c r="E24" i="57"/>
  <c r="G16" i="57"/>
  <c r="D16" i="57"/>
  <c r="F16" i="57"/>
  <c r="G10" i="57"/>
  <c r="F16" i="58"/>
  <c r="C16" i="59" s="1"/>
  <c r="D16" i="59" s="1"/>
  <c r="F16" i="59" s="1"/>
  <c r="H16" i="59" s="1"/>
  <c r="F24" i="58"/>
  <c r="C24" i="59" s="1"/>
  <c r="D24" i="59" s="1"/>
  <c r="F24" i="59" s="1"/>
  <c r="V11" i="82" s="1"/>
  <c r="F29" i="58"/>
  <c r="C29" i="59" s="1"/>
  <c r="D29" i="59" s="1"/>
  <c r="F29" i="59" s="1"/>
  <c r="C29" i="57"/>
  <c r="D29" i="57"/>
  <c r="N11" i="82"/>
  <c r="E16" i="57"/>
  <c r="G29" i="57"/>
  <c r="E29" i="57"/>
  <c r="F10" i="57"/>
  <c r="C32" i="82"/>
  <c r="D24" i="57"/>
  <c r="J9" i="82"/>
  <c r="J10" i="82"/>
  <c r="G10" i="82"/>
  <c r="G9" i="82"/>
  <c r="V10" i="82"/>
  <c r="V9" i="82"/>
  <c r="V8" i="82" s="1"/>
  <c r="X9" i="82"/>
  <c r="X10" i="82"/>
  <c r="I9" i="82"/>
  <c r="I10" i="82"/>
  <c r="H4" i="82"/>
  <c r="AG5" i="82"/>
  <c r="AA10" i="82"/>
  <c r="AA9" i="82"/>
  <c r="S10" i="82"/>
  <c r="S9" i="82"/>
  <c r="U8" i="82"/>
  <c r="F12" i="58"/>
  <c r="C12" i="59" s="1"/>
  <c r="D12" i="59" s="1"/>
  <c r="F12" i="59" s="1"/>
  <c r="D10" i="57"/>
  <c r="E13" i="57"/>
  <c r="F13" i="57"/>
  <c r="F24" i="57"/>
  <c r="C13" i="57"/>
  <c r="E12" i="57"/>
  <c r="E8" i="57"/>
  <c r="C8" i="57"/>
  <c r="D8" i="57"/>
  <c r="F8" i="57"/>
  <c r="G8" i="57"/>
  <c r="F13" i="58"/>
  <c r="C13" i="59" s="1"/>
  <c r="D13" i="59" s="1"/>
  <c r="F13" i="59" s="1"/>
  <c r="G13" i="57"/>
  <c r="C24" i="57"/>
  <c r="G6" i="57"/>
  <c r="C6" i="57"/>
  <c r="H6" i="57" s="1"/>
  <c r="F6" i="57"/>
  <c r="E6" i="57"/>
  <c r="D6" i="57"/>
  <c r="H7" i="57"/>
  <c r="H11" i="57"/>
  <c r="F21" i="58"/>
  <c r="C21" i="59" s="1"/>
  <c r="D21" i="59" s="1"/>
  <c r="F21" i="59" s="1"/>
  <c r="H21" i="57"/>
  <c r="F11" i="58"/>
  <c r="C11" i="59" s="1"/>
  <c r="D11" i="59" s="1"/>
  <c r="F11" i="59" s="1"/>
  <c r="I11" i="82" s="1"/>
  <c r="G12" i="57"/>
  <c r="C12" i="57"/>
  <c r="F12" i="57"/>
  <c r="H18" i="57"/>
  <c r="F26" i="58"/>
  <c r="C26" i="59" s="1"/>
  <c r="D26" i="59" s="1"/>
  <c r="F26" i="59" s="1"/>
  <c r="E26" i="57"/>
  <c r="C26" i="57"/>
  <c r="G26" i="57"/>
  <c r="D26" i="57"/>
  <c r="F26" i="57"/>
  <c r="V32" i="57"/>
  <c r="G32" i="57" s="1"/>
  <c r="H9" i="57"/>
  <c r="V17" i="57"/>
  <c r="G17" i="57" s="1"/>
  <c r="W9" i="27"/>
  <c r="Y9" i="27" s="1"/>
  <c r="AA9" i="27" s="1"/>
  <c r="X10" i="27" s="1"/>
  <c r="D53" i="32"/>
  <c r="E52" i="32"/>
  <c r="C52" i="32" s="1"/>
  <c r="E32" i="58"/>
  <c r="AD7" i="82" s="1"/>
  <c r="D14" i="58"/>
  <c r="U35" i="57"/>
  <c r="D22" i="58"/>
  <c r="T6" i="82" s="1"/>
  <c r="T11" i="94" s="1"/>
  <c r="V22" i="57"/>
  <c r="E20" i="53"/>
  <c r="G20" i="53"/>
  <c r="E28" i="58"/>
  <c r="Z7" i="82" s="1"/>
  <c r="E30" i="58"/>
  <c r="AB7" i="82" s="1"/>
  <c r="D27" i="58"/>
  <c r="Y6" i="82" s="1"/>
  <c r="Y11" i="94" s="1"/>
  <c r="V27" i="57"/>
  <c r="I9" i="65"/>
  <c r="J8" i="65"/>
  <c r="I10" i="65"/>
  <c r="E25" i="58"/>
  <c r="W7" i="82" s="1"/>
  <c r="C22" i="60"/>
  <c r="C21" i="19"/>
  <c r="G22" i="19"/>
  <c r="C22" i="42"/>
  <c r="D31" i="58"/>
  <c r="AC6" i="82" s="1"/>
  <c r="AC11" i="94" s="1"/>
  <c r="V31" i="57"/>
  <c r="D34" i="58"/>
  <c r="AF6" i="82" s="1"/>
  <c r="AF11" i="94" s="1"/>
  <c r="V34" i="57"/>
  <c r="C35" i="58"/>
  <c r="V14" i="57"/>
  <c r="V19" i="57"/>
  <c r="E19" i="58"/>
  <c r="Q7" i="82" s="1"/>
  <c r="D20" i="58"/>
  <c r="R6" i="82" s="1"/>
  <c r="R11" i="94" s="1"/>
  <c r="V20" i="57"/>
  <c r="E17" i="58"/>
  <c r="O7" i="82" s="1"/>
  <c r="H12" i="60"/>
  <c r="J11" i="29"/>
  <c r="F13" i="29"/>
  <c r="I12" i="29"/>
  <c r="H12" i="29"/>
  <c r="Q12" i="29"/>
  <c r="V28" i="57"/>
  <c r="V30" i="57"/>
  <c r="D33" i="58"/>
  <c r="AE6" i="82" s="1"/>
  <c r="AE11" i="94" s="1"/>
  <c r="V33" i="57"/>
  <c r="E48" i="54"/>
  <c r="C48" i="54" s="1"/>
  <c r="D49" i="54"/>
  <c r="V25" i="57"/>
  <c r="C23" i="29"/>
  <c r="E22" i="29"/>
  <c r="O22" i="29"/>
  <c r="R22" i="29" s="1"/>
  <c r="K20" i="55"/>
  <c r="E20" i="55" s="1"/>
  <c r="F20" i="55" s="1"/>
  <c r="J20" i="32"/>
  <c r="K20" i="54"/>
  <c r="E20" i="54" s="1"/>
  <c r="F20" i="54" s="1"/>
  <c r="C21" i="53"/>
  <c r="H15" i="57"/>
  <c r="D9" i="59"/>
  <c r="F9" i="59" s="1"/>
  <c r="G11" i="82" s="1"/>
  <c r="H23" i="57"/>
  <c r="F18" i="59"/>
  <c r="D7" i="59"/>
  <c r="F7" i="59" s="1"/>
  <c r="D8" i="59"/>
  <c r="F8" i="59" s="1"/>
  <c r="H5" i="57"/>
  <c r="D5" i="59"/>
  <c r="D89" i="65"/>
  <c r="AH88" i="65"/>
  <c r="D200" i="65"/>
  <c r="AH199" i="65"/>
  <c r="D127" i="65"/>
  <c r="AH126" i="65"/>
  <c r="AH236" i="65"/>
  <c r="D237" i="65"/>
  <c r="D52" i="65"/>
  <c r="AH51" i="65"/>
  <c r="D164" i="65"/>
  <c r="AH163" i="65"/>
  <c r="N14" i="94" l="1"/>
  <c r="N15" i="94"/>
  <c r="Q4" i="82"/>
  <c r="Q12" i="94"/>
  <c r="Q9" i="94" s="1"/>
  <c r="AA14" i="94"/>
  <c r="AA15" i="94"/>
  <c r="V15" i="94"/>
  <c r="V14" i="94"/>
  <c r="V13" i="94" s="1"/>
  <c r="V17" i="94" s="1"/>
  <c r="V26" i="94" s="1"/>
  <c r="V27" i="94" s="1"/>
  <c r="N10" i="82"/>
  <c r="N8" i="82" s="1"/>
  <c r="N12" i="82" s="1"/>
  <c r="X15" i="94"/>
  <c r="X14" i="94"/>
  <c r="X13" i="94" s="1"/>
  <c r="X17" i="94" s="1"/>
  <c r="X26" i="94" s="1"/>
  <c r="X27" i="94" s="1"/>
  <c r="P13" i="94"/>
  <c r="P17" i="94" s="1"/>
  <c r="P26" i="94" s="1"/>
  <c r="P27" i="94" s="1"/>
  <c r="W4" i="82"/>
  <c r="W12" i="94"/>
  <c r="W9" i="94" s="1"/>
  <c r="AD4" i="82"/>
  <c r="AD12" i="94"/>
  <c r="AD9" i="94" s="1"/>
  <c r="K9" i="94"/>
  <c r="K9" i="82"/>
  <c r="O4" i="82"/>
  <c r="O9" i="82" s="1"/>
  <c r="O12" i="94"/>
  <c r="O9" i="94" s="1"/>
  <c r="M29" i="94"/>
  <c r="M45" i="94"/>
  <c r="AB4" i="82"/>
  <c r="AB10" i="82" s="1"/>
  <c r="AB12" i="94"/>
  <c r="AB9" i="94" s="1"/>
  <c r="S15" i="94"/>
  <c r="S14" i="94"/>
  <c r="S13" i="94" s="1"/>
  <c r="S17" i="94" s="1"/>
  <c r="D6" i="83"/>
  <c r="U26" i="94"/>
  <c r="U27" i="94"/>
  <c r="Z4" i="82"/>
  <c r="Z12" i="94"/>
  <c r="Z9" i="94" s="1"/>
  <c r="J8" i="82"/>
  <c r="J12" i="82" s="1"/>
  <c r="J21" i="82" s="1"/>
  <c r="J22" i="82" s="1"/>
  <c r="H29" i="57"/>
  <c r="H16" i="57"/>
  <c r="H24" i="59"/>
  <c r="V12" i="82"/>
  <c r="V22" i="82" s="1"/>
  <c r="J11" i="82"/>
  <c r="AA8" i="82"/>
  <c r="X8" i="82"/>
  <c r="H10" i="57"/>
  <c r="H11" i="82"/>
  <c r="AB9" i="82"/>
  <c r="Z10" i="82"/>
  <c r="Z9" i="82"/>
  <c r="Z8" i="82" s="1"/>
  <c r="AD10" i="82"/>
  <c r="AD9" i="82"/>
  <c r="H13" i="57"/>
  <c r="H10" i="82"/>
  <c r="H9" i="82"/>
  <c r="H8" i="82" s="1"/>
  <c r="H12" i="82" s="1"/>
  <c r="G8" i="82"/>
  <c r="W10" i="82"/>
  <c r="W9" i="82"/>
  <c r="Q9" i="82"/>
  <c r="Q10" i="82"/>
  <c r="E14" i="58"/>
  <c r="L7" i="82" s="1"/>
  <c r="L12" i="94" s="1"/>
  <c r="L6" i="82"/>
  <c r="L11" i="94" s="1"/>
  <c r="S8" i="82"/>
  <c r="I8" i="82"/>
  <c r="I12" i="82" s="1"/>
  <c r="K8" i="82"/>
  <c r="V21" i="82"/>
  <c r="K11" i="82"/>
  <c r="H24" i="57"/>
  <c r="H8" i="57"/>
  <c r="H12" i="57"/>
  <c r="H26" i="57"/>
  <c r="C32" i="57"/>
  <c r="C17" i="57"/>
  <c r="F32" i="57"/>
  <c r="F17" i="57"/>
  <c r="E32" i="57"/>
  <c r="D32" i="57"/>
  <c r="E17" i="57"/>
  <c r="D17" i="57"/>
  <c r="C23" i="60"/>
  <c r="E33" i="58"/>
  <c r="AE7" i="82" s="1"/>
  <c r="C28" i="57"/>
  <c r="G28" i="57"/>
  <c r="F28" i="57"/>
  <c r="D28" i="57"/>
  <c r="E28" i="57"/>
  <c r="H13" i="60"/>
  <c r="J13" i="60" s="1"/>
  <c r="J12" i="29"/>
  <c r="F14" i="29"/>
  <c r="I13" i="29"/>
  <c r="H13" i="29"/>
  <c r="Q13" i="29"/>
  <c r="J12" i="60"/>
  <c r="F17" i="58"/>
  <c r="C17" i="59" s="1"/>
  <c r="D17" i="59" s="1"/>
  <c r="F17" i="59" s="1"/>
  <c r="O11" i="82" s="1"/>
  <c r="C20" i="57"/>
  <c r="G20" i="57"/>
  <c r="F20" i="57"/>
  <c r="E20" i="57"/>
  <c r="D20" i="57"/>
  <c r="F19" i="57"/>
  <c r="G19" i="57"/>
  <c r="D19" i="57"/>
  <c r="C19" i="57"/>
  <c r="E19" i="57"/>
  <c r="E34" i="58"/>
  <c r="AF7" i="82" s="1"/>
  <c r="E31" i="58"/>
  <c r="AC7" i="82" s="1"/>
  <c r="G23" i="19"/>
  <c r="C22" i="19"/>
  <c r="C23" i="42"/>
  <c r="J10" i="65"/>
  <c r="K8" i="65"/>
  <c r="J9" i="65"/>
  <c r="E27" i="58"/>
  <c r="Y7" i="82" s="1"/>
  <c r="F30" i="58"/>
  <c r="C30" i="59" s="1"/>
  <c r="D30" i="59" s="1"/>
  <c r="F30" i="59" s="1"/>
  <c r="AB11" i="82" s="1"/>
  <c r="F28" i="58"/>
  <c r="C28" i="59" s="1"/>
  <c r="D28" i="59" s="1"/>
  <c r="F28" i="59" s="1"/>
  <c r="E22" i="58"/>
  <c r="T7" i="82" s="1"/>
  <c r="D35" i="58"/>
  <c r="E21" i="53"/>
  <c r="G21" i="53"/>
  <c r="C24" i="29"/>
  <c r="E23" i="29"/>
  <c r="O23" i="29"/>
  <c r="R23" i="29" s="1"/>
  <c r="F25" i="57"/>
  <c r="E25" i="57"/>
  <c r="D25" i="57"/>
  <c r="C25" i="57"/>
  <c r="G25" i="57"/>
  <c r="E49" i="54"/>
  <c r="C49" i="54" s="1"/>
  <c r="D50" i="54"/>
  <c r="C33" i="57"/>
  <c r="E33" i="57"/>
  <c r="D33" i="57"/>
  <c r="F33" i="57"/>
  <c r="G33" i="57"/>
  <c r="D30" i="57"/>
  <c r="F30" i="57"/>
  <c r="E30" i="57"/>
  <c r="C30" i="57"/>
  <c r="G30" i="57"/>
  <c r="E20" i="58"/>
  <c r="R7" i="82" s="1"/>
  <c r="F19" i="58"/>
  <c r="C19" i="59" s="1"/>
  <c r="D19" i="59" s="1"/>
  <c r="F19" i="59" s="1"/>
  <c r="E14" i="57"/>
  <c r="F14" i="57"/>
  <c r="D14" i="57"/>
  <c r="C14" i="57"/>
  <c r="G14" i="57"/>
  <c r="V35" i="57"/>
  <c r="D34" i="57"/>
  <c r="E34" i="57"/>
  <c r="C34" i="57"/>
  <c r="G34" i="57"/>
  <c r="F34" i="57"/>
  <c r="D31" i="57"/>
  <c r="F31" i="57"/>
  <c r="E31" i="57"/>
  <c r="C31" i="57"/>
  <c r="G31" i="57"/>
  <c r="K21" i="55"/>
  <c r="E21" i="55" s="1"/>
  <c r="F21" i="55" s="1"/>
  <c r="C22" i="53"/>
  <c r="J21" i="32"/>
  <c r="K21" i="54"/>
  <c r="E21" i="54" s="1"/>
  <c r="F21" i="54" s="1"/>
  <c r="F25" i="58"/>
  <c r="C25" i="59" s="1"/>
  <c r="D25" i="59" s="1"/>
  <c r="F25" i="59" s="1"/>
  <c r="D27" i="57"/>
  <c r="F27" i="57"/>
  <c r="C27" i="57"/>
  <c r="G27" i="57"/>
  <c r="E27" i="57"/>
  <c r="E22" i="57"/>
  <c r="C22" i="57"/>
  <c r="G22" i="57"/>
  <c r="D22" i="57"/>
  <c r="F22" i="57"/>
  <c r="F32" i="58"/>
  <c r="C32" i="59" s="1"/>
  <c r="D32" i="59" s="1"/>
  <c r="F32" i="59" s="1"/>
  <c r="D54" i="32"/>
  <c r="E53" i="32"/>
  <c r="C53" i="32" s="1"/>
  <c r="W10" i="27"/>
  <c r="Y10" i="27" s="1"/>
  <c r="AA10" i="27" s="1"/>
  <c r="X11" i="27" s="1"/>
  <c r="H10" i="59"/>
  <c r="H9" i="59"/>
  <c r="H11" i="59"/>
  <c r="H8" i="59"/>
  <c r="H7" i="59"/>
  <c r="H12" i="59"/>
  <c r="F5" i="59"/>
  <c r="H13" i="59"/>
  <c r="AH237" i="65"/>
  <c r="D238" i="65"/>
  <c r="AH238" i="65" s="1"/>
  <c r="AH164" i="65"/>
  <c r="D165" i="65"/>
  <c r="AH200" i="65"/>
  <c r="D201" i="65"/>
  <c r="D53" i="65"/>
  <c r="AH52" i="65"/>
  <c r="D128" i="65"/>
  <c r="AH127" i="65"/>
  <c r="D90" i="65"/>
  <c r="AH89" i="65"/>
  <c r="V24" i="82" l="1"/>
  <c r="V34" i="82" s="1"/>
  <c r="V4" i="83"/>
  <c r="J24" i="82"/>
  <c r="J34" i="82" s="1"/>
  <c r="J4" i="83"/>
  <c r="P29" i="94"/>
  <c r="P45" i="94"/>
  <c r="AG11" i="94"/>
  <c r="L9" i="94"/>
  <c r="AG9" i="94" s="1"/>
  <c r="D14" i="83"/>
  <c r="S27" i="94"/>
  <c r="S26" i="94"/>
  <c r="Q15" i="94"/>
  <c r="Q14" i="94"/>
  <c r="Y4" i="82"/>
  <c r="Y12" i="94"/>
  <c r="Y9" i="94" s="1"/>
  <c r="U29" i="94"/>
  <c r="U45" i="94"/>
  <c r="V29" i="94"/>
  <c r="V45" i="94"/>
  <c r="AC4" i="82"/>
  <c r="AC10" i="82" s="1"/>
  <c r="AC12" i="94"/>
  <c r="AC9" i="94" s="1"/>
  <c r="AA13" i="94"/>
  <c r="AA17" i="94" s="1"/>
  <c r="AA26" i="94" s="1"/>
  <c r="AA27" i="94" s="1"/>
  <c r="AF4" i="82"/>
  <c r="AF10" i="82" s="1"/>
  <c r="AF12" i="94"/>
  <c r="AF9" i="94" s="1"/>
  <c r="AE4" i="82"/>
  <c r="AE12" i="94"/>
  <c r="AE9" i="94" s="1"/>
  <c r="O10" i="82"/>
  <c r="O8" i="82" s="1"/>
  <c r="O12" i="82" s="1"/>
  <c r="O21" i="82" s="1"/>
  <c r="O22" i="82" s="1"/>
  <c r="T4" i="82"/>
  <c r="T9" i="82" s="1"/>
  <c r="T12" i="94"/>
  <c r="T9" i="94" s="1"/>
  <c r="W15" i="94"/>
  <c r="W14" i="94"/>
  <c r="W13" i="94" s="1"/>
  <c r="W17" i="94" s="1"/>
  <c r="M31" i="94"/>
  <c r="M35" i="94"/>
  <c r="M36" i="94"/>
  <c r="M32" i="94"/>
  <c r="M54" i="94" s="1"/>
  <c r="M39" i="94"/>
  <c r="O14" i="94"/>
  <c r="O15" i="94"/>
  <c r="AD15" i="94"/>
  <c r="AD14" i="94"/>
  <c r="AD13" i="94" s="1"/>
  <c r="AD17" i="94" s="1"/>
  <c r="R4" i="82"/>
  <c r="R12" i="94"/>
  <c r="R9" i="94" s="1"/>
  <c r="Z14" i="94"/>
  <c r="Z15" i="94"/>
  <c r="X45" i="94"/>
  <c r="X29" i="94"/>
  <c r="K15" i="94"/>
  <c r="K14" i="94"/>
  <c r="AB15" i="94"/>
  <c r="AB14" i="94"/>
  <c r="AB13" i="94" s="1"/>
  <c r="AB17" i="94" s="1"/>
  <c r="AB26" i="94" s="1"/>
  <c r="AB27" i="94" s="1"/>
  <c r="N13" i="94"/>
  <c r="N17" i="94" s="1"/>
  <c r="N26" i="94" s="1"/>
  <c r="N27" i="94" s="1"/>
  <c r="J30" i="82"/>
  <c r="J26" i="82"/>
  <c r="J12" i="83" s="1"/>
  <c r="W8" i="82"/>
  <c r="J31" i="82"/>
  <c r="P11" i="82"/>
  <c r="P12" i="82" s="1"/>
  <c r="P21" i="82" s="1"/>
  <c r="P22" i="82" s="1"/>
  <c r="T10" i="82"/>
  <c r="R10" i="82"/>
  <c r="R9" i="82"/>
  <c r="R8" i="82" s="1"/>
  <c r="Y9" i="82"/>
  <c r="Y10" i="82"/>
  <c r="H29" i="59"/>
  <c r="AA11" i="82"/>
  <c r="AA12" i="82" s="1"/>
  <c r="AA21" i="82" s="1"/>
  <c r="AA22" i="82" s="1"/>
  <c r="G12" i="82"/>
  <c r="H21" i="82"/>
  <c r="H22" i="82" s="1"/>
  <c r="Q8" i="82"/>
  <c r="K12" i="82"/>
  <c r="AD8" i="82"/>
  <c r="H25" i="59"/>
  <c r="W11" i="82"/>
  <c r="X11" i="82"/>
  <c r="X12" i="82" s="1"/>
  <c r="X21" i="82" s="1"/>
  <c r="X22" i="82" s="1"/>
  <c r="N21" i="82"/>
  <c r="N22" i="82" s="1"/>
  <c r="H19" i="59"/>
  <c r="Q11" i="82"/>
  <c r="I21" i="82"/>
  <c r="I22" i="82" s="1"/>
  <c r="AB8" i="82"/>
  <c r="AB12" i="82" s="1"/>
  <c r="AB21" i="82" s="1"/>
  <c r="AB22" i="82" s="1"/>
  <c r="AG6" i="82"/>
  <c r="L4" i="82"/>
  <c r="AG7" i="82"/>
  <c r="AE9" i="82"/>
  <c r="AE10" i="82"/>
  <c r="F14" i="58"/>
  <c r="C14" i="59" s="1"/>
  <c r="H18" i="59"/>
  <c r="H32" i="57"/>
  <c r="H17" i="57"/>
  <c r="H30" i="59"/>
  <c r="H30" i="57"/>
  <c r="H25" i="57"/>
  <c r="F31" i="58"/>
  <c r="C31" i="59" s="1"/>
  <c r="D31" i="59" s="1"/>
  <c r="F31" i="59" s="1"/>
  <c r="AC11" i="82" s="1"/>
  <c r="H26" i="59"/>
  <c r="H31" i="57"/>
  <c r="G35" i="57"/>
  <c r="F33" i="58"/>
  <c r="C33" i="59" s="1"/>
  <c r="D33" i="59" s="1"/>
  <c r="F33" i="59" s="1"/>
  <c r="AE11" i="82" s="1"/>
  <c r="W11" i="27"/>
  <c r="Y11" i="27" s="1"/>
  <c r="AA11" i="27" s="1"/>
  <c r="X12" i="27" s="1"/>
  <c r="D55" i="32"/>
  <c r="E54" i="32"/>
  <c r="C54" i="32" s="1"/>
  <c r="H22" i="57"/>
  <c r="H27" i="57"/>
  <c r="H34" i="57"/>
  <c r="D35" i="57"/>
  <c r="E35" i="57"/>
  <c r="H33" i="57"/>
  <c r="C24" i="60"/>
  <c r="J22" i="32"/>
  <c r="K22" i="54"/>
  <c r="E22" i="54" s="1"/>
  <c r="F22" i="54" s="1"/>
  <c r="K22" i="55"/>
  <c r="E22" i="55" s="1"/>
  <c r="F22" i="55" s="1"/>
  <c r="C23" i="53"/>
  <c r="E35" i="58"/>
  <c r="H20" i="57"/>
  <c r="H14" i="60"/>
  <c r="J13" i="29"/>
  <c r="F15" i="29"/>
  <c r="I14" i="29"/>
  <c r="H14" i="29"/>
  <c r="Q14" i="29"/>
  <c r="G22" i="53"/>
  <c r="E22" i="53"/>
  <c r="H14" i="57"/>
  <c r="C35" i="57"/>
  <c r="F35" i="57"/>
  <c r="F20" i="58"/>
  <c r="C20" i="59" s="1"/>
  <c r="D20" i="59" s="1"/>
  <c r="F20" i="59" s="1"/>
  <c r="E50" i="54"/>
  <c r="C50" i="54" s="1"/>
  <c r="D51" i="54"/>
  <c r="C25" i="29"/>
  <c r="E24" i="29"/>
  <c r="O24" i="29"/>
  <c r="R24" i="29" s="1"/>
  <c r="F22" i="58"/>
  <c r="C22" i="59" s="1"/>
  <c r="D22" i="59" s="1"/>
  <c r="F22" i="59" s="1"/>
  <c r="F27" i="58"/>
  <c r="C27" i="59" s="1"/>
  <c r="D27" i="59" s="1"/>
  <c r="F27" i="59" s="1"/>
  <c r="Y11" i="82" s="1"/>
  <c r="K9" i="65"/>
  <c r="L8" i="65"/>
  <c r="K10" i="65"/>
  <c r="G24" i="19"/>
  <c r="C24" i="42"/>
  <c r="C23" i="19"/>
  <c r="F34" i="58"/>
  <c r="C34" i="59" s="1"/>
  <c r="D34" i="59" s="1"/>
  <c r="F34" i="59" s="1"/>
  <c r="H19" i="57"/>
  <c r="H17" i="59"/>
  <c r="H28" i="57"/>
  <c r="H5" i="59"/>
  <c r="H6" i="59"/>
  <c r="D129" i="65"/>
  <c r="AH128" i="65"/>
  <c r="AH165" i="65"/>
  <c r="D166" i="65"/>
  <c r="AH90" i="65"/>
  <c r="D91" i="65"/>
  <c r="D54" i="65"/>
  <c r="AH53" i="65"/>
  <c r="D202" i="65"/>
  <c r="AH201" i="65"/>
  <c r="M37" i="94" l="1"/>
  <c r="O24" i="82"/>
  <c r="O4" i="83"/>
  <c r="V27" i="82"/>
  <c r="V13" i="83" s="1"/>
  <c r="V36" i="94"/>
  <c r="V35" i="94"/>
  <c r="V37" i="94" s="1"/>
  <c r="V39" i="94"/>
  <c r="V32" i="94"/>
  <c r="V54" i="94" s="1"/>
  <c r="V31" i="94"/>
  <c r="V26" i="82"/>
  <c r="V12" i="83" s="1"/>
  <c r="V11" i="83" s="1"/>
  <c r="V6" i="83" s="1"/>
  <c r="V14" i="83" s="1"/>
  <c r="V31" i="82"/>
  <c r="AD26" i="94"/>
  <c r="AD27" i="94" s="1"/>
  <c r="AB45" i="94"/>
  <c r="AB29" i="94"/>
  <c r="P32" i="94"/>
  <c r="P54" i="94" s="1"/>
  <c r="P36" i="94"/>
  <c r="P35" i="94"/>
  <c r="P31" i="94"/>
  <c r="P39" i="94"/>
  <c r="AE15" i="94"/>
  <c r="AE14" i="94"/>
  <c r="AE13" i="94" s="1"/>
  <c r="AE17" i="94" s="1"/>
  <c r="AE26" i="94" s="1"/>
  <c r="AE27" i="94" s="1"/>
  <c r="O13" i="94"/>
  <c r="O17" i="94" s="1"/>
  <c r="O26" i="94" s="1"/>
  <c r="O27" i="94" s="1"/>
  <c r="AG12" i="94"/>
  <c r="P24" i="82"/>
  <c r="P4" i="83"/>
  <c r="S45" i="94"/>
  <c r="S29" i="94"/>
  <c r="M53" i="94"/>
  <c r="M52" i="94" s="1"/>
  <c r="M47" i="94" s="1"/>
  <c r="M55" i="94" s="1"/>
  <c r="M30" i="94"/>
  <c r="M33" i="94" s="1"/>
  <c r="Z13" i="94"/>
  <c r="Z17" i="94" s="1"/>
  <c r="Z26" i="94" s="1"/>
  <c r="Z27" i="94" s="1"/>
  <c r="V30" i="82"/>
  <c r="R15" i="94"/>
  <c r="R14" i="94"/>
  <c r="R13" i="94" s="1"/>
  <c r="R17" i="94" s="1"/>
  <c r="N24" i="82"/>
  <c r="N26" i="82" s="1"/>
  <c r="N12" i="83" s="1"/>
  <c r="N4" i="83"/>
  <c r="N29" i="94"/>
  <c r="N45" i="94"/>
  <c r="U39" i="94"/>
  <c r="U36" i="94"/>
  <c r="U32" i="94"/>
  <c r="U54" i="94" s="1"/>
  <c r="U35" i="94"/>
  <c r="U37" i="94" s="1"/>
  <c r="U31" i="94"/>
  <c r="W12" i="82"/>
  <c r="W21" i="82" s="1"/>
  <c r="W22" i="82" s="1"/>
  <c r="Y15" i="94"/>
  <c r="Y14" i="94"/>
  <c r="Y13" i="94" s="1"/>
  <c r="Y17" i="94" s="1"/>
  <c r="Y26" i="94" s="1"/>
  <c r="Y27" i="94" s="1"/>
  <c r="AF9" i="82"/>
  <c r="AF8" i="82" s="1"/>
  <c r="AC9" i="82"/>
  <c r="K13" i="94"/>
  <c r="AF14" i="94"/>
  <c r="AF15" i="94"/>
  <c r="AF13" i="94" s="1"/>
  <c r="AF17" i="94" s="1"/>
  <c r="AF26" i="94" s="1"/>
  <c r="AF27" i="94" s="1"/>
  <c r="Q13" i="94"/>
  <c r="Q17" i="94" s="1"/>
  <c r="AB24" i="82"/>
  <c r="AB30" i="82" s="1"/>
  <c r="AB4" i="83"/>
  <c r="AC15" i="94"/>
  <c r="AC14" i="94"/>
  <c r="AC13" i="94" s="1"/>
  <c r="AC17" i="94" s="1"/>
  <c r="AC26" i="94" s="1"/>
  <c r="AC27" i="94" s="1"/>
  <c r="I24" i="82"/>
  <c r="I27" i="82" s="1"/>
  <c r="I13" i="83" s="1"/>
  <c r="I4" i="83"/>
  <c r="W26" i="94"/>
  <c r="W27" i="94"/>
  <c r="L15" i="94"/>
  <c r="L14" i="94"/>
  <c r="L13" i="94" s="1"/>
  <c r="L17" i="94" s="1"/>
  <c r="L26" i="94" s="1"/>
  <c r="L27" i="94" s="1"/>
  <c r="T14" i="94"/>
  <c r="T15" i="94"/>
  <c r="X24" i="82"/>
  <c r="X30" i="82" s="1"/>
  <c r="X4" i="83"/>
  <c r="AG15" i="94"/>
  <c r="H24" i="82"/>
  <c r="H31" i="82" s="1"/>
  <c r="H4" i="83"/>
  <c r="AA24" i="82"/>
  <c r="AA4" i="83"/>
  <c r="J27" i="82"/>
  <c r="J13" i="83" s="1"/>
  <c r="J11" i="83" s="1"/>
  <c r="J6" i="83" s="1"/>
  <c r="J14" i="83" s="1"/>
  <c r="X35" i="94"/>
  <c r="X36" i="94"/>
  <c r="X31" i="94"/>
  <c r="X39" i="94"/>
  <c r="X32" i="94"/>
  <c r="X54" i="94" s="1"/>
  <c r="AA29" i="94"/>
  <c r="AA45" i="94"/>
  <c r="J25" i="82"/>
  <c r="J28" i="82" s="1"/>
  <c r="J32" i="82"/>
  <c r="AC8" i="82"/>
  <c r="Q12" i="82"/>
  <c r="Y8" i="82"/>
  <c r="Y12" i="82" s="1"/>
  <c r="Y21" i="82" s="1"/>
  <c r="Y22" i="82" s="1"/>
  <c r="Z11" i="82"/>
  <c r="Z12" i="82" s="1"/>
  <c r="Z21" i="82" s="1"/>
  <c r="Z22" i="82" s="1"/>
  <c r="AF11" i="82"/>
  <c r="Q21" i="82"/>
  <c r="Q22" i="82"/>
  <c r="I26" i="82"/>
  <c r="I12" i="83" s="1"/>
  <c r="I30" i="82"/>
  <c r="R11" i="82"/>
  <c r="R12" i="82" s="1"/>
  <c r="S11" i="82"/>
  <c r="S12" i="82" s="1"/>
  <c r="L10" i="82"/>
  <c r="AG10" i="82" s="1"/>
  <c r="L9" i="82"/>
  <c r="AG4" i="82"/>
  <c r="O30" i="82"/>
  <c r="O27" i="82"/>
  <c r="O13" i="83" s="1"/>
  <c r="O34" i="82"/>
  <c r="O31" i="82"/>
  <c r="O26" i="82"/>
  <c r="AD11" i="82"/>
  <c r="AD12" i="82" s="1"/>
  <c r="AA30" i="82"/>
  <c r="AA27" i="82"/>
  <c r="AA13" i="83" s="1"/>
  <c r="AA34" i="82"/>
  <c r="AA31" i="82"/>
  <c r="AA26" i="82"/>
  <c r="AA12" i="83" s="1"/>
  <c r="AB27" i="82"/>
  <c r="AB13" i="83" s="1"/>
  <c r="AB34" i="82"/>
  <c r="AB31" i="82"/>
  <c r="AB26" i="82"/>
  <c r="AB12" i="83" s="1"/>
  <c r="AB11" i="83" s="1"/>
  <c r="AB6" i="83" s="1"/>
  <c r="AB14" i="83" s="1"/>
  <c r="G21" i="82"/>
  <c r="G22" i="82" s="1"/>
  <c r="G4" i="83" s="1"/>
  <c r="T8" i="82"/>
  <c r="AC12" i="82"/>
  <c r="K21" i="82"/>
  <c r="K22" i="82" s="1"/>
  <c r="T11" i="82"/>
  <c r="U11" i="82"/>
  <c r="U12" i="82" s="1"/>
  <c r="X26" i="82"/>
  <c r="X12" i="83" s="1"/>
  <c r="X34" i="82"/>
  <c r="AE8" i="82"/>
  <c r="AE12" i="82" s="1"/>
  <c r="V32" i="82"/>
  <c r="H31" i="59"/>
  <c r="H32" i="59"/>
  <c r="H33" i="59"/>
  <c r="W12" i="27"/>
  <c r="Y12" i="27" s="1"/>
  <c r="AA12" i="27" s="1"/>
  <c r="X13" i="27" s="1"/>
  <c r="J23" i="32"/>
  <c r="K23" i="55"/>
  <c r="E23" i="55" s="1"/>
  <c r="F23" i="55" s="1"/>
  <c r="K23" i="54"/>
  <c r="E23" i="54" s="1"/>
  <c r="F23" i="54" s="1"/>
  <c r="C24" i="53"/>
  <c r="C24" i="19"/>
  <c r="G25" i="19"/>
  <c r="C25" i="42"/>
  <c r="L10" i="65"/>
  <c r="M8" i="65"/>
  <c r="L9" i="65"/>
  <c r="F35" i="58"/>
  <c r="C26" i="29"/>
  <c r="E25" i="29"/>
  <c r="O25" i="29"/>
  <c r="R25" i="29" s="1"/>
  <c r="E51" i="54"/>
  <c r="C51" i="54" s="1"/>
  <c r="D52" i="54"/>
  <c r="H35" i="57"/>
  <c r="E23" i="53"/>
  <c r="G23" i="53"/>
  <c r="D56" i="32"/>
  <c r="E55" i="32"/>
  <c r="C55" i="32" s="1"/>
  <c r="H34" i="59"/>
  <c r="H27" i="59"/>
  <c r="H28" i="59"/>
  <c r="H23" i="59"/>
  <c r="H22" i="59"/>
  <c r="D14" i="59"/>
  <c r="D35" i="59" s="1"/>
  <c r="C35" i="59"/>
  <c r="C25" i="60"/>
  <c r="H21" i="59"/>
  <c r="H20" i="59"/>
  <c r="H15" i="60"/>
  <c r="J14" i="29"/>
  <c r="F16" i="29"/>
  <c r="I15" i="29"/>
  <c r="H15" i="29"/>
  <c r="Q15" i="29"/>
  <c r="J14" i="60"/>
  <c r="D203" i="65"/>
  <c r="AH202" i="65"/>
  <c r="D167" i="65"/>
  <c r="AH166" i="65"/>
  <c r="D55" i="65"/>
  <c r="AH54" i="65"/>
  <c r="AH91" i="65"/>
  <c r="D92" i="65"/>
  <c r="D130" i="65"/>
  <c r="AH129" i="65"/>
  <c r="P37" i="94" l="1"/>
  <c r="X37" i="94"/>
  <c r="AD29" i="94"/>
  <c r="AD45" i="94"/>
  <c r="W24" i="82"/>
  <c r="W4" i="83"/>
  <c r="AE45" i="94"/>
  <c r="AE29" i="94"/>
  <c r="O25" i="82"/>
  <c r="O28" i="82" s="1"/>
  <c r="O12" i="83"/>
  <c r="O11" i="83" s="1"/>
  <c r="O6" i="83" s="1"/>
  <c r="O14" i="83" s="1"/>
  <c r="P53" i="94"/>
  <c r="P52" i="94" s="1"/>
  <c r="P47" i="94" s="1"/>
  <c r="P55" i="94" s="1"/>
  <c r="P30" i="94"/>
  <c r="P33" i="94" s="1"/>
  <c r="I31" i="82"/>
  <c r="I32" i="82" s="1"/>
  <c r="V53" i="94"/>
  <c r="V52" i="94" s="1"/>
  <c r="V47" i="94" s="1"/>
  <c r="V55" i="94" s="1"/>
  <c r="V30" i="94"/>
  <c r="V33" i="94" s="1"/>
  <c r="Q24" i="82"/>
  <c r="Q4" i="83"/>
  <c r="X27" i="82"/>
  <c r="X13" i="83" s="1"/>
  <c r="T13" i="94"/>
  <c r="T17" i="94" s="1"/>
  <c r="L29" i="94"/>
  <c r="L45" i="94"/>
  <c r="AA11" i="83"/>
  <c r="AA6" i="83" s="1"/>
  <c r="AA14" i="83" s="1"/>
  <c r="N34" i="82"/>
  <c r="H34" i="82"/>
  <c r="Z24" i="82"/>
  <c r="Z31" i="82" s="1"/>
  <c r="Z4" i="83"/>
  <c r="AB35" i="94"/>
  <c r="AB31" i="94"/>
  <c r="AB39" i="94"/>
  <c r="AB32" i="94"/>
  <c r="AB54" i="94" s="1"/>
  <c r="AB36" i="94"/>
  <c r="R26" i="94"/>
  <c r="R27" i="94" s="1"/>
  <c r="AC29" i="94"/>
  <c r="AC45" i="94"/>
  <c r="H30" i="82"/>
  <c r="H32" i="82" s="1"/>
  <c r="H26" i="82"/>
  <c r="Q26" i="94"/>
  <c r="Q27" i="94" s="1"/>
  <c r="AF29" i="94"/>
  <c r="AF45" i="94"/>
  <c r="N27" i="82"/>
  <c r="N13" i="83" s="1"/>
  <c r="N11" i="83" s="1"/>
  <c r="N6" i="83" s="1"/>
  <c r="N14" i="83" s="1"/>
  <c r="H27" i="82"/>
  <c r="H13" i="83" s="1"/>
  <c r="Y24" i="82"/>
  <c r="Y26" i="82" s="1"/>
  <c r="Y4" i="83"/>
  <c r="AG14" i="94"/>
  <c r="Y45" i="94"/>
  <c r="Y29" i="94"/>
  <c r="U53" i="94"/>
  <c r="U52" i="94" s="1"/>
  <c r="U47" i="94" s="1"/>
  <c r="U55" i="94" s="1"/>
  <c r="U30" i="94"/>
  <c r="U33" i="94" s="1"/>
  <c r="X31" i="82"/>
  <c r="N31" i="82"/>
  <c r="K24" i="82"/>
  <c r="K4" i="83"/>
  <c r="N30" i="82"/>
  <c r="I34" i="82"/>
  <c r="W29" i="94"/>
  <c r="W45" i="94"/>
  <c r="K17" i="94"/>
  <c r="AG13" i="94"/>
  <c r="N31" i="94"/>
  <c r="N36" i="94"/>
  <c r="N39" i="94"/>
  <c r="N32" i="94"/>
  <c r="N54" i="94" s="1"/>
  <c r="N35" i="94"/>
  <c r="P30" i="82"/>
  <c r="P27" i="82"/>
  <c r="P13" i="83" s="1"/>
  <c r="P34" i="82"/>
  <c r="P31" i="82"/>
  <c r="P26" i="82"/>
  <c r="O29" i="94"/>
  <c r="O45" i="94"/>
  <c r="I11" i="83"/>
  <c r="I6" i="83" s="1"/>
  <c r="I14" i="83" s="1"/>
  <c r="AA31" i="94"/>
  <c r="AA36" i="94"/>
  <c r="AA32" i="94"/>
  <c r="AA54" i="94" s="1"/>
  <c r="AA35" i="94"/>
  <c r="AA39" i="94"/>
  <c r="X11" i="83"/>
  <c r="X6" i="83" s="1"/>
  <c r="X14" i="83" s="1"/>
  <c r="Z29" i="94"/>
  <c r="Z45" i="94"/>
  <c r="X53" i="94"/>
  <c r="X52" i="94" s="1"/>
  <c r="X47" i="94" s="1"/>
  <c r="X55" i="94" s="1"/>
  <c r="X30" i="94"/>
  <c r="X33" i="94" s="1"/>
  <c r="S32" i="94"/>
  <c r="S54" i="94" s="1"/>
  <c r="S39" i="94"/>
  <c r="S35" i="94"/>
  <c r="S31" i="94"/>
  <c r="S36" i="94"/>
  <c r="V25" i="82"/>
  <c r="V28" i="82" s="1"/>
  <c r="Y30" i="82"/>
  <c r="Y27" i="82"/>
  <c r="Y13" i="83" s="1"/>
  <c r="Y34" i="82"/>
  <c r="AA25" i="82"/>
  <c r="AA28" i="82" s="1"/>
  <c r="AF12" i="82"/>
  <c r="AF21" i="82" s="1"/>
  <c r="AB25" i="82"/>
  <c r="AB28" i="82" s="1"/>
  <c r="I25" i="82"/>
  <c r="I28" i="82" s="1"/>
  <c r="AD21" i="82"/>
  <c r="AD22" i="82" s="1"/>
  <c r="W34" i="82"/>
  <c r="W31" i="82"/>
  <c r="W26" i="82"/>
  <c r="W12" i="83" s="1"/>
  <c r="W30" i="82"/>
  <c r="W27" i="82"/>
  <c r="W13" i="83" s="1"/>
  <c r="AE21" i="82"/>
  <c r="AE22" i="82"/>
  <c r="AB32" i="82"/>
  <c r="R21" i="82"/>
  <c r="R22" i="82"/>
  <c r="S21" i="82"/>
  <c r="S22" i="82" s="1"/>
  <c r="K27" i="82"/>
  <c r="K13" i="83" s="1"/>
  <c r="K34" i="82"/>
  <c r="K31" i="82"/>
  <c r="K26" i="82"/>
  <c r="K12" i="83" s="1"/>
  <c r="K11" i="83" s="1"/>
  <c r="K6" i="83" s="1"/>
  <c r="K14" i="83" s="1"/>
  <c r="K30" i="82"/>
  <c r="T12" i="82"/>
  <c r="X32" i="82"/>
  <c r="Q30" i="82"/>
  <c r="Q27" i="82"/>
  <c r="Q13" i="83" s="1"/>
  <c r="Q34" i="82"/>
  <c r="Q31" i="82"/>
  <c r="Q26" i="82"/>
  <c r="Q12" i="83" s="1"/>
  <c r="Q11" i="83" s="1"/>
  <c r="Q6" i="83" s="1"/>
  <c r="Q14" i="83" s="1"/>
  <c r="L8" i="82"/>
  <c r="AG9" i="82"/>
  <c r="AC21" i="82"/>
  <c r="AC22" i="82" s="1"/>
  <c r="N32" i="82"/>
  <c r="U21" i="82"/>
  <c r="U22" i="82" s="1"/>
  <c r="O32" i="82"/>
  <c r="G24" i="82"/>
  <c r="X25" i="82"/>
  <c r="X28" i="82" s="1"/>
  <c r="AA32" i="82"/>
  <c r="N25" i="82"/>
  <c r="N28" i="82" s="1"/>
  <c r="W13" i="27"/>
  <c r="Y13" i="27" s="1"/>
  <c r="AA13" i="27" s="1"/>
  <c r="X14" i="27" s="1"/>
  <c r="E52" i="54"/>
  <c r="C52" i="54" s="1"/>
  <c r="D53" i="54"/>
  <c r="C26" i="60"/>
  <c r="G26" i="19"/>
  <c r="C25" i="19"/>
  <c r="C26" i="42"/>
  <c r="G24" i="53"/>
  <c r="E24" i="53"/>
  <c r="H16" i="60"/>
  <c r="J16" i="60" s="1"/>
  <c r="J15" i="29"/>
  <c r="I16" i="29"/>
  <c r="F17" i="29"/>
  <c r="H16" i="29"/>
  <c r="Q16" i="29"/>
  <c r="J15" i="60"/>
  <c r="F14" i="59"/>
  <c r="D57" i="32"/>
  <c r="E56" i="32"/>
  <c r="C56" i="32" s="1"/>
  <c r="C27" i="29"/>
  <c r="E26" i="29"/>
  <c r="O26" i="29"/>
  <c r="R26" i="29" s="1"/>
  <c r="M9" i="65"/>
  <c r="N8" i="65"/>
  <c r="M10" i="65"/>
  <c r="K24" i="54"/>
  <c r="E24" i="54" s="1"/>
  <c r="F24" i="54" s="1"/>
  <c r="J24" i="32"/>
  <c r="K24" i="55"/>
  <c r="E24" i="55" s="1"/>
  <c r="F24" i="55" s="1"/>
  <c r="C25" i="53"/>
  <c r="D93" i="65"/>
  <c r="AH92" i="65"/>
  <c r="AH203" i="65"/>
  <c r="D204" i="65"/>
  <c r="AH130" i="65"/>
  <c r="D131" i="65"/>
  <c r="AH167" i="65"/>
  <c r="D168" i="65"/>
  <c r="AH55" i="65"/>
  <c r="D56" i="65"/>
  <c r="AA37" i="94" l="1"/>
  <c r="N37" i="94"/>
  <c r="R29" i="94"/>
  <c r="R45" i="94"/>
  <c r="Y12" i="83"/>
  <c r="Y11" i="83" s="1"/>
  <c r="Y6" i="83" s="1"/>
  <c r="Y14" i="83" s="1"/>
  <c r="Y25" i="82"/>
  <c r="Y28" i="82" s="1"/>
  <c r="Q29" i="94"/>
  <c r="Q45" i="94"/>
  <c r="Z27" i="82"/>
  <c r="Z13" i="83" s="1"/>
  <c r="H25" i="82"/>
  <c r="H28" i="82" s="1"/>
  <c r="H12" i="83"/>
  <c r="H11" i="83" s="1"/>
  <c r="H6" i="83" s="1"/>
  <c r="H14" i="83" s="1"/>
  <c r="O39" i="94"/>
  <c r="O36" i="94"/>
  <c r="O35" i="94"/>
  <c r="O32" i="94"/>
  <c r="O54" i="94" s="1"/>
  <c r="O31" i="94"/>
  <c r="S24" i="82"/>
  <c r="S4" i="83"/>
  <c r="R24" i="82"/>
  <c r="R4" i="83"/>
  <c r="S37" i="94"/>
  <c r="U24" i="82"/>
  <c r="U27" i="82" s="1"/>
  <c r="U13" i="83" s="1"/>
  <c r="U4" i="83"/>
  <c r="Z26" i="82"/>
  <c r="Z30" i="82"/>
  <c r="Z32" i="82" s="1"/>
  <c r="Z34" i="82"/>
  <c r="W11" i="83"/>
  <c r="W6" i="83" s="1"/>
  <c r="W14" i="83" s="1"/>
  <c r="Z32" i="94"/>
  <c r="Z54" i="94" s="1"/>
  <c r="Z36" i="94"/>
  <c r="Z35" i="94"/>
  <c r="Z37" i="94" s="1"/>
  <c r="Z31" i="94"/>
  <c r="Z39" i="94"/>
  <c r="AD24" i="82"/>
  <c r="AD30" i="82" s="1"/>
  <c r="AD4" i="83"/>
  <c r="L36" i="94"/>
  <c r="L35" i="94"/>
  <c r="L31" i="94"/>
  <c r="L39" i="94"/>
  <c r="L32" i="94"/>
  <c r="L54" i="94" s="1"/>
  <c r="Y31" i="82"/>
  <c r="Y32" i="82" s="1"/>
  <c r="S53" i="94"/>
  <c r="S52" i="94" s="1"/>
  <c r="S47" i="94" s="1"/>
  <c r="S55" i="94" s="1"/>
  <c r="S30" i="94"/>
  <c r="S33" i="94" s="1"/>
  <c r="AF32" i="94"/>
  <c r="AF54" i="94" s="1"/>
  <c r="AF31" i="94"/>
  <c r="AF36" i="94"/>
  <c r="AF35" i="94"/>
  <c r="AF37" i="94" s="1"/>
  <c r="AF39" i="94"/>
  <c r="AB53" i="94"/>
  <c r="AB52" i="94" s="1"/>
  <c r="AB47" i="94" s="1"/>
  <c r="AB55" i="94" s="1"/>
  <c r="AB30" i="94"/>
  <c r="AB33" i="94" s="1"/>
  <c r="Y31" i="94"/>
  <c r="Y39" i="94"/>
  <c r="Y35" i="94"/>
  <c r="Y32" i="94"/>
  <c r="Y54" i="94" s="1"/>
  <c r="Y36" i="94"/>
  <c r="K26" i="94"/>
  <c r="AG17" i="94"/>
  <c r="P25" i="82"/>
  <c r="P28" i="82" s="1"/>
  <c r="P12" i="83"/>
  <c r="P11" i="83" s="1"/>
  <c r="P6" i="83" s="1"/>
  <c r="P14" i="83" s="1"/>
  <c r="W32" i="94"/>
  <c r="W54" i="94" s="1"/>
  <c r="W39" i="94"/>
  <c r="W36" i="94"/>
  <c r="W31" i="94"/>
  <c r="W35" i="94"/>
  <c r="T26" i="94"/>
  <c r="T27" i="94"/>
  <c r="AE24" i="82"/>
  <c r="AE27" i="82" s="1"/>
  <c r="AE13" i="83" s="1"/>
  <c r="AE4" i="83"/>
  <c r="AA53" i="94"/>
  <c r="AA52" i="94" s="1"/>
  <c r="AA47" i="94" s="1"/>
  <c r="AA55" i="94" s="1"/>
  <c r="AA30" i="94"/>
  <c r="AA33" i="94" s="1"/>
  <c r="AB37" i="94"/>
  <c r="AC24" i="82"/>
  <c r="AC30" i="82" s="1"/>
  <c r="AC4" i="83"/>
  <c r="AC39" i="94"/>
  <c r="AC31" i="94"/>
  <c r="AC32" i="94"/>
  <c r="AC54" i="94" s="1"/>
  <c r="AC36" i="94"/>
  <c r="AC35" i="94"/>
  <c r="AC37" i="94" s="1"/>
  <c r="AE32" i="94"/>
  <c r="AE54" i="94" s="1"/>
  <c r="AE36" i="94"/>
  <c r="AE35" i="94"/>
  <c r="AE37" i="94" s="1"/>
  <c r="AE39" i="94"/>
  <c r="AE31" i="94"/>
  <c r="P32" i="82"/>
  <c r="N53" i="94"/>
  <c r="N52" i="94" s="1"/>
  <c r="N47" i="94" s="1"/>
  <c r="N55" i="94" s="1"/>
  <c r="N30" i="94"/>
  <c r="N33" i="94" s="1"/>
  <c r="AD35" i="94"/>
  <c r="AD31" i="94"/>
  <c r="AD39" i="94"/>
  <c r="AD32" i="94"/>
  <c r="AD54" i="94" s="1"/>
  <c r="AD36" i="94"/>
  <c r="AF22" i="82"/>
  <c r="K25" i="82"/>
  <c r="K28" i="82" s="1"/>
  <c r="W32" i="82"/>
  <c r="Q32" i="82"/>
  <c r="K32" i="82"/>
  <c r="AE34" i="82"/>
  <c r="AE31" i="82"/>
  <c r="AE26" i="82"/>
  <c r="AE12" i="83" s="1"/>
  <c r="AE30" i="82"/>
  <c r="T21" i="82"/>
  <c r="T22" i="82" s="1"/>
  <c r="G27" i="82"/>
  <c r="G13" i="83" s="1"/>
  <c r="G34" i="82"/>
  <c r="G31" i="82"/>
  <c r="G26" i="82"/>
  <c r="G12" i="83" s="1"/>
  <c r="G30" i="82"/>
  <c r="L12" i="82"/>
  <c r="AG8" i="82"/>
  <c r="R30" i="82"/>
  <c r="R27" i="82"/>
  <c r="R13" i="83" s="1"/>
  <c r="R34" i="82"/>
  <c r="R31" i="82"/>
  <c r="R26" i="82"/>
  <c r="R12" i="83" s="1"/>
  <c r="R11" i="83" s="1"/>
  <c r="R6" i="83" s="1"/>
  <c r="R14" i="83" s="1"/>
  <c r="W25" i="82"/>
  <c r="W28" i="82" s="1"/>
  <c r="L11" i="82"/>
  <c r="M11" i="82"/>
  <c r="M12" i="82" s="1"/>
  <c r="M21" i="82" s="1"/>
  <c r="M22" i="82" s="1"/>
  <c r="U31" i="82"/>
  <c r="U26" i="82"/>
  <c r="U12" i="83" s="1"/>
  <c r="Q25" i="82"/>
  <c r="Q28" i="82" s="1"/>
  <c r="S27" i="82"/>
  <c r="S13" i="83" s="1"/>
  <c r="S34" i="82"/>
  <c r="S31" i="82"/>
  <c r="S26" i="82"/>
  <c r="S30" i="82"/>
  <c r="S32" i="82" s="1"/>
  <c r="AD31" i="82"/>
  <c r="AD26" i="82"/>
  <c r="AD12" i="83" s="1"/>
  <c r="N10" i="65"/>
  <c r="O8" i="65"/>
  <c r="N9" i="65"/>
  <c r="C27" i="60"/>
  <c r="H17" i="60"/>
  <c r="J17" i="60" s="1"/>
  <c r="J16" i="29"/>
  <c r="G27" i="19"/>
  <c r="C26" i="19"/>
  <c r="C27" i="42"/>
  <c r="E53" i="54"/>
  <c r="C53" i="54" s="1"/>
  <c r="D54" i="54"/>
  <c r="W14" i="27"/>
  <c r="Y14" i="27" s="1"/>
  <c r="AA14" i="27" s="1"/>
  <c r="X15" i="27" s="1"/>
  <c r="G25" i="53"/>
  <c r="E25" i="53"/>
  <c r="C28" i="29"/>
  <c r="E27" i="29"/>
  <c r="O27" i="29"/>
  <c r="R27" i="29" s="1"/>
  <c r="D58" i="32"/>
  <c r="E57" i="32"/>
  <c r="C57" i="32" s="1"/>
  <c r="H15" i="59"/>
  <c r="H14" i="59"/>
  <c r="F35" i="59"/>
  <c r="F18" i="29"/>
  <c r="H17" i="29"/>
  <c r="I17" i="29"/>
  <c r="Q17" i="29"/>
  <c r="K25" i="55"/>
  <c r="E25" i="55" s="1"/>
  <c r="F25" i="55" s="1"/>
  <c r="K25" i="54"/>
  <c r="E25" i="54" s="1"/>
  <c r="F25" i="54" s="1"/>
  <c r="J25" i="32"/>
  <c r="C26" i="53"/>
  <c r="AH56" i="65"/>
  <c r="D57" i="65"/>
  <c r="AH131" i="65"/>
  <c r="D132" i="65"/>
  <c r="D169" i="65"/>
  <c r="AH168" i="65"/>
  <c r="D205" i="65"/>
  <c r="AH205" i="65" s="1"/>
  <c r="AH204" i="65"/>
  <c r="D94" i="65"/>
  <c r="AH93" i="65"/>
  <c r="AD37" i="94" l="1"/>
  <c r="W37" i="94"/>
  <c r="AE11" i="83"/>
  <c r="AE6" i="83" s="1"/>
  <c r="AE14" i="83" s="1"/>
  <c r="AF53" i="94"/>
  <c r="AF52" i="94" s="1"/>
  <c r="AF47" i="94" s="1"/>
  <c r="AF55" i="94" s="1"/>
  <c r="AF30" i="94"/>
  <c r="AF33" i="94" s="1"/>
  <c r="AF24" i="82"/>
  <c r="AF4" i="83"/>
  <c r="T24" i="82"/>
  <c r="T4" i="83"/>
  <c r="U34" i="82"/>
  <c r="AD34" i="82"/>
  <c r="AD27" i="82"/>
  <c r="AD13" i="83" s="1"/>
  <c r="AD11" i="83" s="1"/>
  <c r="AD6" i="83" s="1"/>
  <c r="AD14" i="83" s="1"/>
  <c r="U30" i="82"/>
  <c r="U32" i="82" s="1"/>
  <c r="K27" i="94"/>
  <c r="AG26" i="94"/>
  <c r="T45" i="94"/>
  <c r="T29" i="94"/>
  <c r="S25" i="82"/>
  <c r="S28" i="82" s="1"/>
  <c r="S12" i="83"/>
  <c r="S11" i="83" s="1"/>
  <c r="S6" i="83" s="1"/>
  <c r="S14" i="83" s="1"/>
  <c r="AC26" i="82"/>
  <c r="Y37" i="94"/>
  <c r="Q31" i="94"/>
  <c r="Q39" i="94"/>
  <c r="Q36" i="94"/>
  <c r="Q32" i="94"/>
  <c r="Q54" i="94" s="1"/>
  <c r="Q35" i="94"/>
  <c r="G32" i="82"/>
  <c r="AC31" i="82"/>
  <c r="AD53" i="94"/>
  <c r="AD52" i="94" s="1"/>
  <c r="AD47" i="94" s="1"/>
  <c r="AD55" i="94" s="1"/>
  <c r="AD30" i="94"/>
  <c r="AD33" i="94" s="1"/>
  <c r="U11" i="83"/>
  <c r="U6" i="83" s="1"/>
  <c r="U14" i="83" s="1"/>
  <c r="AE53" i="94"/>
  <c r="AE52" i="94" s="1"/>
  <c r="AE47" i="94" s="1"/>
  <c r="AE55" i="94" s="1"/>
  <c r="AE30" i="94"/>
  <c r="AE33" i="94" s="1"/>
  <c r="AC34" i="82"/>
  <c r="AC53" i="94"/>
  <c r="AC52" i="94" s="1"/>
  <c r="AC47" i="94" s="1"/>
  <c r="AC55" i="94" s="1"/>
  <c r="AC30" i="94"/>
  <c r="AC33" i="94" s="1"/>
  <c r="W53" i="94"/>
  <c r="W52" i="94" s="1"/>
  <c r="W47" i="94" s="1"/>
  <c r="W55" i="94" s="1"/>
  <c r="W30" i="94"/>
  <c r="W33" i="94" s="1"/>
  <c r="Y53" i="94"/>
  <c r="Y52" i="94" s="1"/>
  <c r="Y47" i="94" s="1"/>
  <c r="Y55" i="94" s="1"/>
  <c r="Y30" i="94"/>
  <c r="Y33" i="94" s="1"/>
  <c r="O53" i="94"/>
  <c r="O52" i="94" s="1"/>
  <c r="O47" i="94" s="1"/>
  <c r="O55" i="94" s="1"/>
  <c r="O30" i="94"/>
  <c r="O33" i="94" s="1"/>
  <c r="M24" i="82"/>
  <c r="M26" i="82" s="1"/>
  <c r="M12" i="83" s="1"/>
  <c r="M11" i="83" s="1"/>
  <c r="M6" i="83" s="1"/>
  <c r="M14" i="83" s="1"/>
  <c r="M4" i="83"/>
  <c r="AC27" i="82"/>
  <c r="AC13" i="83" s="1"/>
  <c r="L53" i="94"/>
  <c r="L52" i="94" s="1"/>
  <c r="L47" i="94" s="1"/>
  <c r="L55" i="94" s="1"/>
  <c r="L30" i="94"/>
  <c r="L33" i="94" s="1"/>
  <c r="Z53" i="94"/>
  <c r="Z52" i="94" s="1"/>
  <c r="Z47" i="94" s="1"/>
  <c r="Z55" i="94" s="1"/>
  <c r="Z30" i="94"/>
  <c r="Z33" i="94" s="1"/>
  <c r="G11" i="83"/>
  <c r="L37" i="94"/>
  <c r="Z12" i="83"/>
  <c r="Z11" i="83" s="1"/>
  <c r="Z6" i="83" s="1"/>
  <c r="Z14" i="83" s="1"/>
  <c r="Z25" i="82"/>
  <c r="Z28" i="82" s="1"/>
  <c r="O37" i="94"/>
  <c r="R31" i="94"/>
  <c r="R35" i="94"/>
  <c r="R39" i="94"/>
  <c r="R36" i="94"/>
  <c r="R32" i="94"/>
  <c r="R54" i="94" s="1"/>
  <c r="AD32" i="82"/>
  <c r="R32" i="82"/>
  <c r="AE32" i="82"/>
  <c r="AE25" i="82"/>
  <c r="AE28" i="82" s="1"/>
  <c r="T27" i="82"/>
  <c r="T13" i="83" s="1"/>
  <c r="T34" i="82"/>
  <c r="T31" i="82"/>
  <c r="T26" i="82"/>
  <c r="T12" i="83" s="1"/>
  <c r="T11" i="83" s="1"/>
  <c r="T6" i="83" s="1"/>
  <c r="T14" i="83" s="1"/>
  <c r="T30" i="82"/>
  <c r="T32" i="82" s="1"/>
  <c r="L21" i="82"/>
  <c r="AG12" i="82"/>
  <c r="AG11" i="82"/>
  <c r="G25" i="82"/>
  <c r="U25" i="82"/>
  <c r="U28" i="82" s="1"/>
  <c r="M27" i="82"/>
  <c r="M13" i="83" s="1"/>
  <c r="M31" i="82"/>
  <c r="M34" i="82"/>
  <c r="AD25" i="82"/>
  <c r="AD28" i="82" s="1"/>
  <c r="R25" i="82"/>
  <c r="R28" i="82" s="1"/>
  <c r="AC32" i="82"/>
  <c r="H35" i="59"/>
  <c r="E26" i="53"/>
  <c r="G26" i="53"/>
  <c r="H18" i="60"/>
  <c r="J18" i="60" s="1"/>
  <c r="J17" i="29"/>
  <c r="D59" i="32"/>
  <c r="E58" i="32"/>
  <c r="C58" i="32" s="1"/>
  <c r="C29" i="29"/>
  <c r="E28" i="29"/>
  <c r="O28" i="29"/>
  <c r="R28" i="29" s="1"/>
  <c r="W15" i="27"/>
  <c r="Y15" i="27" s="1"/>
  <c r="AA15" i="27" s="1"/>
  <c r="X16" i="27" s="1"/>
  <c r="E54" i="54"/>
  <c r="C54" i="54" s="1"/>
  <c r="D55" i="54"/>
  <c r="G28" i="19"/>
  <c r="C27" i="19"/>
  <c r="C28" i="42"/>
  <c r="O9" i="65"/>
  <c r="P8" i="65"/>
  <c r="O10" i="65"/>
  <c r="F19" i="29"/>
  <c r="H18" i="29"/>
  <c r="I18" i="29"/>
  <c r="Q18" i="29"/>
  <c r="C28" i="60"/>
  <c r="K26" i="55"/>
  <c r="E26" i="55" s="1"/>
  <c r="F26" i="55" s="1"/>
  <c r="C27" i="53"/>
  <c r="J26" i="32"/>
  <c r="K26" i="54"/>
  <c r="E26" i="54" s="1"/>
  <c r="F26" i="54" s="1"/>
  <c r="D170" i="65"/>
  <c r="AH170" i="65" s="1"/>
  <c r="AH169" i="65"/>
  <c r="AH94" i="65"/>
  <c r="D95" i="65"/>
  <c r="AH132" i="65"/>
  <c r="D133" i="65"/>
  <c r="AH57" i="65"/>
  <c r="D58" i="65"/>
  <c r="AF34" i="82" l="1"/>
  <c r="AF31" i="82"/>
  <c r="AF26" i="82"/>
  <c r="AF30" i="82"/>
  <c r="AF32" i="82" s="1"/>
  <c r="AF27" i="82"/>
  <c r="AF13" i="83" s="1"/>
  <c r="T39" i="94"/>
  <c r="T31" i="94"/>
  <c r="T32" i="94"/>
  <c r="T54" i="94" s="1"/>
  <c r="T36" i="94"/>
  <c r="T35" i="94"/>
  <c r="Q53" i="94"/>
  <c r="Q52" i="94" s="1"/>
  <c r="Q47" i="94" s="1"/>
  <c r="Q55" i="94" s="1"/>
  <c r="Q30" i="94"/>
  <c r="Q33" i="94" s="1"/>
  <c r="R53" i="94"/>
  <c r="R52" i="94" s="1"/>
  <c r="R47" i="94" s="1"/>
  <c r="R55" i="94" s="1"/>
  <c r="R30" i="94"/>
  <c r="R33" i="94" s="1"/>
  <c r="AC25" i="82"/>
  <c r="AC28" i="82" s="1"/>
  <c r="AC12" i="83"/>
  <c r="AC11" i="83" s="1"/>
  <c r="AC6" i="83" s="1"/>
  <c r="AC14" i="83" s="1"/>
  <c r="G6" i="83"/>
  <c r="R37" i="94"/>
  <c r="M30" i="82"/>
  <c r="M32" i="82" s="1"/>
  <c r="Q37" i="94"/>
  <c r="K29" i="94"/>
  <c r="K45" i="94"/>
  <c r="AG45" i="94" s="1"/>
  <c r="AG27" i="94"/>
  <c r="M25" i="82"/>
  <c r="M28" i="82" s="1"/>
  <c r="T25" i="82"/>
  <c r="T28" i="82" s="1"/>
  <c r="G28" i="82"/>
  <c r="L22" i="82"/>
  <c r="L4" i="83" s="1"/>
  <c r="AG4" i="83" s="1"/>
  <c r="AG21" i="82"/>
  <c r="H19" i="60"/>
  <c r="J19" i="60" s="1"/>
  <c r="J18" i="29"/>
  <c r="P10" i="65"/>
  <c r="Q8" i="65"/>
  <c r="P9" i="65"/>
  <c r="G29" i="19"/>
  <c r="C28" i="19"/>
  <c r="C29" i="42"/>
  <c r="W16" i="27"/>
  <c r="Y16" i="27" s="1"/>
  <c r="AA16" i="27" s="1"/>
  <c r="X17" i="27" s="1"/>
  <c r="C29" i="60"/>
  <c r="D60" i="32"/>
  <c r="E59" i="32"/>
  <c r="C59" i="32" s="1"/>
  <c r="G27" i="53"/>
  <c r="E27" i="53"/>
  <c r="F20" i="29"/>
  <c r="H19" i="29"/>
  <c r="I19" i="29"/>
  <c r="Q19" i="29"/>
  <c r="K27" i="55"/>
  <c r="E27" i="55" s="1"/>
  <c r="F27" i="55" s="1"/>
  <c r="C28" i="53"/>
  <c r="K27" i="54"/>
  <c r="E27" i="54" s="1"/>
  <c r="F27" i="54" s="1"/>
  <c r="J27" i="32"/>
  <c r="E55" i="54"/>
  <c r="C55" i="54" s="1"/>
  <c r="D56" i="54"/>
  <c r="C30" i="29"/>
  <c r="E29" i="29"/>
  <c r="O29" i="29"/>
  <c r="R29" i="29" s="1"/>
  <c r="AH133" i="65"/>
  <c r="D134" i="65"/>
  <c r="AH58" i="65"/>
  <c r="D59" i="65"/>
  <c r="D96" i="65"/>
  <c r="AH95" i="65"/>
  <c r="T37" i="94" l="1"/>
  <c r="G14" i="83"/>
  <c r="K31" i="94"/>
  <c r="K32" i="94"/>
  <c r="K36" i="94"/>
  <c r="K35" i="94"/>
  <c r="K39" i="94"/>
  <c r="B39" i="94" s="1"/>
  <c r="AG29" i="94"/>
  <c r="T30" i="94"/>
  <c r="T33" i="94" s="1"/>
  <c r="T53" i="94"/>
  <c r="T52" i="94" s="1"/>
  <c r="T47" i="94" s="1"/>
  <c r="T55" i="94" s="1"/>
  <c r="AF12" i="83"/>
  <c r="AF11" i="83" s="1"/>
  <c r="AF6" i="83" s="1"/>
  <c r="AF14" i="83" s="1"/>
  <c r="AF25" i="82"/>
  <c r="AF28" i="82" s="1"/>
  <c r="L24" i="82"/>
  <c r="AG22" i="82"/>
  <c r="W17" i="27"/>
  <c r="Y17" i="27" s="1"/>
  <c r="AA17" i="27" s="1"/>
  <c r="X18" i="27" s="1"/>
  <c r="E28" i="53"/>
  <c r="G28" i="53"/>
  <c r="H20" i="60"/>
  <c r="J20" i="60" s="1"/>
  <c r="J19" i="29"/>
  <c r="K28" i="55"/>
  <c r="E28" i="55" s="1"/>
  <c r="F28" i="55" s="1"/>
  <c r="J28" i="32"/>
  <c r="K28" i="54"/>
  <c r="E28" i="54" s="1"/>
  <c r="F28" i="54" s="1"/>
  <c r="C29" i="53"/>
  <c r="C30" i="60"/>
  <c r="E56" i="54"/>
  <c r="C56" i="54" s="1"/>
  <c r="D57" i="54"/>
  <c r="D61" i="32"/>
  <c r="E60" i="32"/>
  <c r="C60" i="32" s="1"/>
  <c r="C31" i="29"/>
  <c r="E30" i="29"/>
  <c r="O30" i="29"/>
  <c r="R30" i="29" s="1"/>
  <c r="F21" i="29"/>
  <c r="H20" i="29"/>
  <c r="Q20" i="29"/>
  <c r="I20" i="29"/>
  <c r="C29" i="19"/>
  <c r="G30" i="19"/>
  <c r="C30" i="42"/>
  <c r="Q9" i="65"/>
  <c r="R8" i="65"/>
  <c r="Q10" i="65"/>
  <c r="AH96" i="65"/>
  <c r="D97" i="65"/>
  <c r="D60" i="65"/>
  <c r="AH59" i="65"/>
  <c r="D135" i="65"/>
  <c r="AH134" i="65"/>
  <c r="K37" i="94" l="1"/>
  <c r="K54" i="94"/>
  <c r="AG54" i="94" s="1"/>
  <c r="AG32" i="94"/>
  <c r="K53" i="94"/>
  <c r="K30" i="94"/>
  <c r="AG31" i="94"/>
  <c r="L30" i="82"/>
  <c r="L27" i="82"/>
  <c r="L34" i="82"/>
  <c r="B34" i="82" s="1"/>
  <c r="L31" i="82"/>
  <c r="L26" i="82"/>
  <c r="L12" i="83" s="1"/>
  <c r="AG24" i="82"/>
  <c r="W18" i="27"/>
  <c r="Y18" i="27" s="1"/>
  <c r="AA18" i="27" s="1"/>
  <c r="X19" i="27" s="1"/>
  <c r="G31" i="19"/>
  <c r="C30" i="19"/>
  <c r="C31" i="42"/>
  <c r="H21" i="60"/>
  <c r="J21" i="60" s="1"/>
  <c r="J20" i="29"/>
  <c r="C31" i="60"/>
  <c r="D62" i="32"/>
  <c r="E61" i="32"/>
  <c r="C61" i="32" s="1"/>
  <c r="R10" i="65"/>
  <c r="S8" i="65"/>
  <c r="R9" i="65"/>
  <c r="K29" i="55"/>
  <c r="E29" i="55" s="1"/>
  <c r="F29" i="55" s="1"/>
  <c r="J29" i="32"/>
  <c r="K29" i="54"/>
  <c r="E29" i="54" s="1"/>
  <c r="F29" i="54" s="1"/>
  <c r="C30" i="53"/>
  <c r="F22" i="29"/>
  <c r="H21" i="29"/>
  <c r="Q21" i="29"/>
  <c r="I21" i="29"/>
  <c r="C32" i="29"/>
  <c r="E31" i="29"/>
  <c r="O31" i="29"/>
  <c r="R31" i="29" s="1"/>
  <c r="E57" i="54"/>
  <c r="C57" i="54" s="1"/>
  <c r="D58" i="54"/>
  <c r="E29" i="53"/>
  <c r="G29" i="53"/>
  <c r="AH97" i="65"/>
  <c r="D98" i="65"/>
  <c r="D61" i="65"/>
  <c r="AH60" i="65"/>
  <c r="D136" i="65"/>
  <c r="AH136" i="65" s="1"/>
  <c r="AH135" i="65"/>
  <c r="AG12" i="83" l="1"/>
  <c r="AG27" i="82"/>
  <c r="L13" i="83"/>
  <c r="AG13" i="83" s="1"/>
  <c r="K33" i="94"/>
  <c r="AG33" i="94" s="1"/>
  <c r="AG30" i="94"/>
  <c r="K52" i="94"/>
  <c r="AG53" i="94"/>
  <c r="L25" i="82"/>
  <c r="AG26" i="82"/>
  <c r="L32" i="82"/>
  <c r="E58" i="54"/>
  <c r="C58" i="54" s="1"/>
  <c r="D59" i="54"/>
  <c r="C32" i="60"/>
  <c r="H22" i="60"/>
  <c r="J22" i="60" s="1"/>
  <c r="J21" i="29"/>
  <c r="E30" i="53"/>
  <c r="G30" i="53"/>
  <c r="D63" i="32"/>
  <c r="E62" i="32"/>
  <c r="C62" i="32" s="1"/>
  <c r="J30" i="32"/>
  <c r="K30" i="54"/>
  <c r="E30" i="54" s="1"/>
  <c r="F30" i="54" s="1"/>
  <c r="K30" i="55"/>
  <c r="E30" i="55" s="1"/>
  <c r="F30" i="55" s="1"/>
  <c r="C31" i="53"/>
  <c r="W19" i="27"/>
  <c r="Y19" i="27" s="1"/>
  <c r="AA19" i="27" s="1"/>
  <c r="X20" i="27" s="1"/>
  <c r="C33" i="29"/>
  <c r="E32" i="29"/>
  <c r="O32" i="29"/>
  <c r="R32" i="29" s="1"/>
  <c r="F23" i="29"/>
  <c r="H22" i="29"/>
  <c r="Q22" i="29"/>
  <c r="I22" i="29"/>
  <c r="S9" i="65"/>
  <c r="T8" i="65"/>
  <c r="S10" i="65"/>
  <c r="G32" i="19"/>
  <c r="C31" i="19"/>
  <c r="C32" i="42"/>
  <c r="AH98" i="65"/>
  <c r="D99" i="65"/>
  <c r="D62" i="65"/>
  <c r="AH61" i="65"/>
  <c r="K47" i="94" l="1"/>
  <c r="AG52" i="94"/>
  <c r="L11" i="83"/>
  <c r="L28" i="82"/>
  <c r="AG28" i="82" s="1"/>
  <c r="AG25" i="82"/>
  <c r="W20" i="27"/>
  <c r="Y20" i="27" s="1"/>
  <c r="AA20" i="27" s="1"/>
  <c r="X21" i="27" s="1"/>
  <c r="C32" i="19"/>
  <c r="G33" i="19"/>
  <c r="C33" i="42"/>
  <c r="T10" i="65"/>
  <c r="U8" i="65"/>
  <c r="T9" i="65"/>
  <c r="F24" i="29"/>
  <c r="H23" i="29"/>
  <c r="Q23" i="29"/>
  <c r="I23" i="29"/>
  <c r="C33" i="60"/>
  <c r="D64" i="32"/>
  <c r="E63" i="32"/>
  <c r="C63" i="32" s="1"/>
  <c r="E59" i="54"/>
  <c r="C59" i="54" s="1"/>
  <c r="D60" i="54"/>
  <c r="J31" i="32"/>
  <c r="K31" i="55"/>
  <c r="E31" i="55" s="1"/>
  <c r="F31" i="55" s="1"/>
  <c r="K31" i="54"/>
  <c r="E31" i="54" s="1"/>
  <c r="F31" i="54" s="1"/>
  <c r="C32" i="53"/>
  <c r="H23" i="60"/>
  <c r="J23" i="60" s="1"/>
  <c r="J22" i="29"/>
  <c r="E33" i="29"/>
  <c r="O33" i="29"/>
  <c r="R33" i="29" s="1"/>
  <c r="R34" i="29" s="1"/>
  <c r="E31" i="53"/>
  <c r="G31" i="53"/>
  <c r="D63" i="65"/>
  <c r="AH62" i="65"/>
  <c r="AH99" i="65"/>
  <c r="D100" i="65"/>
  <c r="L6" i="83" l="1"/>
  <c r="AG11" i="83"/>
  <c r="K55" i="94"/>
  <c r="AG47" i="94"/>
  <c r="C34" i="60"/>
  <c r="E35" i="29"/>
  <c r="D65" i="32"/>
  <c r="E64" i="32"/>
  <c r="C64" i="32" s="1"/>
  <c r="H24" i="60"/>
  <c r="J24" i="60" s="1"/>
  <c r="J23" i="29"/>
  <c r="C33" i="19"/>
  <c r="C34" i="42"/>
  <c r="W21" i="27"/>
  <c r="Y21" i="27" s="1"/>
  <c r="AA21" i="27" s="1"/>
  <c r="X22" i="27" s="1"/>
  <c r="E32" i="53"/>
  <c r="G32" i="53"/>
  <c r="E60" i="54"/>
  <c r="C60" i="54" s="1"/>
  <c r="D61" i="54"/>
  <c r="F25" i="29"/>
  <c r="H24" i="29"/>
  <c r="Q24" i="29"/>
  <c r="I24" i="29"/>
  <c r="U9" i="65"/>
  <c r="V8" i="65"/>
  <c r="U10" i="65"/>
  <c r="K32" i="55"/>
  <c r="E32" i="55" s="1"/>
  <c r="F32" i="55" s="1"/>
  <c r="C33" i="53"/>
  <c r="K32" i="54"/>
  <c r="E32" i="54" s="1"/>
  <c r="F32" i="54" s="1"/>
  <c r="J32" i="32"/>
  <c r="D101" i="65"/>
  <c r="AH100" i="65"/>
  <c r="AH63" i="65"/>
  <c r="D64" i="65"/>
  <c r="C56" i="94" l="1"/>
  <c r="AG55" i="94"/>
  <c r="L14" i="83"/>
  <c r="AG6" i="83"/>
  <c r="W22" i="27"/>
  <c r="Y22" i="27" s="1"/>
  <c r="AA22" i="27" s="1"/>
  <c r="X23" i="27" s="1"/>
  <c r="E33" i="53"/>
  <c r="G33" i="53"/>
  <c r="F26" i="29"/>
  <c r="H25" i="29"/>
  <c r="Q25" i="29"/>
  <c r="I25" i="29"/>
  <c r="V10" i="65"/>
  <c r="W8" i="65"/>
  <c r="V9" i="65"/>
  <c r="H25" i="60"/>
  <c r="J25" i="60" s="1"/>
  <c r="J24" i="29"/>
  <c r="E61" i="54"/>
  <c r="C61" i="54" s="1"/>
  <c r="D62" i="54"/>
  <c r="K33" i="55"/>
  <c r="E33" i="55" s="1"/>
  <c r="F33" i="55" s="1"/>
  <c r="F35" i="55" s="1"/>
  <c r="J33" i="32"/>
  <c r="K33" i="54"/>
  <c r="E33" i="54" s="1"/>
  <c r="F33" i="54" s="1"/>
  <c r="F35" i="54" s="1"/>
  <c r="C34" i="53"/>
  <c r="D66" i="32"/>
  <c r="E65" i="32"/>
  <c r="C65" i="32" s="1"/>
  <c r="C35" i="60"/>
  <c r="AH64" i="65"/>
  <c r="D65" i="65"/>
  <c r="AH101" i="65"/>
  <c r="D102" i="65"/>
  <c r="C60" i="94" l="1"/>
  <c r="G4" i="85" s="1"/>
  <c r="F4" i="85"/>
  <c r="C15" i="83"/>
  <c r="AG14" i="83"/>
  <c r="G34" i="53"/>
  <c r="E34" i="53"/>
  <c r="E62" i="54"/>
  <c r="C62" i="54" s="1"/>
  <c r="D63" i="54"/>
  <c r="F27" i="29"/>
  <c r="H26" i="29"/>
  <c r="Q26" i="29"/>
  <c r="I26" i="29"/>
  <c r="W23" i="27"/>
  <c r="Y23" i="27" s="1"/>
  <c r="AA23" i="27" s="1"/>
  <c r="X24" i="27" s="1"/>
  <c r="D67" i="32"/>
  <c r="E66" i="32"/>
  <c r="C66" i="32" s="1"/>
  <c r="W9" i="65"/>
  <c r="X8" i="65"/>
  <c r="W10" i="65"/>
  <c r="H26" i="60"/>
  <c r="J26" i="60" s="1"/>
  <c r="J25" i="29"/>
  <c r="AH102" i="65"/>
  <c r="D103" i="65"/>
  <c r="AH65" i="65"/>
  <c r="D66" i="65"/>
  <c r="X10" i="65" l="1"/>
  <c r="Y8" i="65"/>
  <c r="X9" i="65"/>
  <c r="W24" i="27"/>
  <c r="Y24" i="27" s="1"/>
  <c r="AA24" i="27" s="1"/>
  <c r="X25" i="27" s="1"/>
  <c r="F28" i="29"/>
  <c r="H27" i="29"/>
  <c r="Q27" i="29"/>
  <c r="I27" i="29"/>
  <c r="D68" i="32"/>
  <c r="E67" i="32"/>
  <c r="C67" i="32" s="1"/>
  <c r="H27" i="60"/>
  <c r="J27" i="60" s="1"/>
  <c r="J26" i="29"/>
  <c r="E63" i="54"/>
  <c r="C63" i="54" s="1"/>
  <c r="D64" i="54"/>
  <c r="AH66" i="65"/>
  <c r="D67" i="65"/>
  <c r="D104" i="65"/>
  <c r="AH104" i="65" s="1"/>
  <c r="AH103" i="65"/>
  <c r="W25" i="27" l="1"/>
  <c r="Y25" i="27" s="1"/>
  <c r="AA25" i="27" s="1"/>
  <c r="X26" i="27" s="1"/>
  <c r="D69" i="32"/>
  <c r="E68" i="32"/>
  <c r="C68" i="32" s="1"/>
  <c r="F29" i="29"/>
  <c r="H28" i="29"/>
  <c r="Q28" i="29"/>
  <c r="I28" i="29"/>
  <c r="Y9" i="65"/>
  <c r="Z8" i="65"/>
  <c r="Y10" i="65"/>
  <c r="E64" i="54"/>
  <c r="C64" i="54" s="1"/>
  <c r="D65" i="54"/>
  <c r="H28" i="60"/>
  <c r="J28" i="60" s="1"/>
  <c r="J27" i="29"/>
  <c r="D68" i="65"/>
  <c r="AH67" i="65"/>
  <c r="W26" i="27" l="1"/>
  <c r="Y26" i="27" s="1"/>
  <c r="AA26" i="27" s="1"/>
  <c r="X27" i="27" s="1"/>
  <c r="Z10" i="65"/>
  <c r="AA8" i="65"/>
  <c r="Z9" i="65"/>
  <c r="H29" i="60"/>
  <c r="J29" i="60" s="1"/>
  <c r="J28" i="29"/>
  <c r="E65" i="54"/>
  <c r="C65" i="54" s="1"/>
  <c r="D66" i="54"/>
  <c r="F30" i="29"/>
  <c r="H29" i="29"/>
  <c r="Q29" i="29"/>
  <c r="I29" i="29"/>
  <c r="D70" i="32"/>
  <c r="E69" i="32"/>
  <c r="C69" i="32" s="1"/>
  <c r="D69" i="65"/>
  <c r="AH68" i="65"/>
  <c r="D71" i="32" l="1"/>
  <c r="E70" i="32"/>
  <c r="C70" i="32" s="1"/>
  <c r="F31" i="29"/>
  <c r="H30" i="29"/>
  <c r="Q30" i="29"/>
  <c r="I30" i="29"/>
  <c r="AA9" i="65"/>
  <c r="AB8" i="65"/>
  <c r="AA10" i="65"/>
  <c r="W27" i="27"/>
  <c r="Y27" i="27" s="1"/>
  <c r="AA27" i="27" s="1"/>
  <c r="X28" i="27" s="1"/>
  <c r="H30" i="60"/>
  <c r="J30" i="60" s="1"/>
  <c r="J29" i="29"/>
  <c r="E66" i="54"/>
  <c r="C66" i="54" s="1"/>
  <c r="D67" i="54"/>
  <c r="D70" i="65"/>
  <c r="AH69" i="65"/>
  <c r="W28" i="27" l="1"/>
  <c r="Y28" i="27" s="1"/>
  <c r="AA28" i="27" s="1"/>
  <c r="X29" i="27" s="1"/>
  <c r="AB10" i="65"/>
  <c r="AC8" i="65"/>
  <c r="AB9" i="65"/>
  <c r="H31" i="60"/>
  <c r="J31" i="60" s="1"/>
  <c r="J30" i="29"/>
  <c r="E67" i="54"/>
  <c r="C67" i="54" s="1"/>
  <c r="D68" i="54"/>
  <c r="F32" i="29"/>
  <c r="H31" i="29"/>
  <c r="Q31" i="29"/>
  <c r="I31" i="29"/>
  <c r="D72" i="32"/>
  <c r="E71" i="32"/>
  <c r="C71" i="32" s="1"/>
  <c r="AH70" i="65"/>
  <c r="D71" i="65"/>
  <c r="W29" i="27" l="1"/>
  <c r="Y29" i="27" s="1"/>
  <c r="AA29" i="27" s="1"/>
  <c r="X30" i="27" s="1"/>
  <c r="H32" i="60"/>
  <c r="J32" i="60" s="1"/>
  <c r="J31" i="29"/>
  <c r="E68" i="54"/>
  <c r="C68" i="54" s="1"/>
  <c r="D69" i="54"/>
  <c r="D73" i="32"/>
  <c r="E72" i="32"/>
  <c r="C72" i="32" s="1"/>
  <c r="F33" i="29"/>
  <c r="H32" i="29"/>
  <c r="Q32" i="29"/>
  <c r="I32" i="29"/>
  <c r="AC9" i="65"/>
  <c r="AD8" i="65"/>
  <c r="AC10" i="65"/>
  <c r="AH71" i="65"/>
  <c r="D72" i="65"/>
  <c r="AH72" i="65" s="1"/>
  <c r="I72" i="67"/>
  <c r="I62" i="67" s="1"/>
  <c r="I85" i="67" s="1"/>
  <c r="K86" i="67" s="1"/>
  <c r="W30" i="27" l="1"/>
  <c r="Y30" i="27" s="1"/>
  <c r="AA30" i="27" s="1"/>
  <c r="X31" i="27" s="1"/>
  <c r="AD10" i="65"/>
  <c r="AE8" i="65"/>
  <c r="AD9" i="65"/>
  <c r="H33" i="60"/>
  <c r="J33" i="60" s="1"/>
  <c r="J32" i="29"/>
  <c r="E69" i="54"/>
  <c r="C69" i="54" s="1"/>
  <c r="D70" i="54"/>
  <c r="H33" i="29"/>
  <c r="Q33" i="29"/>
  <c r="I33" i="29"/>
  <c r="D74" i="32"/>
  <c r="E73" i="32"/>
  <c r="C73" i="32" s="1"/>
  <c r="H34" i="60" l="1"/>
  <c r="H35" i="29"/>
  <c r="J35" i="29" s="1"/>
  <c r="J42" i="29" s="1"/>
  <c r="J43" i="29" s="1"/>
  <c r="J33" i="29"/>
  <c r="J34" i="29" s="1"/>
  <c r="AE9" i="65"/>
  <c r="AF8" i="65"/>
  <c r="AE10" i="65"/>
  <c r="W31" i="27"/>
  <c r="Y31" i="27" s="1"/>
  <c r="AA31" i="27" s="1"/>
  <c r="X32" i="27" s="1"/>
  <c r="D75" i="32"/>
  <c r="E75" i="32" s="1"/>
  <c r="C75" i="32" s="1"/>
  <c r="E74" i="32"/>
  <c r="C74" i="32" s="1"/>
  <c r="E70" i="54"/>
  <c r="C70" i="54" s="1"/>
  <c r="D71" i="54"/>
  <c r="E71" i="54" s="1"/>
  <c r="C71" i="54" s="1"/>
  <c r="C77" i="32" l="1"/>
  <c r="C4" i="32" s="1"/>
  <c r="C5" i="32" s="1"/>
  <c r="W32" i="27"/>
  <c r="Y32" i="27" s="1"/>
  <c r="AA32" i="27" s="1"/>
  <c r="X33" i="27" s="1"/>
  <c r="C73" i="54"/>
  <c r="E4" i="32"/>
  <c r="F4" i="32" s="1"/>
  <c r="AF10" i="65"/>
  <c r="AG8" i="65"/>
  <c r="AF9" i="65"/>
  <c r="J34" i="60"/>
  <c r="J35" i="60" s="1"/>
  <c r="H35" i="60"/>
  <c r="D39" i="60" s="1"/>
  <c r="C6" i="32" l="1"/>
  <c r="E5" i="32"/>
  <c r="F5" i="32" s="1"/>
  <c r="E6" i="60" s="1"/>
  <c r="W33" i="27"/>
  <c r="Y33" i="27" s="1"/>
  <c r="AA33" i="27" s="1"/>
  <c r="AG9" i="65"/>
  <c r="AH9" i="65" s="1"/>
  <c r="AG10" i="65"/>
  <c r="AH10" i="65" s="1"/>
  <c r="K5" i="60" s="1"/>
  <c r="E5" i="60"/>
  <c r="G6" i="60" l="1"/>
  <c r="G5" i="60"/>
  <c r="C7" i="32"/>
  <c r="E6" i="32"/>
  <c r="F6" i="32" s="1"/>
  <c r="C8" i="32" l="1"/>
  <c r="E7" i="32"/>
  <c r="F7" i="32" s="1"/>
  <c r="E8" i="60" s="1"/>
  <c r="E7" i="60"/>
  <c r="G8" i="60" l="1"/>
  <c r="G7" i="60"/>
  <c r="C9" i="32"/>
  <c r="E8" i="32"/>
  <c r="F8" i="32" s="1"/>
  <c r="E9" i="60" s="1"/>
  <c r="G9" i="60" l="1"/>
  <c r="C10" i="32"/>
  <c r="E9" i="32"/>
  <c r="F9" i="32" s="1"/>
  <c r="E10" i="60" s="1"/>
  <c r="C11" i="32" l="1"/>
  <c r="E10" i="32"/>
  <c r="F10" i="32" s="1"/>
  <c r="E11" i="60" s="1"/>
  <c r="G10" i="60"/>
  <c r="G11" i="60" l="1"/>
  <c r="C12" i="32"/>
  <c r="E11" i="32"/>
  <c r="F11" i="32" s="1"/>
  <c r="E12" i="60" s="1"/>
  <c r="G12" i="60" l="1"/>
  <c r="C13" i="32"/>
  <c r="E12" i="32"/>
  <c r="F12" i="32" s="1"/>
  <c r="E13" i="60" s="1"/>
  <c r="G13" i="60" l="1"/>
  <c r="C14" i="32"/>
  <c r="E13" i="32"/>
  <c r="F13" i="32" s="1"/>
  <c r="E14" i="60" s="1"/>
  <c r="G14" i="60" l="1"/>
  <c r="C15" i="32"/>
  <c r="E14" i="32"/>
  <c r="F14" i="32" s="1"/>
  <c r="E15" i="60" s="1"/>
  <c r="G15" i="60" l="1"/>
  <c r="C16" i="32"/>
  <c r="E15" i="32"/>
  <c r="F15" i="32" s="1"/>
  <c r="E16" i="60" s="1"/>
  <c r="G16" i="60" l="1"/>
  <c r="C17" i="32"/>
  <c r="E16" i="32"/>
  <c r="F16" i="32" s="1"/>
  <c r="E17" i="60" s="1"/>
  <c r="G17" i="60" l="1"/>
  <c r="C18" i="32"/>
  <c r="E17" i="32"/>
  <c r="F17" i="32" s="1"/>
  <c r="E18" i="60" s="1"/>
  <c r="G18" i="60" l="1"/>
  <c r="C19" i="32"/>
  <c r="E18" i="32"/>
  <c r="F18" i="32" s="1"/>
  <c r="E19" i="60" s="1"/>
  <c r="G19" i="60" l="1"/>
  <c r="C20" i="32"/>
  <c r="E19" i="32"/>
  <c r="F19" i="32" s="1"/>
  <c r="E20" i="60" s="1"/>
  <c r="G20" i="60" l="1"/>
  <c r="C21" i="32"/>
  <c r="E20" i="32"/>
  <c r="F20" i="32" s="1"/>
  <c r="E21" i="60" s="1"/>
  <c r="G21" i="60" l="1"/>
  <c r="C22" i="32"/>
  <c r="E21" i="32"/>
  <c r="F21" i="32" s="1"/>
  <c r="E22" i="60" s="1"/>
  <c r="G22" i="60" l="1"/>
  <c r="C23" i="32"/>
  <c r="E22" i="32"/>
  <c r="F22" i="32" s="1"/>
  <c r="E23" i="60" s="1"/>
  <c r="G23" i="60" l="1"/>
  <c r="C24" i="32"/>
  <c r="E23" i="32"/>
  <c r="F23" i="32" s="1"/>
  <c r="E24" i="60" s="1"/>
  <c r="G24" i="60" l="1"/>
  <c r="C25" i="32"/>
  <c r="E24" i="32"/>
  <c r="F24" i="32" s="1"/>
  <c r="E25" i="60" s="1"/>
  <c r="G25" i="60" l="1"/>
  <c r="C26" i="32"/>
  <c r="E25" i="32"/>
  <c r="F25" i="32" s="1"/>
  <c r="E26" i="60" s="1"/>
  <c r="G26" i="60" l="1"/>
  <c r="C27" i="32"/>
  <c r="E26" i="32"/>
  <c r="F26" i="32" s="1"/>
  <c r="E27" i="60" s="1"/>
  <c r="G27" i="60" l="1"/>
  <c r="C28" i="32"/>
  <c r="E27" i="32"/>
  <c r="F27" i="32" s="1"/>
  <c r="E28" i="60" s="1"/>
  <c r="G28" i="60" l="1"/>
  <c r="C29" i="32"/>
  <c r="E28" i="32"/>
  <c r="F28" i="32" s="1"/>
  <c r="E29" i="60" s="1"/>
  <c r="G29" i="60" l="1"/>
  <c r="C30" i="32"/>
  <c r="E29" i="32"/>
  <c r="F29" i="32" s="1"/>
  <c r="E30" i="60" s="1"/>
  <c r="G30" i="60" l="1"/>
  <c r="C31" i="32"/>
  <c r="E30" i="32"/>
  <c r="F30" i="32" s="1"/>
  <c r="E31" i="60" s="1"/>
  <c r="G31" i="60" l="1"/>
  <c r="C32" i="32"/>
  <c r="E31" i="32"/>
  <c r="F31" i="32" s="1"/>
  <c r="E32" i="60" s="1"/>
  <c r="G32" i="60" l="1"/>
  <c r="C33" i="32"/>
  <c r="E33" i="32" s="1"/>
  <c r="F33" i="32" s="1"/>
  <c r="E32" i="32"/>
  <c r="F32" i="32" s="1"/>
  <c r="E33" i="60" s="1"/>
  <c r="G33" i="60" l="1"/>
  <c r="E34" i="60"/>
  <c r="F35" i="32"/>
  <c r="G34" i="60" l="1"/>
  <c r="G35" i="60" s="1"/>
  <c r="J43" i="60" s="1"/>
  <c r="E35" i="60"/>
  <c r="D41" i="60" s="1"/>
  <c r="D43" i="60" l="1"/>
  <c r="E42" i="60" l="1"/>
  <c r="E40" i="60"/>
  <c r="E39" i="60"/>
  <c r="E41" i="60"/>
  <c r="E7" i="65" l="1"/>
  <c r="E4" i="65" l="1"/>
  <c r="E12" i="65"/>
  <c r="E13" i="65" l="1"/>
  <c r="E14" i="65" l="1"/>
  <c r="E15" i="65" l="1"/>
  <c r="E16" i="65" l="1"/>
  <c r="E17" i="65" l="1"/>
  <c r="E18" i="65" l="1"/>
  <c r="E19" i="65" l="1"/>
  <c r="E20" i="65" l="1"/>
  <c r="E21" i="65" l="1"/>
  <c r="E22" i="65" l="1"/>
  <c r="E23" i="65" l="1"/>
  <c r="E24" i="65" l="1"/>
  <c r="E25" i="65" l="1"/>
  <c r="E26" i="65" l="1"/>
  <c r="E27" i="65" l="1"/>
  <c r="E28" i="65" l="1"/>
  <c r="E29" i="65" l="1"/>
  <c r="E30" i="65" l="1"/>
  <c r="E31" i="65" l="1"/>
  <c r="E32" i="65" l="1"/>
  <c r="E33" i="65" l="1"/>
  <c r="E34" i="65" l="1"/>
  <c r="E35" i="65" l="1"/>
  <c r="E36" i="65" l="1"/>
  <c r="E37" i="65" l="1"/>
  <c r="E38" i="65" l="1"/>
  <c r="E39" i="65" l="1"/>
  <c r="E40" i="65" l="1"/>
  <c r="F7" i="65" l="1"/>
  <c r="F4" i="65" l="1"/>
  <c r="F13" i="65"/>
  <c r="F14" i="65" l="1"/>
  <c r="F15" i="65" l="1"/>
  <c r="F16" i="65" l="1"/>
  <c r="F17" i="65" l="1"/>
  <c r="F18" i="65" l="1"/>
  <c r="F19" i="65" l="1"/>
  <c r="F20" i="65" l="1"/>
  <c r="F21" i="65" l="1"/>
  <c r="F22" i="65" l="1"/>
  <c r="F23" i="65" l="1"/>
  <c r="F24" i="65" l="1"/>
  <c r="F25" i="65" l="1"/>
  <c r="F26" i="65" l="1"/>
  <c r="F27" i="65" l="1"/>
  <c r="F28" i="65" l="1"/>
  <c r="F29" i="65" l="1"/>
  <c r="F30" i="65" l="1"/>
  <c r="F31" i="65" l="1"/>
  <c r="F32" i="65" l="1"/>
  <c r="F33" i="65" l="1"/>
  <c r="F34" i="65" l="1"/>
  <c r="F35" i="65" l="1"/>
  <c r="F36" i="65" l="1"/>
  <c r="F37" i="65" l="1"/>
  <c r="F38" i="65" l="1"/>
  <c r="F39" i="65" l="1"/>
  <c r="F40" i="65" l="1"/>
  <c r="H7" i="65" l="1"/>
  <c r="H4" i="65" l="1"/>
  <c r="H15" i="65"/>
  <c r="H16" i="65" l="1"/>
  <c r="H17" i="65" l="1"/>
  <c r="H18" i="65" l="1"/>
  <c r="H19" i="65" l="1"/>
  <c r="H20" i="65" l="1"/>
  <c r="H21" i="65" l="1"/>
  <c r="H22" i="65" l="1"/>
  <c r="H23" i="65" l="1"/>
  <c r="H24" i="65" l="1"/>
  <c r="H25" i="65" l="1"/>
  <c r="H26" i="65" l="1"/>
  <c r="H27" i="65" l="1"/>
  <c r="H28" i="65" l="1"/>
  <c r="H29" i="65" l="1"/>
  <c r="H30" i="65" l="1"/>
  <c r="H31" i="65" l="1"/>
  <c r="H32" i="65" l="1"/>
  <c r="H33" i="65" l="1"/>
  <c r="H34" i="65" l="1"/>
  <c r="H35" i="65" l="1"/>
  <c r="H36" i="65" l="1"/>
  <c r="H37" i="65" l="1"/>
  <c r="H38" i="65" l="1"/>
  <c r="H39" i="65" l="1"/>
  <c r="H40" i="65" l="1"/>
  <c r="I7" i="65" l="1"/>
  <c r="I16" i="65" l="1"/>
  <c r="I4" i="65"/>
  <c r="I17" i="65" l="1"/>
  <c r="I18" i="65" l="1"/>
  <c r="I19" i="65" l="1"/>
  <c r="I20" i="65" l="1"/>
  <c r="I21" i="65" l="1"/>
  <c r="I22" i="65" l="1"/>
  <c r="I23" i="65" l="1"/>
  <c r="I24" i="65" l="1"/>
  <c r="I25" i="65" l="1"/>
  <c r="I26" i="65" l="1"/>
  <c r="I27" i="65" l="1"/>
  <c r="I28" i="65" l="1"/>
  <c r="I29" i="65" l="1"/>
  <c r="I30" i="65" l="1"/>
  <c r="I31" i="65" l="1"/>
  <c r="I32" i="65" l="1"/>
  <c r="I33" i="65" l="1"/>
  <c r="I34" i="65" l="1"/>
  <c r="I35" i="65" l="1"/>
  <c r="I36" i="65" l="1"/>
  <c r="I37" i="65" l="1"/>
  <c r="I38" i="65" l="1"/>
  <c r="I39" i="65" l="1"/>
  <c r="I40" i="65" l="1"/>
  <c r="J7" i="65" l="1"/>
  <c r="J17" i="65" l="1"/>
  <c r="J18" i="65" s="1"/>
  <c r="J4" i="65"/>
  <c r="J19" i="65" l="1"/>
  <c r="J20" i="65" l="1"/>
  <c r="J21" i="65" l="1"/>
  <c r="J22" i="65" l="1"/>
  <c r="J23" i="65" l="1"/>
  <c r="J24" i="65" l="1"/>
  <c r="J25" i="65" l="1"/>
  <c r="J26" i="65" l="1"/>
  <c r="J27" i="65" l="1"/>
  <c r="J28" i="65" l="1"/>
  <c r="J29" i="65" l="1"/>
  <c r="J30" i="65" l="1"/>
  <c r="J31" i="65" l="1"/>
  <c r="J32" i="65" l="1"/>
  <c r="J33" i="65" l="1"/>
  <c r="J34" i="65" l="1"/>
  <c r="J35" i="65" l="1"/>
  <c r="J36" i="65" l="1"/>
  <c r="J37" i="65" l="1"/>
  <c r="J38" i="65" l="1"/>
  <c r="J39" i="65" l="1"/>
  <c r="J40" i="65" l="1"/>
  <c r="K7" i="65" l="1"/>
  <c r="K4" i="65" l="1"/>
  <c r="K18" i="65"/>
  <c r="K19" i="65" l="1"/>
  <c r="K20" i="65" l="1"/>
  <c r="K21" i="65" l="1"/>
  <c r="K22" i="65" l="1"/>
  <c r="K23" i="65" l="1"/>
  <c r="K24" i="65" l="1"/>
  <c r="K25" i="65" l="1"/>
  <c r="K26" i="65" l="1"/>
  <c r="K27" i="65" l="1"/>
  <c r="K28" i="65" l="1"/>
  <c r="K29" i="65" l="1"/>
  <c r="K30" i="65" l="1"/>
  <c r="K31" i="65" l="1"/>
  <c r="K32" i="65" l="1"/>
  <c r="K33" i="65" l="1"/>
  <c r="K34" i="65" l="1"/>
  <c r="K35" i="65" l="1"/>
  <c r="K36" i="65" l="1"/>
  <c r="K37" i="65" l="1"/>
  <c r="K38" i="65" l="1"/>
  <c r="K39" i="65" l="1"/>
  <c r="K40" i="65" l="1"/>
  <c r="L7" i="65" l="1"/>
  <c r="L4" i="65" s="1"/>
  <c r="L19" i="65" l="1"/>
  <c r="L20" i="65" s="1"/>
  <c r="L21" i="65" l="1"/>
  <c r="L22" i="65" l="1"/>
  <c r="L23" i="65" l="1"/>
  <c r="L24" i="65" l="1"/>
  <c r="L25" i="65" l="1"/>
  <c r="L26" i="65" l="1"/>
  <c r="L27" i="65" l="1"/>
  <c r="L28" i="65" l="1"/>
  <c r="L29" i="65" l="1"/>
  <c r="L30" i="65" l="1"/>
  <c r="L31" i="65" l="1"/>
  <c r="L32" i="65" l="1"/>
  <c r="L33" i="65" l="1"/>
  <c r="L34" i="65" l="1"/>
  <c r="L35" i="65" l="1"/>
  <c r="L36" i="65" l="1"/>
  <c r="L37" i="65" l="1"/>
  <c r="L38" i="65" l="1"/>
  <c r="L39" i="65" l="1"/>
  <c r="L40" i="65" l="1"/>
  <c r="M7" i="65" l="1"/>
  <c r="M4" i="65" l="1"/>
  <c r="M20" i="65"/>
  <c r="M21" i="65" l="1"/>
  <c r="M22" i="65" l="1"/>
  <c r="M23" i="65" l="1"/>
  <c r="M24" i="65" l="1"/>
  <c r="M25" i="65" l="1"/>
  <c r="M26" i="65" l="1"/>
  <c r="M27" i="65" l="1"/>
  <c r="M28" i="65" l="1"/>
  <c r="M29" i="65" l="1"/>
  <c r="M30" i="65" l="1"/>
  <c r="M31" i="65" l="1"/>
  <c r="M32" i="65" l="1"/>
  <c r="M33" i="65" l="1"/>
  <c r="M34" i="65" l="1"/>
  <c r="M35" i="65" l="1"/>
  <c r="M36" i="65" l="1"/>
  <c r="M37" i="65" l="1"/>
  <c r="M38" i="65" l="1"/>
  <c r="M39" i="65" l="1"/>
  <c r="M40" i="65" l="1"/>
  <c r="N7" i="65" l="1"/>
  <c r="N4" i="65" l="1"/>
  <c r="N21" i="65"/>
  <c r="N22" i="65" l="1"/>
  <c r="N23" i="65" l="1"/>
  <c r="N24" i="65" l="1"/>
  <c r="N25" i="65" l="1"/>
  <c r="N26" i="65" l="1"/>
  <c r="N27" i="65" l="1"/>
  <c r="N28" i="65" l="1"/>
  <c r="N29" i="65" l="1"/>
  <c r="N30" i="65" l="1"/>
  <c r="N31" i="65" l="1"/>
  <c r="N32" i="65" l="1"/>
  <c r="N33" i="65" l="1"/>
  <c r="N34" i="65" l="1"/>
  <c r="N35" i="65" l="1"/>
  <c r="N36" i="65" l="1"/>
  <c r="N37" i="65" l="1"/>
  <c r="N38" i="65" l="1"/>
  <c r="N39" i="65" l="1"/>
  <c r="N40" i="65" l="1"/>
  <c r="O7" i="65" l="1"/>
  <c r="O4" i="65" l="1"/>
  <c r="O22" i="65"/>
  <c r="O23" i="65" l="1"/>
  <c r="O24" i="65" l="1"/>
  <c r="O25" i="65" l="1"/>
  <c r="O26" i="65" l="1"/>
  <c r="O27" i="65" l="1"/>
  <c r="O28" i="65" l="1"/>
  <c r="O29" i="65" l="1"/>
  <c r="O30" i="65" l="1"/>
  <c r="O31" i="65" l="1"/>
  <c r="O32" i="65" l="1"/>
  <c r="O33" i="65" l="1"/>
  <c r="O34" i="65" l="1"/>
  <c r="O35" i="65" l="1"/>
  <c r="O36" i="65" l="1"/>
  <c r="O37" i="65" l="1"/>
  <c r="O38" i="65" l="1"/>
  <c r="O39" i="65" l="1"/>
  <c r="O40" i="65" l="1"/>
  <c r="P7" i="65" l="1"/>
  <c r="P4" i="65" l="1"/>
  <c r="P23" i="65"/>
  <c r="P24" i="65" l="1"/>
  <c r="P25" i="65" l="1"/>
  <c r="P26" i="65" l="1"/>
  <c r="P27" i="65" l="1"/>
  <c r="P28" i="65" l="1"/>
  <c r="P29" i="65" l="1"/>
  <c r="P30" i="65" l="1"/>
  <c r="P31" i="65" l="1"/>
  <c r="P32" i="65" l="1"/>
  <c r="P33" i="65" l="1"/>
  <c r="P34" i="65" l="1"/>
  <c r="P35" i="65" l="1"/>
  <c r="P36" i="65" l="1"/>
  <c r="P37" i="65" l="1"/>
  <c r="P38" i="65" l="1"/>
  <c r="P39" i="65" l="1"/>
  <c r="P40" i="65" l="1"/>
  <c r="Q7" i="65" l="1"/>
  <c r="Q4" i="65" l="1"/>
  <c r="Q24" i="65"/>
  <c r="Q25" i="65" l="1"/>
  <c r="Q26" i="65" l="1"/>
  <c r="Q27" i="65" l="1"/>
  <c r="Q28" i="65" l="1"/>
  <c r="Q29" i="65" l="1"/>
  <c r="Q30" i="65" l="1"/>
  <c r="Q31" i="65" l="1"/>
  <c r="Q32" i="65" l="1"/>
  <c r="Q33" i="65" l="1"/>
  <c r="Q34" i="65" l="1"/>
  <c r="Q35" i="65" l="1"/>
  <c r="Q36" i="65" l="1"/>
  <c r="Q37" i="65" l="1"/>
  <c r="Q38" i="65" l="1"/>
  <c r="Q39" i="65" l="1"/>
  <c r="Q40" i="65" l="1"/>
  <c r="R7" i="65"/>
  <c r="R4" i="65" l="1"/>
  <c r="R25" i="65"/>
  <c r="R26" i="65" l="1"/>
  <c r="R27" i="65" l="1"/>
  <c r="R28" i="65" l="1"/>
  <c r="R29" i="65" l="1"/>
  <c r="R30" i="65" l="1"/>
  <c r="R31" i="65" l="1"/>
  <c r="R32" i="65" l="1"/>
  <c r="R33" i="65" l="1"/>
  <c r="R34" i="65" l="1"/>
  <c r="R35" i="65" l="1"/>
  <c r="R36" i="65" l="1"/>
  <c r="R37" i="65" l="1"/>
  <c r="R38" i="65" l="1"/>
  <c r="R39" i="65" l="1"/>
  <c r="R40" i="65" l="1"/>
  <c r="S7" i="65" l="1"/>
  <c r="S4" i="65" l="1"/>
  <c r="S26" i="65"/>
  <c r="S27" i="65" l="1"/>
  <c r="S28" i="65" l="1"/>
  <c r="S29" i="65" l="1"/>
  <c r="S30" i="65" l="1"/>
  <c r="S31" i="65" l="1"/>
  <c r="S32" i="65" l="1"/>
  <c r="S33" i="65" l="1"/>
  <c r="S34" i="65" l="1"/>
  <c r="S35" i="65" l="1"/>
  <c r="S36" i="65" l="1"/>
  <c r="S37" i="65" l="1"/>
  <c r="S38" i="65" l="1"/>
  <c r="S39" i="65" l="1"/>
  <c r="S40" i="65" l="1"/>
  <c r="T7" i="65" l="1"/>
  <c r="T4" i="65" l="1"/>
  <c r="T27" i="65"/>
  <c r="T28" i="65" l="1"/>
  <c r="T29" i="65" l="1"/>
  <c r="T30" i="65" l="1"/>
  <c r="T31" i="65" l="1"/>
  <c r="T32" i="65" l="1"/>
  <c r="T33" i="65" l="1"/>
  <c r="T34" i="65" l="1"/>
  <c r="T35" i="65" l="1"/>
  <c r="T36" i="65" l="1"/>
  <c r="T37" i="65" l="1"/>
  <c r="T38" i="65" l="1"/>
  <c r="T39" i="65" l="1"/>
  <c r="T40" i="65" l="1"/>
  <c r="U7" i="65" l="1"/>
  <c r="U4" i="65" s="1"/>
  <c r="U28" i="65" l="1"/>
  <c r="U29" i="65" s="1"/>
  <c r="U30" i="65" l="1"/>
  <c r="U31" i="65" l="1"/>
  <c r="U32" i="65" l="1"/>
  <c r="U33" i="65" l="1"/>
  <c r="U34" i="65" l="1"/>
  <c r="U35" i="65" l="1"/>
  <c r="U36" i="65" l="1"/>
  <c r="U37" i="65" l="1"/>
  <c r="U38" i="65" l="1"/>
  <c r="U39" i="65" l="1"/>
  <c r="U40" i="65" l="1"/>
  <c r="V7" i="65" l="1"/>
  <c r="V4" i="65" l="1"/>
  <c r="V29" i="65"/>
  <c r="V30" i="65" l="1"/>
  <c r="V31" i="65" l="1"/>
  <c r="V32" i="65" l="1"/>
  <c r="V33" i="65" l="1"/>
  <c r="V34" i="65" l="1"/>
  <c r="V35" i="65" l="1"/>
  <c r="V36" i="65" l="1"/>
  <c r="V37" i="65" l="1"/>
  <c r="V38" i="65" l="1"/>
  <c r="V39" i="65" l="1"/>
  <c r="V40" i="65" l="1"/>
  <c r="W7" i="65" l="1"/>
  <c r="W4" i="65" l="1"/>
  <c r="W30" i="65"/>
  <c r="W31" i="65" l="1"/>
  <c r="W32" i="65" l="1"/>
  <c r="W33" i="65" l="1"/>
  <c r="W34" i="65" l="1"/>
  <c r="W35" i="65" l="1"/>
  <c r="W36" i="65" l="1"/>
  <c r="W37" i="65" l="1"/>
  <c r="W38" i="65" l="1"/>
  <c r="W39" i="65" l="1"/>
  <c r="W40" i="65" l="1"/>
  <c r="X7" i="65" l="1"/>
  <c r="X4" i="65" l="1"/>
  <c r="X31" i="65"/>
  <c r="X32" i="65" l="1"/>
  <c r="X33" i="65" l="1"/>
  <c r="X34" i="65" l="1"/>
  <c r="X35" i="65" l="1"/>
  <c r="X36" i="65" l="1"/>
  <c r="X37" i="65" l="1"/>
  <c r="X38" i="65" l="1"/>
  <c r="X39" i="65" l="1"/>
  <c r="X40" i="65" s="1"/>
  <c r="Y7" i="65" l="1"/>
  <c r="Y4" i="65" l="1"/>
  <c r="Y32" i="65"/>
  <c r="Y33" i="65" l="1"/>
  <c r="Y34" i="65" l="1"/>
  <c r="Y35" i="65" l="1"/>
  <c r="Y36" i="65" l="1"/>
  <c r="Y37" i="65" l="1"/>
  <c r="Y38" i="65" l="1"/>
  <c r="Y39" i="65" l="1"/>
  <c r="Y40" i="65" s="1"/>
  <c r="Z7" i="65" l="1"/>
  <c r="Z4" i="65" l="1"/>
  <c r="Z33" i="65"/>
  <c r="Z34" i="65" l="1"/>
  <c r="Z35" i="65" l="1"/>
  <c r="Z36" i="65" l="1"/>
  <c r="Z37" i="65" l="1"/>
  <c r="Z38" i="65" l="1"/>
  <c r="Z39" i="65" l="1"/>
  <c r="Z40" i="65" l="1"/>
  <c r="AA7" i="65" l="1"/>
  <c r="AA4" i="65" l="1"/>
  <c r="AA34" i="65"/>
  <c r="AA35" i="65" l="1"/>
  <c r="AA36" i="65" l="1"/>
  <c r="AA37" i="65" l="1"/>
  <c r="AA38" i="65" l="1"/>
  <c r="AA39" i="65" l="1"/>
  <c r="AA40" i="65" l="1"/>
  <c r="AB7" i="65" l="1"/>
  <c r="AB4" i="65" l="1"/>
  <c r="AB35" i="65"/>
  <c r="AB36" i="65" l="1"/>
  <c r="AB37" i="65" l="1"/>
  <c r="AB38" i="65" l="1"/>
  <c r="AB39" i="65" l="1"/>
  <c r="AB40" i="65" l="1"/>
  <c r="AC7" i="65" l="1"/>
  <c r="AC4" i="65" l="1"/>
  <c r="AC36" i="65"/>
  <c r="AC37" i="65" l="1"/>
  <c r="AC38" i="65" l="1"/>
  <c r="AC39" i="65" l="1"/>
  <c r="AC40" i="65" s="1"/>
  <c r="AD7" i="65" l="1"/>
  <c r="AD4" i="65" l="1"/>
  <c r="AD37" i="65"/>
  <c r="AD38" i="65" l="1"/>
  <c r="AD39" i="65" l="1"/>
  <c r="AD40" i="65" s="1"/>
  <c r="AE7" i="65" l="1"/>
  <c r="AE38" i="65" l="1"/>
  <c r="AE4" i="65"/>
  <c r="AE39" i="65" l="1"/>
  <c r="AE40" i="65" s="1"/>
  <c r="AF7" i="65" l="1"/>
  <c r="AF39" i="65" l="1"/>
  <c r="AF4" i="65"/>
  <c r="AF40" i="65" l="1"/>
  <c r="AG7" i="65" l="1"/>
  <c r="AG4" i="65" l="1"/>
  <c r="AG39" i="65"/>
  <c r="AG40" i="65" l="1"/>
  <c r="G4" i="27" l="1"/>
  <c r="G35" i="27" s="1"/>
  <c r="H4" i="27" l="1"/>
  <c r="H39" i="27" s="1"/>
  <c r="G7" i="65" l="1"/>
  <c r="G4" i="65" l="1"/>
  <c r="G14" i="65"/>
  <c r="G15" i="65" l="1"/>
  <c r="G16" i="65" l="1"/>
  <c r="G17" i="65" l="1"/>
  <c r="G18" i="65" l="1"/>
  <c r="G19" i="65" l="1"/>
  <c r="G20" i="65" l="1"/>
  <c r="G21" i="65" l="1"/>
  <c r="G22" i="65" l="1"/>
  <c r="G23" i="65" l="1"/>
  <c r="G24" i="65" l="1"/>
  <c r="G25" i="65" l="1"/>
  <c r="G26" i="65" l="1"/>
  <c r="G27" i="65" l="1"/>
  <c r="G28" i="65" l="1"/>
  <c r="G29" i="65" l="1"/>
  <c r="G30" i="65" l="1"/>
  <c r="G31" i="65" l="1"/>
  <c r="G32" i="65" l="1"/>
  <c r="G33" i="65" l="1"/>
  <c r="G34" i="65" l="1"/>
  <c r="G35" i="65" l="1"/>
  <c r="G36" i="65" l="1"/>
  <c r="G37" i="65" l="1"/>
  <c r="G38" i="65" l="1"/>
  <c r="G39" i="65" l="1"/>
  <c r="G40" i="65" l="1"/>
  <c r="I4" i="61" l="1"/>
  <c r="I5" i="61"/>
  <c r="I18" i="61"/>
  <c r="I12" i="61" l="1"/>
  <c r="G12" i="61"/>
  <c r="I10" i="61"/>
  <c r="F10" i="61" s="1"/>
  <c r="G10" i="61"/>
  <c r="I8" i="61"/>
  <c r="F8" i="61" s="1"/>
  <c r="G8" i="61"/>
  <c r="I6" i="61"/>
  <c r="I19" i="61"/>
  <c r="I11" i="61"/>
  <c r="G11" i="61"/>
  <c r="I9" i="61"/>
  <c r="G9" i="61"/>
  <c r="I7" i="61"/>
  <c r="F7" i="61" s="1"/>
  <c r="G7" i="61"/>
  <c r="I70" i="61"/>
  <c r="AN7" i="61" l="1"/>
  <c r="AN9" i="61"/>
  <c r="AN11" i="61"/>
  <c r="G19" i="61"/>
  <c r="AN19" i="61" s="1"/>
  <c r="G18" i="61"/>
  <c r="G6" i="61"/>
  <c r="AN6" i="61" s="1"/>
  <c r="I73" i="61"/>
  <c r="D7" i="65" s="1"/>
  <c r="C4" i="62" a="1"/>
  <c r="AN8" i="61"/>
  <c r="AN10" i="61"/>
  <c r="AN12" i="61"/>
  <c r="AN18" i="61" l="1"/>
  <c r="G70" i="61"/>
  <c r="G73" i="61" s="1"/>
  <c r="D11" i="65"/>
  <c r="D4" i="65"/>
  <c r="AH4" i="65" s="1"/>
  <c r="B4" i="65" s="1"/>
  <c r="AH7" i="65"/>
  <c r="B7" i="65" s="1"/>
  <c r="E11" i="62"/>
  <c r="C17" i="62"/>
  <c r="D22" i="62"/>
  <c r="E27" i="62"/>
  <c r="C33" i="62"/>
  <c r="C21" i="62"/>
  <c r="E31" i="62"/>
  <c r="D18" i="62"/>
  <c r="C29" i="62"/>
  <c r="C31" i="62"/>
  <c r="E25" i="62"/>
  <c r="D20" i="62"/>
  <c r="C15" i="62"/>
  <c r="D10" i="62"/>
  <c r="E7" i="62"/>
  <c r="C5" i="62"/>
  <c r="C32" i="62"/>
  <c r="D29" i="62"/>
  <c r="E26" i="62"/>
  <c r="C24" i="62"/>
  <c r="D21" i="62"/>
  <c r="E18" i="62"/>
  <c r="C16" i="62"/>
  <c r="D13" i="62"/>
  <c r="E10" i="62"/>
  <c r="C8" i="62"/>
  <c r="D5" i="62"/>
  <c r="E29" i="62"/>
  <c r="D24" i="62"/>
  <c r="C19" i="62"/>
  <c r="E13" i="62"/>
  <c r="E9" i="62"/>
  <c r="C7" i="62"/>
  <c r="D4" i="62"/>
  <c r="D31" i="62"/>
  <c r="E28" i="62"/>
  <c r="C26" i="62"/>
  <c r="D23" i="62"/>
  <c r="E20" i="62"/>
  <c r="C18" i="62"/>
  <c r="D15" i="62"/>
  <c r="E12" i="62"/>
  <c r="C10" i="62"/>
  <c r="D7" i="62"/>
  <c r="E4" i="62"/>
  <c r="C4" i="62"/>
  <c r="D14" i="62"/>
  <c r="E19" i="62"/>
  <c r="C25" i="62"/>
  <c r="D30" i="62"/>
  <c r="E15" i="62"/>
  <c r="D26" i="62"/>
  <c r="C13" i="62"/>
  <c r="E23" i="62"/>
  <c r="E33" i="62"/>
  <c r="D28" i="62"/>
  <c r="C23" i="62"/>
  <c r="E17" i="62"/>
  <c r="D12" i="62"/>
  <c r="C9" i="62"/>
  <c r="D6" i="62"/>
  <c r="D33" i="62"/>
  <c r="E30" i="62"/>
  <c r="C28" i="62"/>
  <c r="D25" i="62"/>
  <c r="E22" i="62"/>
  <c r="C20" i="62"/>
  <c r="D17" i="62"/>
  <c r="E14" i="62"/>
  <c r="C12" i="62"/>
  <c r="D9" i="62"/>
  <c r="E6" i="62"/>
  <c r="D32" i="62"/>
  <c r="C27" i="62"/>
  <c r="E21" i="62"/>
  <c r="D16" i="62"/>
  <c r="C11" i="62"/>
  <c r="D8" i="62"/>
  <c r="E5" i="62"/>
  <c r="E32" i="62"/>
  <c r="C30" i="62"/>
  <c r="D27" i="62"/>
  <c r="E24" i="62"/>
  <c r="C22" i="62"/>
  <c r="E16" i="62"/>
  <c r="D11" i="62"/>
  <c r="C6" i="62"/>
  <c r="D19" i="62"/>
  <c r="C14" i="62"/>
  <c r="E8" i="62"/>
  <c r="G4" i="61" l="1"/>
  <c r="AN4" i="61" s="1"/>
  <c r="AN67" i="61"/>
  <c r="F22" i="62"/>
  <c r="F27" i="62"/>
  <c r="F12" i="62"/>
  <c r="F28" i="62"/>
  <c r="F9" i="62"/>
  <c r="C34" i="62"/>
  <c r="F4" i="62"/>
  <c r="F18" i="62"/>
  <c r="D34" i="62"/>
  <c r="F19" i="62"/>
  <c r="F8" i="62"/>
  <c r="F24" i="62"/>
  <c r="F5" i="62"/>
  <c r="F31" i="62"/>
  <c r="F21" i="62"/>
  <c r="F17" i="62"/>
  <c r="D12" i="65"/>
  <c r="AH11" i="65"/>
  <c r="AN5" i="61"/>
  <c r="F14" i="62"/>
  <c r="F6" i="62"/>
  <c r="F30" i="62"/>
  <c r="F11" i="62"/>
  <c r="F20" i="62"/>
  <c r="F23" i="62"/>
  <c r="F13" i="62"/>
  <c r="F25" i="62"/>
  <c r="E34" i="62"/>
  <c r="F10" i="62"/>
  <c r="F26" i="62"/>
  <c r="F7" i="62"/>
  <c r="F16" i="62"/>
  <c r="F32" i="62"/>
  <c r="F15" i="62"/>
  <c r="F29" i="62"/>
  <c r="F33" i="62"/>
  <c r="D13" i="65" l="1"/>
  <c r="AH12" i="65"/>
  <c r="F34" i="62"/>
  <c r="AN73" i="61"/>
  <c r="AN70" i="61"/>
  <c r="K6" i="60"/>
  <c r="K7" i="60" l="1"/>
  <c r="D14" i="65"/>
  <c r="AH13" i="65"/>
  <c r="D15" i="65" l="1"/>
  <c r="AH14" i="65"/>
  <c r="K8" i="60"/>
  <c r="K9" i="60" l="1"/>
  <c r="D16" i="65"/>
  <c r="AH15" i="65"/>
  <c r="D17" i="65" l="1"/>
  <c r="AH16" i="65"/>
  <c r="K10" i="60"/>
  <c r="K11" i="60" l="1"/>
  <c r="D18" i="65"/>
  <c r="AH17" i="65"/>
  <c r="D19" i="65" l="1"/>
  <c r="AH18" i="65"/>
  <c r="K12" i="60"/>
  <c r="K13" i="60" l="1"/>
  <c r="D20" i="65"/>
  <c r="AH19" i="65"/>
  <c r="K14" i="60" l="1"/>
  <c r="D21" i="65"/>
  <c r="AH20" i="65"/>
  <c r="K15" i="60" l="1"/>
  <c r="D22" i="65"/>
  <c r="AH21" i="65"/>
  <c r="K16" i="60" l="1"/>
  <c r="D23" i="65"/>
  <c r="AH22" i="65"/>
  <c r="K17" i="60" l="1"/>
  <c r="D24" i="65"/>
  <c r="AH23" i="65"/>
  <c r="K18" i="60" l="1"/>
  <c r="D25" i="65"/>
  <c r="AH24" i="65"/>
  <c r="D26" i="65" l="1"/>
  <c r="AH25" i="65"/>
  <c r="K19" i="60"/>
  <c r="K20" i="60" l="1"/>
  <c r="D27" i="65"/>
  <c r="AH26" i="65"/>
  <c r="K21" i="60" l="1"/>
  <c r="D28" i="65"/>
  <c r="AH27" i="65"/>
  <c r="K22" i="60" l="1"/>
  <c r="D29" i="65"/>
  <c r="AH28" i="65"/>
  <c r="D30" i="65" l="1"/>
  <c r="AH29" i="65"/>
  <c r="K23" i="60"/>
  <c r="K24" i="60" l="1"/>
  <c r="D31" i="65"/>
  <c r="AH30" i="65"/>
  <c r="K25" i="60" l="1"/>
  <c r="D32" i="65"/>
  <c r="AH31" i="65"/>
  <c r="K26" i="60" l="1"/>
  <c r="D33" i="65"/>
  <c r="AH32" i="65"/>
  <c r="D34" i="65" l="1"/>
  <c r="AH33" i="65"/>
  <c r="K27" i="60"/>
  <c r="K28" i="60" l="1"/>
  <c r="D35" i="65"/>
  <c r="AH34" i="65"/>
  <c r="D36" i="65" l="1"/>
  <c r="AH35" i="65"/>
  <c r="K29" i="60"/>
  <c r="K30" i="60" l="1"/>
  <c r="D37" i="65"/>
  <c r="AH36" i="65"/>
  <c r="D38" i="65" l="1"/>
  <c r="AH37" i="65"/>
  <c r="K31" i="60"/>
  <c r="K32" i="60" l="1"/>
  <c r="D39" i="65"/>
  <c r="AH38" i="65"/>
  <c r="AH39" i="65" l="1"/>
  <c r="D40" i="65"/>
  <c r="K33" i="60"/>
  <c r="K34" i="60" l="1"/>
  <c r="K35" i="60" s="1"/>
  <c r="G37" i="60" s="1"/>
  <c r="AH40" i="65"/>
  <c r="AL36" i="65" s="1"/>
  <c r="AL35" i="65"/>
  <c r="AH350" i="65" l="1"/>
  <c r="AL22" i="65" s="1"/>
  <c r="AH365" i="65"/>
  <c r="AH347" i="65"/>
  <c r="AL19" i="65" s="1"/>
  <c r="AH352" i="65"/>
  <c r="AL24" i="65" s="1"/>
  <c r="AH357" i="65"/>
  <c r="AL29" i="65" s="1"/>
  <c r="AH360" i="65"/>
  <c r="AL32" i="65" s="1"/>
  <c r="AH366" i="65"/>
  <c r="AH349" i="65"/>
  <c r="AL21" i="65" s="1"/>
  <c r="AH363" i="65"/>
  <c r="AL9" i="65"/>
  <c r="AH361" i="65"/>
  <c r="AL33" i="65" s="1"/>
  <c r="AH367" i="65"/>
  <c r="AH344" i="65"/>
  <c r="AL16" i="65" s="1"/>
  <c r="AH369" i="65"/>
  <c r="AH359" i="65"/>
  <c r="AL31" i="65" s="1"/>
  <c r="AH356" i="65"/>
  <c r="AL28" i="65" s="1"/>
  <c r="AH355" i="65"/>
  <c r="AL27" i="65" s="1"/>
  <c r="AH341" i="65"/>
  <c r="AL13" i="65" s="1"/>
  <c r="AH358" i="65"/>
  <c r="AL30" i="65" s="1"/>
  <c r="AH362" i="65"/>
  <c r="AL34" i="65" s="1"/>
  <c r="AH368" i="65"/>
  <c r="AH371" i="65"/>
  <c r="AH346" i="65"/>
  <c r="AL18" i="65" s="1"/>
  <c r="AH345" i="65"/>
  <c r="AL17" i="65" s="1"/>
  <c r="AH351" i="65"/>
  <c r="AL23" i="65" s="1"/>
  <c r="AH364" i="65"/>
  <c r="AL12" i="65"/>
  <c r="AH348" i="65"/>
  <c r="AL20" i="65" s="1"/>
  <c r="AH342" i="65"/>
  <c r="AL14" i="65" s="1"/>
  <c r="AH354" i="65"/>
  <c r="AL26" i="65" s="1"/>
  <c r="AL11" i="65"/>
  <c r="AH370" i="65"/>
  <c r="AH353" i="65"/>
  <c r="AL25" i="65" s="1"/>
  <c r="AH343" i="65"/>
  <c r="AL15" i="65" s="1"/>
  <c r="AL10" i="65"/>
  <c r="AL38" i="65"/>
  <c r="AL37" i="65"/>
  <c r="AL39" i="65"/>
  <c r="AH10" i="132"/>
  <c r="C28" i="134" s="1" a="1"/>
  <c r="C28" i="134" s="1"/>
  <c r="AL14" i="132"/>
  <c r="L40" i="132"/>
  <c r="AD28" i="134" l="1"/>
  <c r="AD29" i="134" s="1"/>
  <c r="AD39" i="134" s="1"/>
  <c r="P28" i="134"/>
  <c r="P29" i="134" s="1"/>
  <c r="P35" i="134" s="1"/>
  <c r="V28" i="134"/>
  <c r="V29" i="134" s="1"/>
  <c r="V32" i="134" s="1"/>
  <c r="V54" i="134" s="1"/>
  <c r="K28" i="134"/>
  <c r="K29" i="134" s="1"/>
  <c r="K32" i="134" s="1"/>
  <c r="K54" i="134" s="1"/>
  <c r="J28" i="134"/>
  <c r="J29" i="134" s="1"/>
  <c r="J32" i="134" s="1"/>
  <c r="AH40" i="132"/>
  <c r="J36" i="134"/>
  <c r="J39" i="134"/>
  <c r="J31" i="134"/>
  <c r="J53" i="134" s="1"/>
  <c r="AL10" i="132"/>
  <c r="AE28" i="134"/>
  <c r="AE29" i="134" s="1"/>
  <c r="AE35" i="134" s="1"/>
  <c r="W28" i="134"/>
  <c r="W29" i="134" s="1"/>
  <c r="AA28" i="134"/>
  <c r="AA29" i="134" s="1"/>
  <c r="AA39" i="134" s="1"/>
  <c r="T28" i="134"/>
  <c r="T29" i="134" s="1"/>
  <c r="T39" i="134" s="1"/>
  <c r="O28" i="134"/>
  <c r="O29" i="134" s="1"/>
  <c r="O32" i="134" s="1"/>
  <c r="G28" i="134"/>
  <c r="G29" i="134" s="1"/>
  <c r="X28" i="134"/>
  <c r="X29" i="134" s="1"/>
  <c r="X31" i="134" s="1"/>
  <c r="X53" i="134" s="1"/>
  <c r="R28" i="134"/>
  <c r="R29" i="134" s="1"/>
  <c r="R32" i="134" s="1"/>
  <c r="R54" i="134" s="1"/>
  <c r="F28" i="134"/>
  <c r="F29" i="134" s="1"/>
  <c r="F36" i="134" s="1"/>
  <c r="N28" i="134"/>
  <c r="N29" i="134" s="1"/>
  <c r="N31" i="134" s="1"/>
  <c r="N53" i="134" s="1"/>
  <c r="AH342" i="132"/>
  <c r="AF28" i="134"/>
  <c r="AF29" i="134" s="1"/>
  <c r="AF39" i="134" s="1"/>
  <c r="K35" i="134"/>
  <c r="C29" i="134"/>
  <c r="L28" i="134"/>
  <c r="L29" i="134" s="1"/>
  <c r="E28" i="134"/>
  <c r="E29" i="134" s="1"/>
  <c r="I28" i="134"/>
  <c r="I29" i="134" s="1"/>
  <c r="M28" i="134"/>
  <c r="M29" i="134" s="1"/>
  <c r="Q28" i="134"/>
  <c r="Q29" i="134" s="1"/>
  <c r="U28" i="134"/>
  <c r="U29" i="134" s="1"/>
  <c r="Y28" i="134"/>
  <c r="Y29" i="134" s="1"/>
  <c r="AC28" i="134"/>
  <c r="AC29" i="134" s="1"/>
  <c r="D28" i="134"/>
  <c r="D29" i="134" s="1"/>
  <c r="H28" i="134"/>
  <c r="H29" i="134" s="1"/>
  <c r="C28" i="133" a="1"/>
  <c r="AB28" i="134"/>
  <c r="AB29" i="134" s="1"/>
  <c r="Z28" i="134"/>
  <c r="Z29" i="134" s="1"/>
  <c r="S28" i="134"/>
  <c r="S29" i="134" s="1"/>
  <c r="AD32" i="134" l="1"/>
  <c r="AD54" i="134" s="1"/>
  <c r="P39" i="134"/>
  <c r="J35" i="134"/>
  <c r="J37" i="134" s="1"/>
  <c r="V31" i="134"/>
  <c r="V53" i="134" s="1"/>
  <c r="V52" i="134" s="1"/>
  <c r="V47" i="134" s="1"/>
  <c r="V55" i="134" s="1"/>
  <c r="K31" i="134"/>
  <c r="K30" i="134" s="1"/>
  <c r="K33" i="134" s="1"/>
  <c r="X39" i="134"/>
  <c r="X36" i="134"/>
  <c r="N39" i="134"/>
  <c r="X35" i="134"/>
  <c r="X32" i="134"/>
  <c r="X54" i="134" s="1"/>
  <c r="X52" i="134" s="1"/>
  <c r="X47" i="134" s="1"/>
  <c r="X55" i="134" s="1"/>
  <c r="V36" i="134"/>
  <c r="AE36" i="134"/>
  <c r="AE37" i="134" s="1"/>
  <c r="F35" i="134"/>
  <c r="F37" i="134" s="1"/>
  <c r="F31" i="134"/>
  <c r="F53" i="134" s="1"/>
  <c r="AD35" i="134"/>
  <c r="F32" i="134"/>
  <c r="F54" i="134" s="1"/>
  <c r="F39" i="134"/>
  <c r="N32" i="134"/>
  <c r="N54" i="134" s="1"/>
  <c r="N52" i="134" s="1"/>
  <c r="N47" i="134" s="1"/>
  <c r="N55" i="134" s="1"/>
  <c r="AD31" i="134"/>
  <c r="AD53" i="134" s="1"/>
  <c r="AD52" i="134" s="1"/>
  <c r="AD47" i="134" s="1"/>
  <c r="AD55" i="134" s="1"/>
  <c r="K39" i="134"/>
  <c r="R39" i="134"/>
  <c r="AF35" i="134"/>
  <c r="V39" i="134"/>
  <c r="AD36" i="134"/>
  <c r="R36" i="134"/>
  <c r="K36" i="134"/>
  <c r="K37" i="134" s="1"/>
  <c r="N36" i="134"/>
  <c r="V35" i="134"/>
  <c r="P31" i="134"/>
  <c r="P32" i="134"/>
  <c r="P54" i="134" s="1"/>
  <c r="P36" i="134"/>
  <c r="P37" i="134" s="1"/>
  <c r="N35" i="134"/>
  <c r="AA35" i="134"/>
  <c r="AA31" i="134"/>
  <c r="AA53" i="134" s="1"/>
  <c r="O36" i="134"/>
  <c r="O31" i="134"/>
  <c r="O53" i="134" s="1"/>
  <c r="O35" i="134"/>
  <c r="AA36" i="134"/>
  <c r="O39" i="134"/>
  <c r="AA32" i="134"/>
  <c r="AA54" i="134" s="1"/>
  <c r="W39" i="134"/>
  <c r="W31" i="134"/>
  <c r="W53" i="134" s="1"/>
  <c r="W32" i="134"/>
  <c r="W36" i="134"/>
  <c r="W35" i="134"/>
  <c r="AE31" i="134"/>
  <c r="AE39" i="134"/>
  <c r="AF36" i="134"/>
  <c r="AF31" i="134"/>
  <c r="AF32" i="134"/>
  <c r="AF54" i="134" s="1"/>
  <c r="G39" i="134"/>
  <c r="G31" i="134"/>
  <c r="G36" i="134"/>
  <c r="T31" i="134"/>
  <c r="T32" i="134"/>
  <c r="T54" i="134" s="1"/>
  <c r="G35" i="134"/>
  <c r="T36" i="134"/>
  <c r="R31" i="134"/>
  <c r="R35" i="134"/>
  <c r="G32" i="134"/>
  <c r="G54" i="134" s="1"/>
  <c r="AE32" i="134"/>
  <c r="AE54" i="134" s="1"/>
  <c r="T35" i="134"/>
  <c r="AB35" i="134"/>
  <c r="AB36" i="134"/>
  <c r="AB39" i="134"/>
  <c r="AB31" i="134"/>
  <c r="AB32" i="134"/>
  <c r="AB54" i="134" s="1"/>
  <c r="O54" i="134"/>
  <c r="Q35" i="134"/>
  <c r="Q36" i="134"/>
  <c r="Q31" i="134"/>
  <c r="Q39" i="134"/>
  <c r="Q32" i="134"/>
  <c r="Q54" i="134" s="1"/>
  <c r="J54" i="134"/>
  <c r="J52" i="134" s="1"/>
  <c r="J47" i="134" s="1"/>
  <c r="J55" i="134" s="1"/>
  <c r="J30" i="134"/>
  <c r="J33" i="134" s="1"/>
  <c r="M31" i="134"/>
  <c r="M36" i="134"/>
  <c r="M32" i="134"/>
  <c r="M54" i="134" s="1"/>
  <c r="M35" i="134"/>
  <c r="M39" i="134"/>
  <c r="I35" i="134"/>
  <c r="I31" i="134"/>
  <c r="I36" i="134"/>
  <c r="I32" i="134"/>
  <c r="I54" i="134" s="1"/>
  <c r="I39" i="134"/>
  <c r="E28" i="133"/>
  <c r="E29" i="133" s="1"/>
  <c r="I28" i="133"/>
  <c r="I29" i="133" s="1"/>
  <c r="M28" i="133"/>
  <c r="M29" i="133" s="1"/>
  <c r="Q28" i="133"/>
  <c r="Q29" i="133" s="1"/>
  <c r="U28" i="133"/>
  <c r="U29" i="133" s="1"/>
  <c r="Y28" i="133"/>
  <c r="Y29" i="133" s="1"/>
  <c r="AC28" i="133"/>
  <c r="AC29" i="133" s="1"/>
  <c r="D28" i="133"/>
  <c r="D29" i="133" s="1"/>
  <c r="K28" i="133"/>
  <c r="K29" i="133" s="1"/>
  <c r="R28" i="133"/>
  <c r="R29" i="133" s="1"/>
  <c r="T28" i="133"/>
  <c r="T29" i="133" s="1"/>
  <c r="AA28" i="133"/>
  <c r="AA29" i="133" s="1"/>
  <c r="C28" i="133"/>
  <c r="F28" i="133"/>
  <c r="F29" i="133" s="1"/>
  <c r="V28" i="133"/>
  <c r="V29" i="133" s="1"/>
  <c r="O28" i="133"/>
  <c r="O29" i="133" s="1"/>
  <c r="AE28" i="133"/>
  <c r="AE29" i="133" s="1"/>
  <c r="L28" i="133"/>
  <c r="L29" i="133" s="1"/>
  <c r="N28" i="133"/>
  <c r="N29" i="133" s="1"/>
  <c r="AD28" i="133"/>
  <c r="AD29" i="133" s="1"/>
  <c r="AB28" i="133"/>
  <c r="AB29" i="133" s="1"/>
  <c r="Z28" i="133"/>
  <c r="Z29" i="133" s="1"/>
  <c r="H28" i="133"/>
  <c r="H29" i="133" s="1"/>
  <c r="W28" i="133"/>
  <c r="W29" i="133" s="1"/>
  <c r="AF28" i="133"/>
  <c r="AF29" i="133" s="1"/>
  <c r="J28" i="133"/>
  <c r="J29" i="133" s="1"/>
  <c r="X28" i="133"/>
  <c r="X29" i="133" s="1"/>
  <c r="S28" i="133"/>
  <c r="S29" i="133" s="1"/>
  <c r="G28" i="133"/>
  <c r="G29" i="133" s="1"/>
  <c r="P28" i="133"/>
  <c r="P29" i="133" s="1"/>
  <c r="H31" i="134"/>
  <c r="H35" i="134"/>
  <c r="H39" i="134"/>
  <c r="H36" i="134"/>
  <c r="H32" i="134"/>
  <c r="H54" i="134" s="1"/>
  <c r="D39" i="134"/>
  <c r="D35" i="134"/>
  <c r="D31" i="134"/>
  <c r="D32" i="134"/>
  <c r="D36" i="134"/>
  <c r="AC35" i="134"/>
  <c r="AC36" i="134"/>
  <c r="AC31" i="134"/>
  <c r="AC39" i="134"/>
  <c r="AC32" i="134"/>
  <c r="AC54" i="134" s="1"/>
  <c r="Y31" i="134"/>
  <c r="Y32" i="134"/>
  <c r="Y54" i="134" s="1"/>
  <c r="Y39" i="134"/>
  <c r="Y35" i="134"/>
  <c r="Y36" i="134"/>
  <c r="S31" i="134"/>
  <c r="S39" i="134"/>
  <c r="S32" i="134"/>
  <c r="S54" i="134" s="1"/>
  <c r="S35" i="134"/>
  <c r="S36" i="134"/>
  <c r="E31" i="134"/>
  <c r="E39" i="134"/>
  <c r="E35" i="134"/>
  <c r="E36" i="134"/>
  <c r="E32" i="134"/>
  <c r="E54" i="134" s="1"/>
  <c r="C35" i="134"/>
  <c r="C36" i="134"/>
  <c r="C39" i="134"/>
  <c r="AG29" i="134"/>
  <c r="C33" i="134"/>
  <c r="AG28" i="134"/>
  <c r="K53" i="134"/>
  <c r="K52" i="134" s="1"/>
  <c r="K47" i="134" s="1"/>
  <c r="K55" i="134" s="1"/>
  <c r="U36" i="134"/>
  <c r="U31" i="134"/>
  <c r="U32" i="134"/>
  <c r="U54" i="134" s="1"/>
  <c r="U35" i="134"/>
  <c r="U39" i="134"/>
  <c r="Z35" i="134"/>
  <c r="Z39" i="134"/>
  <c r="Z32" i="134"/>
  <c r="Z54" i="134" s="1"/>
  <c r="Z36" i="134"/>
  <c r="Z31" i="134"/>
  <c r="L31" i="134"/>
  <c r="L36" i="134"/>
  <c r="L35" i="134"/>
  <c r="L32" i="134"/>
  <c r="L54" i="134" s="1"/>
  <c r="L39" i="134"/>
  <c r="X30" i="134" l="1"/>
  <c r="X33" i="134" s="1"/>
  <c r="AF37" i="134"/>
  <c r="X37" i="134"/>
  <c r="AD30" i="134"/>
  <c r="AD33" i="134" s="1"/>
  <c r="O37" i="134"/>
  <c r="V30" i="134"/>
  <c r="V33" i="134" s="1"/>
  <c r="AD37" i="134"/>
  <c r="T30" i="134"/>
  <c r="T33" i="134" s="1"/>
  <c r="AA37" i="134"/>
  <c r="F52" i="134"/>
  <c r="F47" i="134" s="1"/>
  <c r="F55" i="134" s="1"/>
  <c r="G37" i="134"/>
  <c r="V37" i="134"/>
  <c r="O30" i="134"/>
  <c r="O33" i="134" s="1"/>
  <c r="N37" i="134"/>
  <c r="F30" i="134"/>
  <c r="F33" i="134" s="1"/>
  <c r="R37" i="134"/>
  <c r="T53" i="134"/>
  <c r="T52" i="134" s="1"/>
  <c r="T47" i="134" s="1"/>
  <c r="T55" i="134" s="1"/>
  <c r="N30" i="134"/>
  <c r="N33" i="134" s="1"/>
  <c r="O52" i="134"/>
  <c r="O47" i="134" s="1"/>
  <c r="O55" i="134" s="1"/>
  <c r="T37" i="134"/>
  <c r="P53" i="134"/>
  <c r="P52" i="134" s="1"/>
  <c r="P47" i="134" s="1"/>
  <c r="P55" i="134" s="1"/>
  <c r="P30" i="134"/>
  <c r="P33" i="134" s="1"/>
  <c r="H37" i="134"/>
  <c r="AE53" i="134"/>
  <c r="AE52" i="134" s="1"/>
  <c r="AE47" i="134" s="1"/>
  <c r="AE55" i="134" s="1"/>
  <c r="AE30" i="134"/>
  <c r="AE33" i="134" s="1"/>
  <c r="M37" i="134"/>
  <c r="W37" i="134"/>
  <c r="G53" i="134"/>
  <c r="G52" i="134" s="1"/>
  <c r="G47" i="134" s="1"/>
  <c r="G55" i="134" s="1"/>
  <c r="G30" i="134"/>
  <c r="G33" i="134" s="1"/>
  <c r="AF30" i="134"/>
  <c r="AF33" i="134" s="1"/>
  <c r="AF53" i="134"/>
  <c r="AF52" i="134" s="1"/>
  <c r="AF47" i="134" s="1"/>
  <c r="AF55" i="134" s="1"/>
  <c r="L37" i="134"/>
  <c r="AA30" i="134"/>
  <c r="AA33" i="134" s="1"/>
  <c r="R53" i="134"/>
  <c r="R52" i="134" s="1"/>
  <c r="R47" i="134" s="1"/>
  <c r="R55" i="134" s="1"/>
  <c r="R30" i="134"/>
  <c r="R33" i="134" s="1"/>
  <c r="AA52" i="134"/>
  <c r="AA47" i="134" s="1"/>
  <c r="AA55" i="134" s="1"/>
  <c r="W30" i="134"/>
  <c r="W33" i="134" s="1"/>
  <c r="W54" i="134"/>
  <c r="W52" i="134" s="1"/>
  <c r="W47" i="134" s="1"/>
  <c r="W55" i="134" s="1"/>
  <c r="L30" i="134"/>
  <c r="L33" i="134" s="1"/>
  <c r="L53" i="134"/>
  <c r="L52" i="134" s="1"/>
  <c r="L47" i="134" s="1"/>
  <c r="L55" i="134" s="1"/>
  <c r="U53" i="134"/>
  <c r="U52" i="134" s="1"/>
  <c r="U47" i="134" s="1"/>
  <c r="U55" i="134" s="1"/>
  <c r="U30" i="134"/>
  <c r="U33" i="134" s="1"/>
  <c r="AD31" i="133"/>
  <c r="AD39" i="133"/>
  <c r="AD32" i="133"/>
  <c r="AD54" i="133" s="1"/>
  <c r="AD36" i="133"/>
  <c r="AD35" i="133"/>
  <c r="E37" i="134"/>
  <c r="Y37" i="134"/>
  <c r="AC37" i="134"/>
  <c r="H53" i="134"/>
  <c r="H52" i="134" s="1"/>
  <c r="H47" i="134" s="1"/>
  <c r="H55" i="134" s="1"/>
  <c r="H30" i="134"/>
  <c r="H33" i="134" s="1"/>
  <c r="N31" i="133"/>
  <c r="N35" i="133"/>
  <c r="N32" i="133"/>
  <c r="N54" i="133" s="1"/>
  <c r="N36" i="133"/>
  <c r="N39" i="133"/>
  <c r="AC39" i="133"/>
  <c r="AC31" i="133"/>
  <c r="AC35" i="133"/>
  <c r="AC36" i="133"/>
  <c r="AC32" i="133"/>
  <c r="AC54" i="133" s="1"/>
  <c r="Z53" i="134"/>
  <c r="Z52" i="134" s="1"/>
  <c r="Z47" i="134" s="1"/>
  <c r="Z55" i="134" s="1"/>
  <c r="Z30" i="134"/>
  <c r="Z33" i="134" s="1"/>
  <c r="P35" i="133"/>
  <c r="P36" i="133"/>
  <c r="P31" i="133"/>
  <c r="P32" i="133"/>
  <c r="P54" i="133" s="1"/>
  <c r="P39" i="133"/>
  <c r="L36" i="133"/>
  <c r="L35" i="133"/>
  <c r="L32" i="133"/>
  <c r="L54" i="133" s="1"/>
  <c r="L39" i="133"/>
  <c r="L31" i="133"/>
  <c r="Y31" i="133"/>
  <c r="Y32" i="133"/>
  <c r="Y54" i="133" s="1"/>
  <c r="Y39" i="133"/>
  <c r="Y35" i="133"/>
  <c r="Y36" i="133"/>
  <c r="I53" i="134"/>
  <c r="I52" i="134" s="1"/>
  <c r="I47" i="134" s="1"/>
  <c r="I55" i="134" s="1"/>
  <c r="I30" i="134"/>
  <c r="I33" i="134" s="1"/>
  <c r="G39" i="133"/>
  <c r="G31" i="133"/>
  <c r="G32" i="133"/>
  <c r="G54" i="133" s="1"/>
  <c r="G36" i="133"/>
  <c r="G35" i="133"/>
  <c r="G37" i="133" s="1"/>
  <c r="AE39" i="133"/>
  <c r="AE35" i="133"/>
  <c r="AE36" i="133"/>
  <c r="AE32" i="133"/>
  <c r="AE54" i="133" s="1"/>
  <c r="AE31" i="133"/>
  <c r="U35" i="133"/>
  <c r="U36" i="133"/>
  <c r="U31" i="133"/>
  <c r="U39" i="133"/>
  <c r="U32" i="133"/>
  <c r="U54" i="133" s="1"/>
  <c r="I37" i="134"/>
  <c r="E30" i="134"/>
  <c r="E33" i="134" s="1"/>
  <c r="E53" i="134"/>
  <c r="E52" i="134" s="1"/>
  <c r="E47" i="134" s="1"/>
  <c r="E55" i="134" s="1"/>
  <c r="AG32" i="134"/>
  <c r="D54" i="134"/>
  <c r="S35" i="133"/>
  <c r="S39" i="133"/>
  <c r="S36" i="133"/>
  <c r="S31" i="133"/>
  <c r="S32" i="133"/>
  <c r="S54" i="133" s="1"/>
  <c r="O35" i="133"/>
  <c r="O36" i="133"/>
  <c r="O31" i="133"/>
  <c r="O32" i="133"/>
  <c r="O54" i="133" s="1"/>
  <c r="O39" i="133"/>
  <c r="Q39" i="133"/>
  <c r="Q36" i="133"/>
  <c r="Q32" i="133"/>
  <c r="Q54" i="133" s="1"/>
  <c r="Q31" i="133"/>
  <c r="Q35" i="133"/>
  <c r="Y53" i="134"/>
  <c r="Y52" i="134" s="1"/>
  <c r="Y47" i="134" s="1"/>
  <c r="Y55" i="134" s="1"/>
  <c r="Y30" i="134"/>
  <c r="Y33" i="134" s="1"/>
  <c r="D30" i="134"/>
  <c r="AG31" i="134"/>
  <c r="D53" i="134"/>
  <c r="X39" i="133"/>
  <c r="X32" i="133"/>
  <c r="X54" i="133" s="1"/>
  <c r="X36" i="133"/>
  <c r="X35" i="133"/>
  <c r="X31" i="133"/>
  <c r="V31" i="133"/>
  <c r="V32" i="133"/>
  <c r="V54" i="133" s="1"/>
  <c r="V35" i="133"/>
  <c r="V36" i="133"/>
  <c r="V39" i="133"/>
  <c r="M35" i="133"/>
  <c r="M36" i="133"/>
  <c r="M31" i="133"/>
  <c r="M32" i="133"/>
  <c r="M54" i="133" s="1"/>
  <c r="M39" i="133"/>
  <c r="Z37" i="134"/>
  <c r="B39" i="134"/>
  <c r="S37" i="134"/>
  <c r="D37" i="134"/>
  <c r="J31" i="133"/>
  <c r="J32" i="133"/>
  <c r="J54" i="133" s="1"/>
  <c r="J39" i="133"/>
  <c r="J35" i="133"/>
  <c r="J36" i="133"/>
  <c r="F31" i="133"/>
  <c r="F39" i="133"/>
  <c r="F32" i="133"/>
  <c r="F54" i="133" s="1"/>
  <c r="F35" i="133"/>
  <c r="F36" i="133"/>
  <c r="I31" i="133"/>
  <c r="I39" i="133"/>
  <c r="I32" i="133"/>
  <c r="I54" i="133" s="1"/>
  <c r="I36" i="133"/>
  <c r="I35" i="133"/>
  <c r="Q30" i="134"/>
  <c r="Q33" i="134" s="1"/>
  <c r="Q53" i="134"/>
  <c r="Q52" i="134" s="1"/>
  <c r="Q47" i="134" s="1"/>
  <c r="Q55" i="134" s="1"/>
  <c r="AF31" i="133"/>
  <c r="AF32" i="133"/>
  <c r="AF54" i="133" s="1"/>
  <c r="AF35" i="133"/>
  <c r="AF36" i="133"/>
  <c r="AF39" i="133"/>
  <c r="C29" i="133"/>
  <c r="AG28" i="133"/>
  <c r="E39" i="133"/>
  <c r="E35" i="133"/>
  <c r="E32" i="133"/>
  <c r="E54" i="133" s="1"/>
  <c r="E36" i="133"/>
  <c r="E31" i="133"/>
  <c r="U37" i="134"/>
  <c r="C37" i="134"/>
  <c r="W31" i="133"/>
  <c r="W39" i="133"/>
  <c r="W35" i="133"/>
  <c r="W36" i="133"/>
  <c r="W32" i="133"/>
  <c r="W54" i="133" s="1"/>
  <c r="AA31" i="133"/>
  <c r="AA35" i="133"/>
  <c r="AA32" i="133"/>
  <c r="AA54" i="133" s="1"/>
  <c r="AA39" i="133"/>
  <c r="AA36" i="133"/>
  <c r="Q37" i="134"/>
  <c r="H39" i="133"/>
  <c r="H32" i="133"/>
  <c r="H54" i="133" s="1"/>
  <c r="H36" i="133"/>
  <c r="H35" i="133"/>
  <c r="H31" i="133"/>
  <c r="T35" i="133"/>
  <c r="T31" i="133"/>
  <c r="T39" i="133"/>
  <c r="T36" i="133"/>
  <c r="T32" i="133"/>
  <c r="T54" i="133" s="1"/>
  <c r="AB30" i="134"/>
  <c r="AB33" i="134" s="1"/>
  <c r="AB53" i="134"/>
  <c r="AB52" i="134" s="1"/>
  <c r="AB47" i="134" s="1"/>
  <c r="AB55" i="134" s="1"/>
  <c r="S30" i="134"/>
  <c r="S33" i="134" s="1"/>
  <c r="S53" i="134"/>
  <c r="S52" i="134" s="1"/>
  <c r="S47" i="134" s="1"/>
  <c r="S55" i="134" s="1"/>
  <c r="Z31" i="133"/>
  <c r="Z32" i="133"/>
  <c r="Z54" i="133" s="1"/>
  <c r="Z39" i="133"/>
  <c r="Z35" i="133"/>
  <c r="Z36" i="133"/>
  <c r="R31" i="133"/>
  <c r="R39" i="133"/>
  <c r="R32" i="133"/>
  <c r="R54" i="133" s="1"/>
  <c r="R36" i="133"/>
  <c r="R35" i="133"/>
  <c r="M53" i="134"/>
  <c r="M52" i="134" s="1"/>
  <c r="M47" i="134" s="1"/>
  <c r="M55" i="134" s="1"/>
  <c r="M30" i="134"/>
  <c r="M33" i="134" s="1"/>
  <c r="AC30" i="134"/>
  <c r="AC33" i="134" s="1"/>
  <c r="AC53" i="134"/>
  <c r="AC52" i="134" s="1"/>
  <c r="AC47" i="134" s="1"/>
  <c r="AC55" i="134" s="1"/>
  <c r="AB35" i="133"/>
  <c r="AB36" i="133"/>
  <c r="AB39" i="133"/>
  <c r="AB31" i="133"/>
  <c r="AB32" i="133"/>
  <c r="AB54" i="133" s="1"/>
  <c r="K31" i="133"/>
  <c r="K39" i="133"/>
  <c r="K32" i="133"/>
  <c r="K54" i="133" s="1"/>
  <c r="K36" i="133"/>
  <c r="K35" i="133"/>
  <c r="D31" i="133"/>
  <c r="D39" i="133"/>
  <c r="D36" i="133"/>
  <c r="D32" i="133"/>
  <c r="D35" i="133"/>
  <c r="AB37" i="134"/>
  <c r="K37" i="133" l="1"/>
  <c r="D37" i="133"/>
  <c r="X37" i="133"/>
  <c r="AG54" i="134"/>
  <c r="AC37" i="133"/>
  <c r="Q37" i="133"/>
  <c r="W37" i="133"/>
  <c r="S37" i="133"/>
  <c r="U37" i="133"/>
  <c r="M37" i="133"/>
  <c r="I37" i="133"/>
  <c r="AD37" i="133"/>
  <c r="I53" i="133"/>
  <c r="I52" i="133" s="1"/>
  <c r="I47" i="133" s="1"/>
  <c r="I55" i="133" s="1"/>
  <c r="I30" i="133"/>
  <c r="I33" i="133" s="1"/>
  <c r="J53" i="133"/>
  <c r="J52" i="133" s="1"/>
  <c r="J47" i="133" s="1"/>
  <c r="J55" i="133" s="1"/>
  <c r="J30" i="133"/>
  <c r="J33" i="133" s="1"/>
  <c r="O30" i="133"/>
  <c r="O33" i="133" s="1"/>
  <c r="O53" i="133"/>
  <c r="O52" i="133" s="1"/>
  <c r="O47" i="133" s="1"/>
  <c r="O55" i="133" s="1"/>
  <c r="R53" i="133"/>
  <c r="R52" i="133" s="1"/>
  <c r="R47" i="133" s="1"/>
  <c r="R55" i="133" s="1"/>
  <c r="R30" i="133"/>
  <c r="R33" i="133" s="1"/>
  <c r="AF37" i="133"/>
  <c r="V37" i="133"/>
  <c r="AE37" i="133"/>
  <c r="D53" i="133"/>
  <c r="D30" i="133"/>
  <c r="AG31" i="133"/>
  <c r="AB37" i="133"/>
  <c r="Z37" i="133"/>
  <c r="E30" i="133"/>
  <c r="E33" i="133" s="1"/>
  <c r="E53" i="133"/>
  <c r="E52" i="133" s="1"/>
  <c r="E47" i="133" s="1"/>
  <c r="E55" i="133" s="1"/>
  <c r="F37" i="133"/>
  <c r="O37" i="133"/>
  <c r="P53" i="133"/>
  <c r="P52" i="133" s="1"/>
  <c r="P47" i="133" s="1"/>
  <c r="P55" i="133" s="1"/>
  <c r="P30" i="133"/>
  <c r="P33" i="133" s="1"/>
  <c r="T30" i="133"/>
  <c r="T33" i="133" s="1"/>
  <c r="T53" i="133"/>
  <c r="T52" i="133" s="1"/>
  <c r="T47" i="133" s="1"/>
  <c r="T55" i="133" s="1"/>
  <c r="AF53" i="133"/>
  <c r="AF52" i="133" s="1"/>
  <c r="AF47" i="133" s="1"/>
  <c r="AF55" i="133" s="1"/>
  <c r="AF30" i="133"/>
  <c r="AF33" i="133" s="1"/>
  <c r="V53" i="133"/>
  <c r="V52" i="133" s="1"/>
  <c r="V47" i="133" s="1"/>
  <c r="V55" i="133" s="1"/>
  <c r="V30" i="133"/>
  <c r="V33" i="133" s="1"/>
  <c r="T37" i="133"/>
  <c r="AA37" i="133"/>
  <c r="X30" i="133"/>
  <c r="X33" i="133" s="1"/>
  <c r="X53" i="133"/>
  <c r="X52" i="133" s="1"/>
  <c r="X47" i="133" s="1"/>
  <c r="X55" i="133" s="1"/>
  <c r="Q30" i="133"/>
  <c r="Q33" i="133" s="1"/>
  <c r="Q53" i="133"/>
  <c r="Q52" i="133" s="1"/>
  <c r="Q47" i="133" s="1"/>
  <c r="Q55" i="133" s="1"/>
  <c r="S30" i="133"/>
  <c r="S33" i="133" s="1"/>
  <c r="S53" i="133"/>
  <c r="S52" i="133" s="1"/>
  <c r="S47" i="133" s="1"/>
  <c r="S55" i="133" s="1"/>
  <c r="Y53" i="133"/>
  <c r="Y52" i="133" s="1"/>
  <c r="Y47" i="133" s="1"/>
  <c r="Y55" i="133" s="1"/>
  <c r="Y30" i="133"/>
  <c r="Y33" i="133" s="1"/>
  <c r="P37" i="133"/>
  <c r="H53" i="133"/>
  <c r="H52" i="133" s="1"/>
  <c r="H47" i="133" s="1"/>
  <c r="H55" i="133" s="1"/>
  <c r="H30" i="133"/>
  <c r="H33" i="133" s="1"/>
  <c r="AA30" i="133"/>
  <c r="AA33" i="133" s="1"/>
  <c r="AA53" i="133"/>
  <c r="AA52" i="133" s="1"/>
  <c r="AA47" i="133" s="1"/>
  <c r="AA55" i="133" s="1"/>
  <c r="E37" i="133"/>
  <c r="F53" i="133"/>
  <c r="F52" i="133" s="1"/>
  <c r="F47" i="133" s="1"/>
  <c r="F55" i="133" s="1"/>
  <c r="F30" i="133"/>
  <c r="F33" i="133" s="1"/>
  <c r="L30" i="133"/>
  <c r="L33" i="133" s="1"/>
  <c r="L53" i="133"/>
  <c r="L52" i="133" s="1"/>
  <c r="L47" i="133" s="1"/>
  <c r="L55" i="133" s="1"/>
  <c r="N37" i="133"/>
  <c r="AD53" i="133"/>
  <c r="AD52" i="133" s="1"/>
  <c r="AD47" i="133" s="1"/>
  <c r="AD55" i="133" s="1"/>
  <c r="AD30" i="133"/>
  <c r="AD33" i="133" s="1"/>
  <c r="Z53" i="133"/>
  <c r="Z52" i="133" s="1"/>
  <c r="Z47" i="133" s="1"/>
  <c r="Z55" i="133" s="1"/>
  <c r="Z30" i="133"/>
  <c r="Z33" i="133" s="1"/>
  <c r="U53" i="133"/>
  <c r="U52" i="133" s="1"/>
  <c r="U47" i="133" s="1"/>
  <c r="U55" i="133" s="1"/>
  <c r="U30" i="133"/>
  <c r="U33" i="133" s="1"/>
  <c r="N53" i="133"/>
  <c r="N52" i="133" s="1"/>
  <c r="N47" i="133" s="1"/>
  <c r="N55" i="133" s="1"/>
  <c r="N30" i="133"/>
  <c r="N33" i="133" s="1"/>
  <c r="K30" i="133"/>
  <c r="K33" i="133" s="1"/>
  <c r="K53" i="133"/>
  <c r="K52" i="133" s="1"/>
  <c r="K47" i="133" s="1"/>
  <c r="K55" i="133" s="1"/>
  <c r="R37" i="133"/>
  <c r="H37" i="133"/>
  <c r="J37" i="133"/>
  <c r="M53" i="133"/>
  <c r="M52" i="133" s="1"/>
  <c r="M47" i="133" s="1"/>
  <c r="M55" i="133" s="1"/>
  <c r="M30" i="133"/>
  <c r="M33" i="133" s="1"/>
  <c r="G53" i="133"/>
  <c r="G52" i="133" s="1"/>
  <c r="G47" i="133" s="1"/>
  <c r="G55" i="133" s="1"/>
  <c r="G30" i="133"/>
  <c r="G33" i="133" s="1"/>
  <c r="AG53" i="134"/>
  <c r="D52" i="134"/>
  <c r="AG30" i="134"/>
  <c r="D33" i="134"/>
  <c r="AG33" i="134" s="1"/>
  <c r="L37" i="133"/>
  <c r="AB30" i="133"/>
  <c r="AB33" i="133" s="1"/>
  <c r="AB53" i="133"/>
  <c r="AB52" i="133" s="1"/>
  <c r="AB47" i="133" s="1"/>
  <c r="AB55" i="133" s="1"/>
  <c r="W30" i="133"/>
  <c r="W33" i="133" s="1"/>
  <c r="W53" i="133"/>
  <c r="W52" i="133" s="1"/>
  <c r="W47" i="133" s="1"/>
  <c r="W55" i="133" s="1"/>
  <c r="AC30" i="133"/>
  <c r="AC33" i="133" s="1"/>
  <c r="AC53" i="133"/>
  <c r="AC52" i="133" s="1"/>
  <c r="AC47" i="133" s="1"/>
  <c r="AC55" i="133" s="1"/>
  <c r="D54" i="133"/>
  <c r="AG54" i="133" s="1"/>
  <c r="AG32" i="133"/>
  <c r="Y37" i="133"/>
  <c r="C35" i="133"/>
  <c r="C36" i="133"/>
  <c r="C33" i="133"/>
  <c r="AG29" i="133"/>
  <c r="C39" i="133"/>
  <c r="B39" i="133" s="1"/>
  <c r="AE30" i="133"/>
  <c r="AE33" i="133" s="1"/>
  <c r="AE53" i="133"/>
  <c r="AE52" i="133" s="1"/>
  <c r="AE47" i="133" s="1"/>
  <c r="AE55" i="133" s="1"/>
  <c r="AG30" i="133" l="1"/>
  <c r="D33" i="133"/>
  <c r="AG33" i="133" s="1"/>
  <c r="D52" i="133"/>
  <c r="AG53" i="133"/>
  <c r="C37" i="133"/>
  <c r="AG52" i="134"/>
  <c r="D47" i="134"/>
  <c r="D55" i="134" l="1"/>
  <c r="AG47" i="134"/>
  <c r="AG52" i="133"/>
  <c r="D47" i="133"/>
  <c r="D55" i="133" l="1"/>
  <c r="AG47" i="133"/>
  <c r="C56" i="134"/>
  <c r="AG55" i="134"/>
  <c r="C60" i="134" l="1"/>
  <c r="D5" i="134"/>
  <c r="C56" i="133"/>
  <c r="AG55" i="133"/>
  <c r="F15" i="85" l="1"/>
  <c r="C60" i="133"/>
  <c r="G15" i="8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</author>
  </authors>
  <commentList>
    <comment ref="J8" authorId="0" shapeId="0" xr:uid="{00000000-0006-0000-1500-000001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Não executado. Glosa.</t>
        </r>
      </text>
    </comment>
    <comment ref="J18" authorId="0" shapeId="0" xr:uid="{00000000-0006-0000-1500-000002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Não executado. Glosa.</t>
        </r>
      </text>
    </comment>
    <comment ref="J20" authorId="0" shapeId="0" xr:uid="{00000000-0006-0000-1500-000003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Não executado. Glosa.</t>
        </r>
      </text>
    </comment>
    <comment ref="J33" authorId="0" shapeId="0" xr:uid="{00000000-0006-0000-1500-000004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Descontado Booster e redes Colinas
</t>
        </r>
      </text>
    </comment>
    <comment ref="J52" authorId="0" shapeId="0" xr:uid="{00000000-0006-0000-1500-000005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Não executado. Glosa.</t>
        </r>
      </text>
    </comment>
    <comment ref="B54" authorId="0" shapeId="0" xr:uid="{00000000-0006-0000-1500-000006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Ampliação da área de concessão
</t>
        </r>
      </text>
    </comment>
    <comment ref="L66" authorId="0" shapeId="0" xr:uid="{00000000-0006-0000-1500-000007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Esgoto CDHU de R$222776,04 base set/19 deflacionado paea nov/14</t>
        </r>
      </text>
    </comment>
    <comment ref="K68" authorId="0" shapeId="0" xr:uid="{00000000-0006-0000-1500-000008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Interceptores não executados Anos 3 e 4. Previsão para Ano 5.</t>
        </r>
      </text>
    </comment>
    <comment ref="K72" authorId="0" shapeId="0" xr:uid="{00000000-0006-0000-1500-000009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Não executou no Ano 4. Nova previsão para Ano 5.</t>
        </r>
      </text>
    </comment>
  </commentList>
</comments>
</file>

<file path=xl/sharedStrings.xml><?xml version="1.0" encoding="utf-8"?>
<sst xmlns="http://schemas.openxmlformats.org/spreadsheetml/2006/main" count="4736" uniqueCount="953">
  <si>
    <t>TOTAL</t>
  </si>
  <si>
    <t>ANO</t>
  </si>
  <si>
    <t>NÚMERO DE EMPREGADOS OPERACIONAIS</t>
  </si>
  <si>
    <t>NÚMERO TOTAL DE EMPREGADOS</t>
  </si>
  <si>
    <t>VALOR TOTAL (R$)</t>
  </si>
  <si>
    <t>CUSTO DO PRODUTO (R$/kg)</t>
  </si>
  <si>
    <t>CONSUMO TOTAL ANUAL (kg/ano)</t>
  </si>
  <si>
    <t>GASTO TOTAL ANUAL (R$/ano)</t>
  </si>
  <si>
    <t>PERDAS (%)</t>
  </si>
  <si>
    <t>VOLUME RESERVAÇÃO (m³)</t>
  </si>
  <si>
    <t>Nº TOTAL DE LIGAÇÕES ÁGUA</t>
  </si>
  <si>
    <t>Nº TOTAL DE LIGAÇÕES ESGOTO</t>
  </si>
  <si>
    <t>REDE DE ÁGUA (m)</t>
  </si>
  <si>
    <t>Nº LIGAÇÕES ÁGUA</t>
  </si>
  <si>
    <t>REDE DE ESGOTO (m)</t>
  </si>
  <si>
    <t>Nº LIGAÇÕES ESGOTO</t>
  </si>
  <si>
    <t>NÚMERO DE EMPREGADOS ADMINISTRAÇÃO E COMERCIAL</t>
  </si>
  <si>
    <t>DOSAGEM MÉDIA (kg/m³)</t>
  </si>
  <si>
    <t>Nº HIDRÔMETROS (para atender índice de 100%)</t>
  </si>
  <si>
    <t>SALÁRIO MÉDIO OPERACIONAL COM ENCARGOS E BENEFÍCIOS</t>
  </si>
  <si>
    <t>DESPESAS COM PESSOAL OPERACIONAL</t>
  </si>
  <si>
    <t>DESPESAS COM PESSOAL ADMINISTRATIVO E COMERCIAL</t>
  </si>
  <si>
    <t>CONSUMO (kWh x 1000)</t>
  </si>
  <si>
    <t>URBANA</t>
  </si>
  <si>
    <t>RURAL</t>
  </si>
  <si>
    <t>%</t>
  </si>
  <si>
    <t>ÁGUA</t>
  </si>
  <si>
    <t>COLETA</t>
  </si>
  <si>
    <t>TRATAMENTO</t>
  </si>
  <si>
    <t>Nº TOTAL DE ECONOMIASDE ÁGUA</t>
  </si>
  <si>
    <t>Nº TOTAL DE ECONOMIAS DE ESGOTO</t>
  </si>
  <si>
    <t>SALÁRIO MÉDIO ADM E COMERCIAL COM ENCARGOS E BENEFÍCIOS</t>
  </si>
  <si>
    <t>DESPESA TOTAL</t>
  </si>
  <si>
    <t>ENERGIA ELETRICA - ÁGUA</t>
  </si>
  <si>
    <t>ENERGIA ELETRICA - ESGOTO</t>
  </si>
  <si>
    <t>ENERGIA ELETRICA - ADM</t>
  </si>
  <si>
    <t>VOLUME PRODUZIDO   (m³)</t>
  </si>
  <si>
    <t>PERDAS NA DISTRIBUIÇÃO</t>
  </si>
  <si>
    <t>PERDAS NO FATURAMENTO</t>
  </si>
  <si>
    <t>VOLUME MICROMEDIDO (m³)</t>
  </si>
  <si>
    <t>VOLUME FATURADO    (m³)</t>
  </si>
  <si>
    <t>PERDAS COMERCIAIS    (%)</t>
  </si>
  <si>
    <t>TABELA 1 - POPULAÇÃO E EVOLUÇÃO DO NÍVEL DE ATENDIMENTO</t>
  </si>
  <si>
    <t>TABELA 2 - EVOLUÇÃO DE LIGAÇÕES E ECONOMIAS DE ÁGUA E ESGOTO</t>
  </si>
  <si>
    <t>TABELA 3 - EVOLUÇÃO DO VOLUME PRODUZIDO, CONSUMIDO, MICROMEDIDO, FATURADO E ÍNDICE DE PERDAS</t>
  </si>
  <si>
    <t>TABELA 4 - VAZÕES E VOLUMES DE ÁGUA E ESGOTO</t>
  </si>
  <si>
    <t>TABELA 6 - INVESTIMENTOS EM REDES E LIGAÇÕES DE ÁGUA</t>
  </si>
  <si>
    <t>TABELA 7 - INVESTIMENTOS EM REDES E LIGAÇÕES DE ESGOTO</t>
  </si>
  <si>
    <t>TABELA 8 - RECURSOS HUMANOS - EVOLUÇÃO DO NÚMERO DE EMPREGADOS E SALÁRIOS</t>
  </si>
  <si>
    <t>TABELA 9 - ENERGIA ELÉTRICA NO SISTEMA DE ÁGUA, ESGOTO E INSTALAÇÕES ADMINISTRATIVAS</t>
  </si>
  <si>
    <t>TABELA 11 - PRODUTOS QUÍMICOS UTILIZADOS - ESGOTO</t>
  </si>
  <si>
    <t>TABELA 10 - PRODUTOS QUÍMICOS UTILIZADOS - ÁGUA</t>
  </si>
  <si>
    <t>TABELA 5 - EVOLUÇÃO DO ÍNDICE DE PERDAS NO SISTEMA</t>
  </si>
  <si>
    <t>POPULAÇÃO TOTAL  (hab.)</t>
  </si>
  <si>
    <t>POPULAÇÃO ATENDIDA NA ÁREA DA CONCESSÃO (hab.)</t>
  </si>
  <si>
    <t>Informação TR - indice medio hab/lig</t>
  </si>
  <si>
    <t>Vazão Total Diária (L/s)</t>
  </si>
  <si>
    <t>Vazão Média (L/s)</t>
  </si>
  <si>
    <t>PROD</t>
  </si>
  <si>
    <t>CONS</t>
  </si>
  <si>
    <t>MICRO</t>
  </si>
  <si>
    <t>FAT</t>
  </si>
  <si>
    <t>l/hab.dia</t>
  </si>
  <si>
    <t>Q MÉDIO DIÁRIO ÁGUA (l/s)</t>
  </si>
  <si>
    <t>Q dia&gt; CONSUMO ÁGUA (l/s)</t>
  </si>
  <si>
    <t>Q hora&gt; CONSUMO ÁGUA (l/s)</t>
  </si>
  <si>
    <t>Q MÉDIO DIÁRIO ESGOTO PRODUZIDO (l/s)</t>
  </si>
  <si>
    <t>Q dia&gt; PRODUÇÃO ESGOTO (l/s)</t>
  </si>
  <si>
    <t>Q hora&gt; PRODUÇÃO ESGOTO (l/s)</t>
  </si>
  <si>
    <t>Índice de Perdas ( % )</t>
  </si>
  <si>
    <t>consumo médio</t>
  </si>
  <si>
    <t>Ligações (un)</t>
  </si>
  <si>
    <t>Rede / lig     (m)</t>
  </si>
  <si>
    <t>Extensão de Rede Existente(m)</t>
  </si>
  <si>
    <t>Incremento de Rede - Cresc. Vegetativo (m)</t>
  </si>
  <si>
    <t>Substituição de rede (m)</t>
  </si>
  <si>
    <t>Extensão Total (m)</t>
  </si>
  <si>
    <t>População (hab)</t>
  </si>
  <si>
    <t>TERMO DE REFERENCIA</t>
  </si>
  <si>
    <t>DEFCIT</t>
  </si>
  <si>
    <t>REDE EXISTENTE</t>
  </si>
  <si>
    <t>Increm. Ano m</t>
  </si>
  <si>
    <t xml:space="preserve">Increm. ligações Ano </t>
  </si>
  <si>
    <t>l/s.km</t>
  </si>
  <si>
    <t>l/s.m</t>
  </si>
  <si>
    <t>MDO OPERACIONAL</t>
  </si>
  <si>
    <t>MDO ADM E GESTÃO CML</t>
  </si>
  <si>
    <t>AGUA</t>
  </si>
  <si>
    <t>ESGOTO</t>
  </si>
  <si>
    <t>ADM</t>
  </si>
  <si>
    <t>Sulfato de Aluminio</t>
  </si>
  <si>
    <t>PRODUTO: ácido fluossilicio</t>
  </si>
  <si>
    <t>ácido fluossilicio</t>
  </si>
  <si>
    <t>Cloro</t>
  </si>
  <si>
    <t>PRODUTO: Cloro</t>
  </si>
  <si>
    <t>PRODUTO:Polimero</t>
  </si>
  <si>
    <t>vol  prod</t>
  </si>
  <si>
    <t>% meta esgoto</t>
  </si>
  <si>
    <t>vol prod</t>
  </si>
  <si>
    <t>R$</t>
  </si>
  <si>
    <t>Tipo</t>
  </si>
  <si>
    <t>Classe de consumo m³</t>
  </si>
  <si>
    <t>Tarifa</t>
  </si>
  <si>
    <t>Água     R$/m³</t>
  </si>
  <si>
    <t>Esgoto R$/m³</t>
  </si>
  <si>
    <t>RESIDENCIAL SOCIAL</t>
  </si>
  <si>
    <t>01 a 10</t>
  </si>
  <si>
    <t>11 a 20</t>
  </si>
  <si>
    <t>21 a 30</t>
  </si>
  <si>
    <t>31 a 50</t>
  </si>
  <si>
    <t>acima de 50</t>
  </si>
  <si>
    <t>RESIDENCIAL NORMAL</t>
  </si>
  <si>
    <t>21 a 50</t>
  </si>
  <si>
    <t>COMERCIAL NORMAL</t>
  </si>
  <si>
    <t>INDUSTRIAL</t>
  </si>
  <si>
    <t>PUBLICA SEM CONTRATO</t>
  </si>
  <si>
    <t>TABELA 13: COMPOSIÇÃO DO FATURAMENTO POR CATEGORIA</t>
  </si>
  <si>
    <t>FATURAMENTO DE ÁGUA E ESGOTO</t>
  </si>
  <si>
    <t>RESIDENCIAL</t>
  </si>
  <si>
    <t>COMERCIAL</t>
  </si>
  <si>
    <t>PUBLICA</t>
  </si>
  <si>
    <t>Total</t>
  </si>
  <si>
    <t>TABELA 14: COMPOSIÇÃO DO FATURAMENTO TOTAL</t>
  </si>
  <si>
    <t>SERVIÇOS</t>
  </si>
  <si>
    <t>TABELA 15: PERFIL DA ARRECADAÇÃO</t>
  </si>
  <si>
    <t>FATURAMENTO TOTAL</t>
  </si>
  <si>
    <t>ARRECADAÇÃO TOTAL</t>
  </si>
  <si>
    <t>ÍNDICE DE ARRECADAÇÃO</t>
  </si>
  <si>
    <t>PERDA DE FATURAMENTO</t>
  </si>
  <si>
    <t>TABELA 16: COMPOSIÇÃO DO CUSTO</t>
  </si>
  <si>
    <t>PESSOAL OPERACIONAL</t>
  </si>
  <si>
    <t>ENERGIA ELÉTRICA</t>
  </si>
  <si>
    <t>PRODUTOS QUÍMICOS</t>
  </si>
  <si>
    <t>OUTROS CUSTOS</t>
  </si>
  <si>
    <t>TOTAL CUSTO OPERACIONAL</t>
  </si>
  <si>
    <t>PESSOAL ADM / COM.</t>
  </si>
  <si>
    <t>OUTRAS DESPESAS</t>
  </si>
  <si>
    <t>TOTAL DESPESAS ADMINISTRATIVAS</t>
  </si>
  <si>
    <t>DEPRECIAÇÃO</t>
  </si>
  <si>
    <t>TABELA 17: CRONOGRAMA DOS INVESTIMENTOS</t>
  </si>
  <si>
    <t>CRONOGRAMA FÍSICO-FINANCEIRO DE DESEMBOLSOS</t>
  </si>
  <si>
    <t>QUANT.</t>
  </si>
  <si>
    <t>UNID.</t>
  </si>
  <si>
    <t>PREÇO UNIT.</t>
  </si>
  <si>
    <t>PREÇO TOTAL</t>
  </si>
  <si>
    <t>MELHORIAS DOS SISTEMAS ATUAIS</t>
  </si>
  <si>
    <t>1.1</t>
  </si>
  <si>
    <t>MELHORIAS SISTEMA ÁGUA</t>
  </si>
  <si>
    <t>1.2</t>
  </si>
  <si>
    <t>MELHORIAS SISTEMA ESGOTO</t>
  </si>
  <si>
    <t>1.3</t>
  </si>
  <si>
    <t xml:space="preserve">MELHORIAS DESENVOLV. OPERAC. E MANUT. </t>
  </si>
  <si>
    <t>1.4</t>
  </si>
  <si>
    <t>MELHORIAS SISTEMA ATENDIMENTO /COMERCIAL</t>
  </si>
  <si>
    <t>2.1</t>
  </si>
  <si>
    <t>EXPANSÃO  ÁGUA</t>
  </si>
  <si>
    <t>2.2</t>
  </si>
  <si>
    <t>EXPANSÃO ESGOTO</t>
  </si>
  <si>
    <t>3.1</t>
  </si>
  <si>
    <t>RENOVAÇÃO ÁGUA</t>
  </si>
  <si>
    <t>3.2</t>
  </si>
  <si>
    <t>RENOVAÇÃO ESGOTO</t>
  </si>
  <si>
    <t>3.3</t>
  </si>
  <si>
    <t>RENOVAÇÃO OUTROS</t>
  </si>
  <si>
    <t>4.</t>
  </si>
  <si>
    <t>OUTROS INVESTIMENTOS</t>
  </si>
  <si>
    <t>TOTAL GERAL</t>
  </si>
  <si>
    <t>TABELA 18 : INVESTIMENTOS TOTAIS</t>
  </si>
  <si>
    <t>INVESTIMENTOS TOTAL</t>
  </si>
  <si>
    <t>ÁGUA TOTAL</t>
  </si>
  <si>
    <t>ESGOTO TOTAL</t>
  </si>
  <si>
    <t>OUTROS</t>
  </si>
  <si>
    <t>CONTAS</t>
  </si>
  <si>
    <t>ANO 01</t>
  </si>
  <si>
    <t>ANO 02</t>
  </si>
  <si>
    <t>ANO 04</t>
  </si>
  <si>
    <t>ANO 05</t>
  </si>
  <si>
    <t>ANO 06</t>
  </si>
  <si>
    <t>ANO 07</t>
  </si>
  <si>
    <t>ANO 08</t>
  </si>
  <si>
    <t>ANO 09</t>
  </si>
  <si>
    <t>ANO 10</t>
  </si>
  <si>
    <t>ANO 11</t>
  </si>
  <si>
    <t>ANO 12</t>
  </si>
  <si>
    <t>ANO 13</t>
  </si>
  <si>
    <t>ANO 14</t>
  </si>
  <si>
    <t>ANO 15</t>
  </si>
  <si>
    <t>ANO 16</t>
  </si>
  <si>
    <t>ANO 17</t>
  </si>
  <si>
    <t>ANO 18</t>
  </si>
  <si>
    <t>ANO 19</t>
  </si>
  <si>
    <t>ANO 20</t>
  </si>
  <si>
    <t>ANO 21</t>
  </si>
  <si>
    <t>ANO 22</t>
  </si>
  <si>
    <t>ANO 23</t>
  </si>
  <si>
    <t>ANO 24</t>
  </si>
  <si>
    <t>ANO 25</t>
  </si>
  <si>
    <t>ANO 26</t>
  </si>
  <si>
    <t>ANO 27</t>
  </si>
  <si>
    <t>ANO 28</t>
  </si>
  <si>
    <t>ANO 29</t>
  </si>
  <si>
    <t>ANO 30</t>
  </si>
  <si>
    <t>1. RECEITA OPERACIONAL BRUTA</t>
  </si>
  <si>
    <t xml:space="preserve">     1.1. Receita tarifas de água</t>
  </si>
  <si>
    <t xml:space="preserve">     1.2. Receita tarifas de esgoto</t>
  </si>
  <si>
    <t xml:space="preserve">     1.3. Receita serviços complementares</t>
  </si>
  <si>
    <t xml:space="preserve">2. DEDUÇÕES </t>
  </si>
  <si>
    <t xml:space="preserve">     2.1. Encargos COFINS</t>
  </si>
  <si>
    <t xml:space="preserve">     2.2. Encargos PIS - PASEP</t>
  </si>
  <si>
    <t>3. PERDAS POR INADIMPLÊNCIA</t>
  </si>
  <si>
    <t>4. RECEITA OPERACIONAL LÍQUIDA</t>
  </si>
  <si>
    <t>5. DESPESAS ADMINISTRATIVAS</t>
  </si>
  <si>
    <t>5.1. Pessoal Administrativo</t>
  </si>
  <si>
    <t>5.2. Outras Despesas</t>
  </si>
  <si>
    <t>6. CUSTO DE EXPLORAÇÃO</t>
  </si>
  <si>
    <t>6.1. Energia Elétrica</t>
  </si>
  <si>
    <t>6.2. Produtos Químicos</t>
  </si>
  <si>
    <t>6.3. Pessoal</t>
  </si>
  <si>
    <t>6.4. Outros Custos</t>
  </si>
  <si>
    <t>7. REGULAÇÃO E FISCALIZAÇÃO</t>
  </si>
  <si>
    <t>8. RESULTADO OPERACIONAL BRUTO</t>
  </si>
  <si>
    <t>9. DEPRECIAÇÃO DOS INVESTIMENTOS</t>
  </si>
  <si>
    <t>10.LUCRO LÍQUIDO ANTES DO IR E CSLL</t>
  </si>
  <si>
    <t>11. IMPOSTO DE RENDA E CONTRIBUIÇÃO SOCIAL</t>
  </si>
  <si>
    <t>11.1. Imposto de Renda</t>
  </si>
  <si>
    <t>11.2. Contribuição Social sobre Lucro Líquido</t>
  </si>
  <si>
    <t>12. RESULTADO LÍQUIDO DO EXERCÍCIO</t>
  </si>
  <si>
    <t>1. RESULTADO OPERACIONAL BRUTO</t>
  </si>
  <si>
    <t xml:space="preserve">          1.1.5. Outras receitas operacionais e não operacionais</t>
  </si>
  <si>
    <t>2. SAÍDAS</t>
  </si>
  <si>
    <t xml:space="preserve">     2.1. INVESTIMENTOS </t>
  </si>
  <si>
    <t xml:space="preserve">          2.1.1. Sistema de Abastecimento de Água</t>
  </si>
  <si>
    <t xml:space="preserve">          2.1.2. Sistema de Esgotamento Sanitario</t>
  </si>
  <si>
    <t xml:space="preserve">          2.1.3. Outros Investimentos</t>
  </si>
  <si>
    <t xml:space="preserve">     2.2. DESEMBOLSOS SOBRE O LUCRO</t>
  </si>
  <si>
    <t xml:space="preserve">        2.2.1. IRPJ</t>
  </si>
  <si>
    <t>2.2.2. CSLL</t>
  </si>
  <si>
    <t>3. SALDO DO CAIXA</t>
  </si>
  <si>
    <t>4. TIR</t>
  </si>
  <si>
    <t>TARIFA ATUAL</t>
  </si>
  <si>
    <t>K =</t>
  </si>
  <si>
    <t>ate 3ºano</t>
  </si>
  <si>
    <t>volume esgoto</t>
  </si>
  <si>
    <t>volume agua</t>
  </si>
  <si>
    <t>FATURAM TOTAL GS agua</t>
  </si>
  <si>
    <t>FATURAM TOTAL GS esgoto</t>
  </si>
  <si>
    <t>FATURAM TOTAL GS serviço</t>
  </si>
  <si>
    <t>FATURAM TOTAL GS total</t>
  </si>
  <si>
    <t>Reforma da captação e da estação elevatoria de água bruta (EEAB)</t>
  </si>
  <si>
    <t>VB.</t>
  </si>
  <si>
    <t>Reforma da estação de tratamento de água (ETA) e da casa de quimica</t>
  </si>
  <si>
    <t>Cadastro de consumidores</t>
  </si>
  <si>
    <t>Instalação de  hidrômetros em ligações existentes não hidrometradas</t>
  </si>
  <si>
    <t>Padronização de ligações</t>
  </si>
  <si>
    <t>M</t>
  </si>
  <si>
    <t>Substituição de rede de distribuição</t>
  </si>
  <si>
    <t>VALOR</t>
  </si>
  <si>
    <t xml:space="preserve">     DEPRECIACAO </t>
  </si>
  <si>
    <t>Hdrometros</t>
  </si>
  <si>
    <t>ANO 03</t>
  </si>
  <si>
    <t>VOLUME PRODUZIDO (m³/ano)</t>
  </si>
  <si>
    <t>VOLUME CONSUMIDO (m³/ano)</t>
  </si>
  <si>
    <t>VOLUME MICROMEDIDO (m³/ano)</t>
  </si>
  <si>
    <t>VOLUME FATURADO (m³ /ano)</t>
  </si>
  <si>
    <t>(VALORES EM R$)</t>
  </si>
  <si>
    <t>MAO DE OBRA</t>
  </si>
  <si>
    <t>ENERGIA</t>
  </si>
  <si>
    <t>TARIFA</t>
  </si>
  <si>
    <t>ENERGIA ELETRICA</t>
  </si>
  <si>
    <t>PRODUTO QUIMICO</t>
  </si>
  <si>
    <t xml:space="preserve">Substituição de hidrômetros </t>
  </si>
  <si>
    <t>SERVIÇOS DE ÁGUA</t>
  </si>
  <si>
    <t>Instalação de cavalete multiplo com hidrômeto:</t>
  </si>
  <si>
    <t xml:space="preserve">        Cavalete de diâmetro de 32 mm somente para hidrômetros de 1,5m³/h</t>
  </si>
  <si>
    <t xml:space="preserve">       Cavalete de diâmetro de 32 mm somente para hidrômetros de 3m³/h</t>
  </si>
  <si>
    <t>Inclusão de ligação em cavalete multiplo e instalação de hidrômetro</t>
  </si>
  <si>
    <t xml:space="preserve">      hidrômeto com capacidade até 1,5 m³/h</t>
  </si>
  <si>
    <t xml:space="preserve">      hidrômeto com capacidade até 3 m³/h</t>
  </si>
  <si>
    <t>Aferição de Hidrômetro com ou sem contastação de variação metrológica, independente da capacidade - a cada 3 anos (a pedido do usuário)</t>
  </si>
  <si>
    <t>Gratuito</t>
  </si>
  <si>
    <t>Aferição de Hidrômetro sem contastação de variação metrológica, conforme laudo (a pedido do usuário)</t>
  </si>
  <si>
    <t xml:space="preserve">      Com capacidade de 1,5 m³/h</t>
  </si>
  <si>
    <t xml:space="preserve">      Com capacidade de 3,0 m³/h</t>
  </si>
  <si>
    <t xml:space="preserve">      Com capacidade de 5 m³/h</t>
  </si>
  <si>
    <t xml:space="preserve">      Com capacidade de 7 m³/h</t>
  </si>
  <si>
    <t xml:space="preserve">      Com capacidade de 10 m³/h</t>
  </si>
  <si>
    <t xml:space="preserve">      Com capacidade de 20 m³/h</t>
  </si>
  <si>
    <t xml:space="preserve">      Com capacidade de 30 m³/h</t>
  </si>
  <si>
    <t xml:space="preserve">      Com capacidade de 300 m³/h</t>
  </si>
  <si>
    <t xml:space="preserve">      Com capacidade de 1100 m³/h</t>
  </si>
  <si>
    <t xml:space="preserve">      Com capacidade de 1800 m³/h</t>
  </si>
  <si>
    <t xml:space="preserve">      Com capacidade de 4000 m³/h</t>
  </si>
  <si>
    <t xml:space="preserve">      Com capacidade de 6500 m³/h</t>
  </si>
  <si>
    <t>Troca ou instalação de hidrômeto violado ou danificado ou por motivo de furto</t>
  </si>
  <si>
    <t>Troca de hidrômeto por desgaste normal, qualquer idade</t>
  </si>
  <si>
    <t>Substituição de ligação de água diâmetro até 32 mm e hidrômeto ate 3 m³/h</t>
  </si>
  <si>
    <t xml:space="preserve">       Sem reposição de pavimento</t>
  </si>
  <si>
    <t xml:space="preserve">      Com reposição de pavimento</t>
  </si>
  <si>
    <t>Ligação de água e instalação de hidrômeto, diâmetro ate 32mm e hidrômeto ate 3 m³/h</t>
  </si>
  <si>
    <t>Regularização de cavalete ate 32mm</t>
  </si>
  <si>
    <t>Registro de cavalete (troca por motivo de quebra ou vazamento)</t>
  </si>
  <si>
    <t>Corte do fornecimento no cavalete:</t>
  </si>
  <si>
    <t xml:space="preserve">       Corte por inadimplemento</t>
  </si>
  <si>
    <t>gratuito</t>
  </si>
  <si>
    <t xml:space="preserve">      Violação de dispositivo de lacre</t>
  </si>
  <si>
    <t>Supressão da ligação:</t>
  </si>
  <si>
    <t xml:space="preserve">       Por motivo de inadiplemento do pagamento das tarifas ou definitiva (por unificação, demolição e substiuição)</t>
  </si>
  <si>
    <t xml:space="preserve">       Por solicitação do usuário (imovel vago ou desocupado)</t>
  </si>
  <si>
    <t>Restabelecimento do forncecimento no cavalete (referente ao corte)</t>
  </si>
  <si>
    <t xml:space="preserve">       Por solicitação do usuário</t>
  </si>
  <si>
    <t xml:space="preserve">       Por imovel vago ou por debito de tarifa</t>
  </si>
  <si>
    <t>Religação (referente a supressão)</t>
  </si>
  <si>
    <t>SERVIÇOS DE ESGOTO</t>
  </si>
  <si>
    <t>Substituição de ligação de esgoto com reposição do pavimento de diâmetro de 150mm</t>
  </si>
  <si>
    <t>Substituição de ligação de esgoto sem reposição do pavimento de diâmetro de 150mm</t>
  </si>
  <si>
    <t>Desobstrução de esgoto - desentupimento de esgoto</t>
  </si>
  <si>
    <t>Ligação de esgoto:</t>
  </si>
  <si>
    <t xml:space="preserve">       Diâmetro 150mm sem reposição de pavimento</t>
  </si>
  <si>
    <t xml:space="preserve">       Diamentro 150mm com reposição de pavimento</t>
  </si>
  <si>
    <t>SERVIÇOS DE ÁGUA E ESGOTO</t>
  </si>
  <si>
    <t>Estudos</t>
  </si>
  <si>
    <t xml:space="preserve">       Prolongamento, duplicação ou remanejamento de rede de agua e esgoto</t>
  </si>
  <si>
    <t xml:space="preserve">       Levantamento de profundidade de ligação ou ramal</t>
  </si>
  <si>
    <t xml:space="preserve">      Dimensionamento de ramal predial (água e esgoto)</t>
  </si>
  <si>
    <t>Inspeção em pedido de ligação</t>
  </si>
  <si>
    <t xml:space="preserve">      Primeira inspeção</t>
  </si>
  <si>
    <t>gratuita</t>
  </si>
  <si>
    <t xml:space="preserve">       Segunda e demais inspeções</t>
  </si>
  <si>
    <t>Substituição ou modificação do ramal predial e restauração de muros e passeios, causados pelo prestador de serviço</t>
  </si>
  <si>
    <t>Restabelecimento ( referente ao corte) e/ou ligações (referente a supressão), por suspenção indevida do abastecimento de água ou a interrupção da coleta de esgoto</t>
  </si>
  <si>
    <t>OUTROS SERVIÇOS</t>
  </si>
  <si>
    <t>Emissão de segunda via</t>
  </si>
  <si>
    <t xml:space="preserve">       Por culpa do prestador de serviço</t>
  </si>
  <si>
    <t xml:space="preserve">       Solicitação e envio via correio ou email</t>
  </si>
  <si>
    <t>Atestado / Certidões negativas</t>
  </si>
  <si>
    <t xml:space="preserve">       Existência de projetos de redes de água e/ou esgoto em vias e/ou logradouros públicos</t>
  </si>
  <si>
    <t xml:space="preserve">       Existência de projeto de extensão ou reforço de rede de água e esgoto para projetos de loteamentos e condominios</t>
  </si>
  <si>
    <t xml:space="preserve">       Existência de rede de água e esgoto em vias, logradouros públicos, loteamentos, condominios e empreendimentos imobiliários</t>
  </si>
  <si>
    <t xml:space="preserve">      Existência de conexão a rede de água e/ou esgoto no imóvel</t>
  </si>
  <si>
    <t xml:space="preserve">       Recibo de quitação ou extensão de existência de débitos pendentes, solicitado pelo usuário, que tambem poderá ser enviado por meio eletronico, desde que autorizado pelo usuário</t>
  </si>
  <si>
    <t>Recibo de quitação ou atestado de existência de débitos pendentes, que tambem poderá ser enviado por meio eletrônico desde que autorizado pelo usuário</t>
  </si>
  <si>
    <t>tarifa atual TR</t>
  </si>
  <si>
    <r>
      <t>INVESTIMENTOS REDE DE ÁGUA P</t>
    </r>
    <r>
      <rPr>
        <b/>
        <sz val="7"/>
        <rFont val="AvantGarde Bk BT"/>
      </rPr>
      <t>UNIT</t>
    </r>
    <r>
      <rPr>
        <b/>
        <sz val="8"/>
        <rFont val="AvantGarde Bk BT"/>
      </rPr>
      <t xml:space="preserve"> </t>
    </r>
    <r>
      <rPr>
        <b/>
        <sz val="10"/>
        <rFont val="AvantGarde Bk BT"/>
      </rPr>
      <t>= R$102,00</t>
    </r>
  </si>
  <si>
    <t>Vazão de Perdas (L/s)</t>
  </si>
  <si>
    <t>PERDAS FÍSICA (%)</t>
  </si>
  <si>
    <r>
      <t>INVESTIMENTOS LIGAÇÕES ÁGUA P</t>
    </r>
    <r>
      <rPr>
        <b/>
        <sz val="7"/>
        <rFont val="AvantGarde Bk BT"/>
      </rPr>
      <t>UNIT</t>
    </r>
    <r>
      <rPr>
        <b/>
        <sz val="8"/>
        <rFont val="AvantGarde Bk BT"/>
      </rPr>
      <t xml:space="preserve"> </t>
    </r>
    <r>
      <rPr>
        <b/>
        <sz val="10"/>
        <rFont val="AvantGarde Bk BT"/>
      </rPr>
      <t>= R$200,00</t>
    </r>
  </si>
  <si>
    <r>
      <t>INVESTIMENTOS HIDRÔMETROS P</t>
    </r>
    <r>
      <rPr>
        <b/>
        <sz val="7"/>
        <rFont val="AvantGarde Bk BT"/>
      </rPr>
      <t>UNIT</t>
    </r>
    <r>
      <rPr>
        <b/>
        <sz val="8"/>
        <rFont val="AvantGarde Bk BT"/>
      </rPr>
      <t xml:space="preserve"> </t>
    </r>
    <r>
      <rPr>
        <b/>
        <sz val="10"/>
        <rFont val="AvantGarde Bk BT"/>
      </rPr>
      <t>= R$112,10</t>
    </r>
  </si>
  <si>
    <r>
      <t>INVESTIMENTOS REDE ESGOTO                  P</t>
    </r>
    <r>
      <rPr>
        <b/>
        <sz val="7"/>
        <rFont val="AvantGarde Bk BT"/>
      </rPr>
      <t>UNIT</t>
    </r>
    <r>
      <rPr>
        <b/>
        <sz val="8"/>
        <rFont val="AvantGarde Bk BT"/>
      </rPr>
      <t xml:space="preserve"> </t>
    </r>
    <r>
      <rPr>
        <b/>
        <sz val="10"/>
        <rFont val="AvantGarde Bk BT"/>
      </rPr>
      <t>= R$305,00</t>
    </r>
  </si>
  <si>
    <t>INVESTIMENTOS LIGAÇÕES ESGOTO Punit=R$204,00</t>
  </si>
  <si>
    <r>
      <t xml:space="preserve">PRODUTO: </t>
    </r>
    <r>
      <rPr>
        <b/>
        <i/>
        <sz val="11"/>
        <rFont val="Arial"/>
        <family val="2"/>
      </rPr>
      <t>sulfato de aluminio</t>
    </r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</si>
  <si>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</si>
  <si>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</si>
  <si>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</si>
  <si>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</si>
  <si>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</si>
  <si>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</si>
  <si>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</si>
  <si>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</si>
  <si>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</si>
  <si>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EXERCÍCIO SEM FINANCIAMENTO</t>
  </si>
  <si>
    <t>FINANCIAMENTO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</si>
  <si>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</si>
  <si>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</si>
  <si>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</si>
  <si>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</si>
  <si>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</si>
  <si>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</si>
  <si>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</si>
  <si>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</si>
  <si>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</si>
  <si>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</si>
  <si>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Ano 11</t>
  </si>
  <si>
    <t>Ano 12</t>
  </si>
  <si>
    <t>Ano 13</t>
  </si>
  <si>
    <t>Ano 14</t>
  </si>
  <si>
    <t>Ano 15</t>
  </si>
  <si>
    <t>Ano 16</t>
  </si>
  <si>
    <t>Ano 17</t>
  </si>
  <si>
    <t>Ano 18</t>
  </si>
  <si>
    <t>Ano 19</t>
  </si>
  <si>
    <t>Ano 20</t>
  </si>
  <si>
    <t>Ano 21</t>
  </si>
  <si>
    <t>Ano 22</t>
  </si>
  <si>
    <t>Ano 23</t>
  </si>
  <si>
    <t>Ano 24</t>
  </si>
  <si>
    <t>Ano 25</t>
  </si>
  <si>
    <t>Ano 26</t>
  </si>
  <si>
    <t>Ano 27</t>
  </si>
  <si>
    <t>Ano 28</t>
  </si>
  <si>
    <t>Ano 29</t>
  </si>
  <si>
    <t>Ano 30</t>
  </si>
  <si>
    <t>INVESTIMENTOS EM RENOVAÇÃO</t>
  </si>
  <si>
    <t>INVESTIMENTOS EM EXPANSÃO</t>
  </si>
  <si>
    <t>tarifa media agua original</t>
  </si>
  <si>
    <t>tarifa media agua corrigida</t>
  </si>
  <si>
    <t>tarifa média esgoto original</t>
  </si>
  <si>
    <t>tarifa media esgoto corrigida</t>
  </si>
  <si>
    <t>FATURAMENTO ESGOTO</t>
  </si>
  <si>
    <t>FATURAMENTO ÁGUA</t>
  </si>
  <si>
    <t>% coleta esgoto/água</t>
  </si>
  <si>
    <t>Aumento Água</t>
  </si>
  <si>
    <t>ORIGINAL</t>
  </si>
  <si>
    <t>MODIFICADO</t>
  </si>
  <si>
    <t>MÉDIA</t>
  </si>
  <si>
    <t>novos volume</t>
  </si>
  <si>
    <t>volumes originais</t>
  </si>
  <si>
    <t>EXPANSÕES</t>
  </si>
  <si>
    <t>Implantação de interceptores</t>
  </si>
  <si>
    <t>Implantação de estação de tratamento de esgoto (ETE + ETE compacta) - Sistema Sede</t>
  </si>
  <si>
    <t>RENOVAÇÃO</t>
  </si>
  <si>
    <t xml:space="preserve">TOTAL ANOS 1 A 3 &gt;&gt;&gt;  </t>
  </si>
  <si>
    <t>Modelo  Tabela 17 - Cronograma de Investimentos</t>
  </si>
  <si>
    <t>(Revisão Ordinária - Novembro/2018)</t>
  </si>
  <si>
    <t>Reforma de estações elevatórias de água tratada</t>
  </si>
  <si>
    <t xml:space="preserve">Valvulas </t>
  </si>
  <si>
    <t>Painel Elétrico</t>
  </si>
  <si>
    <t>Outros Materiais</t>
  </si>
  <si>
    <t>Bombas dosadoras</t>
  </si>
  <si>
    <t>Telemetria</t>
  </si>
  <si>
    <t>Reforma civil - EEA São Germano</t>
  </si>
  <si>
    <t>Troca de bomba submersível</t>
  </si>
  <si>
    <t>Implantação de EEA Bela Vista</t>
  </si>
  <si>
    <t>Troca de bombas - EEA Alto da Boa Vista</t>
  </si>
  <si>
    <t>Construção Civil - EEA Alto da Boa Vista</t>
  </si>
  <si>
    <t>Troca das bombas e paineis - EEA Cuba</t>
  </si>
  <si>
    <t>Troca de bomba - EEA São Guido</t>
  </si>
  <si>
    <t>Aquisição de equip. para manutenção</t>
  </si>
  <si>
    <t>Aquisição de equip. para laboratório</t>
  </si>
  <si>
    <t>Macromedidor</t>
  </si>
  <si>
    <t>Reservatório de Fluor</t>
  </si>
  <si>
    <t>Reformas para conseguir AVCB</t>
  </si>
  <si>
    <t>Reforma Caminhão PIPA</t>
  </si>
  <si>
    <t>Reforma de reservatórios</t>
  </si>
  <si>
    <t>Impermeabilização de reservatórios</t>
  </si>
  <si>
    <t>Reforma de poços</t>
  </si>
  <si>
    <t>Reforma do poço + clorador - Espirito Santo</t>
  </si>
  <si>
    <t>Reforma do Poço Colinas com troca de bomba</t>
  </si>
  <si>
    <t>Troca de bomba submersivel - Santa Edwirges</t>
  </si>
  <si>
    <t>Troca das bombas dosadoras de Fluor e Hipoclorito Teles Baixo</t>
  </si>
  <si>
    <t>Manutenção bomba - Teles Alto</t>
  </si>
  <si>
    <t>Troca da bomba - Teles Alto</t>
  </si>
  <si>
    <t>Implantação de sistemas de cloração</t>
  </si>
  <si>
    <t>Implantação de bomba dosadora - Cedro</t>
  </si>
  <si>
    <t>Implantação de sistemas de fluor</t>
  </si>
  <si>
    <t>Instalação de macromedidores</t>
  </si>
  <si>
    <t>Setorizações e adequações</t>
  </si>
  <si>
    <t>Estudo de setorização (projeto)</t>
  </si>
  <si>
    <t>Cadastro de consumidores e outras melhorias</t>
  </si>
  <si>
    <t>Compra de equipamentos Comercial</t>
  </si>
  <si>
    <t>Instalação de software Sansys - comercial</t>
  </si>
  <si>
    <t>Móveis para atendimento ao publico</t>
  </si>
  <si>
    <t>Implantação de ligações de agua</t>
  </si>
  <si>
    <t>Novas Ligações</t>
  </si>
  <si>
    <t>Implantação de redes de distribuição</t>
  </si>
  <si>
    <t>Implantação de 1100m de adutora - Colinas - São Germano</t>
  </si>
  <si>
    <t>Implantação de rede - 300m - Alferes - Dinho</t>
  </si>
  <si>
    <t>Implantação de poços profundos c/ clorador e fluor</t>
  </si>
  <si>
    <t>Implantação de ligações de esgoto</t>
  </si>
  <si>
    <t>Implantação de redes coletoras - diametro até 150mm</t>
  </si>
  <si>
    <t>Implantação de estações elevatórias de esgoto (EEE) e respectiva linha de recalque - 11 unidades</t>
  </si>
  <si>
    <t>Implantação de estações de tratamento de esgoto (ETE) - 5 unidades Sistemas Isolados</t>
  </si>
  <si>
    <t>INVESTIMENTOS REALIZADOS - VALORES NOMINAIS</t>
  </si>
  <si>
    <t>INVESTIMENTOS REALIZADOS - DATA BASE NOVEMBRO/2014</t>
  </si>
  <si>
    <t>REDE</t>
  </si>
  <si>
    <t>LIGAÇÃO</t>
  </si>
  <si>
    <t>HIDROMETROS</t>
  </si>
  <si>
    <t>SETORIZAÇÃO E SUBSTITUIÇÃO DE REDES DE DISTRIBUIÇÃO - SAA</t>
  </si>
  <si>
    <t>Obra </t>
  </si>
  <si>
    <t xml:space="preserve">Unidade </t>
  </si>
  <si>
    <t xml:space="preserve"> Quantidade </t>
  </si>
  <si>
    <t xml:space="preserve"> Valor unitário médio (R$) </t>
  </si>
  <si>
    <t xml:space="preserve"> Valor total (R$) </t>
  </si>
  <si>
    <t>Setorização localizadas</t>
  </si>
  <si>
    <t>vb.</t>
  </si>
  <si>
    <t>Setorização lineares</t>
  </si>
  <si>
    <t xml:space="preserve">m </t>
  </si>
  <si>
    <t>Substituição</t>
  </si>
  <si>
    <t>DISTRIBUIÇÃO FÍSICA DOS COLETORES TRONCO - SES</t>
  </si>
  <si>
    <t>Obra</t>
  </si>
  <si>
    <t>Extensão (m)</t>
  </si>
  <si>
    <t>CT Antonio Feliciano</t>
  </si>
  <si>
    <t>CT Bela Vista</t>
  </si>
  <si>
    <t>CT Paraíba 2</t>
  </si>
  <si>
    <t>CT Vila Modesto</t>
  </si>
  <si>
    <t>CT Paraíba 3</t>
  </si>
  <si>
    <t>CT Lavapés</t>
  </si>
  <si>
    <t>CT São Guido</t>
  </si>
  <si>
    <t>CT Laranjeiras</t>
  </si>
  <si>
    <t>CT Vila Amélia 1</t>
  </si>
  <si>
    <t>CT Vila Amélia 2</t>
  </si>
  <si>
    <t>CT Caracol 1</t>
  </si>
  <si>
    <t>CT Paraíba 1</t>
  </si>
  <si>
    <t>Total Coletores</t>
  </si>
  <si>
    <t>DISTRIBUIÇÃO FÍSICA DAS REDES COLETORAS - SES</t>
  </si>
  <si>
    <t>RC Alferes Bento</t>
  </si>
  <si>
    <t>RC Chororão</t>
  </si>
  <si>
    <t>RC Vila Amélia</t>
  </si>
  <si>
    <t>RC Cedro</t>
  </si>
  <si>
    <t>RC São Germano e Santa Edwiges</t>
  </si>
  <si>
    <t>RC Espirito Santo</t>
  </si>
  <si>
    <t>RC Teles</t>
  </si>
  <si>
    <t>Total Rede Coletora</t>
  </si>
  <si>
    <t>Calculado</t>
  </si>
  <si>
    <t>Adotado</t>
  </si>
  <si>
    <t>Valor na data base (nov/14)</t>
  </si>
  <si>
    <t>PROPOSTA</t>
  </si>
  <si>
    <t>TABELA 12 - ESTRUTURA TARIFÁRIA PROPOSTA</t>
  </si>
  <si>
    <t>REVISÃO ORDINÁRIA 2018</t>
  </si>
  <si>
    <t>TABELA 12 - ESTRUTURA TARIFÁRIA PROPOSTA - SERVIÇOS</t>
  </si>
  <si>
    <t>TABELA 19 - DEMONSTRATIVO DO RESULTADO DO</t>
  </si>
  <si>
    <t>TABELA 20 - FLUXO DE CAIXA DO PROJETO SEM</t>
  </si>
  <si>
    <t>TIR original = 12,03%</t>
  </si>
  <si>
    <t>Captação Rio Paraiba do Sul</t>
  </si>
  <si>
    <t>ÁGUA - CONTRATO</t>
  </si>
  <si>
    <t>ÁGUA - PREVISTO</t>
  </si>
  <si>
    <t>ÁGUA - MAIS EFICIENTE</t>
  </si>
  <si>
    <t>Mês</t>
  </si>
  <si>
    <t>CE (kWh)</t>
  </si>
  <si>
    <t>Volume (m³)</t>
  </si>
  <si>
    <t>Hm (m)</t>
  </si>
  <si>
    <t>CEN (kWh/m³.100m)</t>
  </si>
  <si>
    <t>Rendimento (%)</t>
  </si>
  <si>
    <t>Ano</t>
  </si>
  <si>
    <t>kWh/1000</t>
  </si>
  <si>
    <t>R$ (com tarifa R$0,46084/m³)</t>
  </si>
  <si>
    <t>Média</t>
  </si>
  <si>
    <t>Ef. Possível</t>
  </si>
  <si>
    <t xml:space="preserve">Fator de Recuperação </t>
  </si>
  <si>
    <t>Diferença (R$)</t>
  </si>
  <si>
    <t>Diferença (%)</t>
  </si>
  <si>
    <t>2015-2016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</si>
  <si>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</si>
  <si>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</si>
  <si>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</si>
  <si>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</si>
  <si>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</si>
  <si>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</si>
  <si>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</si>
  <si>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</si>
  <si>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</si>
  <si>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</si>
  <si>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</si>
  <si>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</si>
  <si>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</si>
  <si>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</si>
  <si>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ARES-PCJ</t>
  </si>
  <si>
    <t xml:space="preserve">Reforma da estação elevatória de água tratada - EEAT 1 e 2 (SS) e EEAT 3 (SI São Germano) </t>
  </si>
  <si>
    <t>Reforma de reservatórios (2 reservatorios SS)</t>
  </si>
  <si>
    <t>Reforma do poço + clorador</t>
  </si>
  <si>
    <t>Implantação do sistema de cloração de 0,7L/s</t>
  </si>
  <si>
    <t>Implantação do sistema de fluor</t>
  </si>
  <si>
    <t>Instalação de macromedidores - tipo Woltman (Nas saidas ETA(2) e nos 5 poços SI)</t>
  </si>
  <si>
    <t>Setorização e adequação</t>
  </si>
  <si>
    <t>Implantação de ligação de agua</t>
  </si>
  <si>
    <t>Implantação de rede de distribuição</t>
  </si>
  <si>
    <t>Implantação de poço profundo c/ clorador e fluor (SI Teles)</t>
  </si>
  <si>
    <t>Implantação de ligação de esgoto</t>
  </si>
  <si>
    <t>Implantação de rede coletora - diametro até 150mm</t>
  </si>
  <si>
    <t>Implantação de estação elevatória de esgoto (EEE) e sua respectiva linha de recalque (Sistema Sede) - 3 unidades</t>
  </si>
  <si>
    <t>Implantação de estação de tratamento de esgoto (ETE) - 6 unidades Sistemas Isolados</t>
  </si>
  <si>
    <t>IMPACTO RES. SOCIAL</t>
  </si>
  <si>
    <t>ACESSO A RES. SOCIAL</t>
  </si>
  <si>
    <t>Proporção E/A</t>
  </si>
  <si>
    <t>PROPORÇÃO ESGOTO</t>
  </si>
  <si>
    <t>REAJUSTES</t>
  </si>
  <si>
    <t>ÍNDICE =</t>
  </si>
  <si>
    <t>CATEGORIA RESIDENCIAL SOCIAL</t>
  </si>
  <si>
    <t>FAIXA DE CONSUMO</t>
  </si>
  <si>
    <t>UNIDADE</t>
  </si>
  <si>
    <t>TARIFA DE ÁGUA (R$)</t>
  </si>
  <si>
    <t>TARIFA DE ESGOTO (R$)</t>
  </si>
  <si>
    <t>TOTAL               (R$)</t>
  </si>
  <si>
    <t>De 0 a 10 (mínimo)</t>
  </si>
  <si>
    <t>De 11 a 20</t>
  </si>
  <si>
    <t>m³</t>
  </si>
  <si>
    <t>De 21 a 30</t>
  </si>
  <si>
    <t>De 31 a 50</t>
  </si>
  <si>
    <t>Acima de 50</t>
  </si>
  <si>
    <t>CATEGORIA RESIDENCIAL NORMAL</t>
  </si>
  <si>
    <t>De 21 a 50</t>
  </si>
  <si>
    <t xml:space="preserve">CATEGORIA COMERCIAL </t>
  </si>
  <si>
    <t>CATEGORIA INDUSTRIAL</t>
  </si>
  <si>
    <t>CATEGORIA PÚBLICA / SEM CONTRATO</t>
  </si>
  <si>
    <t xml:space="preserve">OBS: ATUALIZADO COM DREs </t>
  </si>
  <si>
    <t>OBS: ATUALIZADO CONFORME PROJEÇÃO GRÁFICA - RECEITA ÁGUA</t>
  </si>
  <si>
    <t>CDHU</t>
  </si>
  <si>
    <t>Bela Vista II</t>
  </si>
  <si>
    <t>Cedro Alto</t>
  </si>
  <si>
    <t>Vide Planilha: COMPONENTES - Paraibuna 2019 3</t>
  </si>
  <si>
    <t>1) TAXA DE REGULAÇÃO; 2) REPROGRAMAÇÃO INVESTIMENTOS; 3) RECEITAS REAIS, DEDUÇÕES (PIS, COFINS) E INADIMPLÊNCIA CONFORME DREs; 4) PROJEÇÃO RECEITA ÁGUA ANO 5</t>
  </si>
  <si>
    <t>PLEITO CAEPA</t>
  </si>
  <si>
    <t xml:space="preserve">Instalação de cavalete múltiplo com hidrômetro: </t>
  </si>
  <si>
    <t>Cavalete de diâmetro de 32 mm somente para hidrômetros de 1,5m³/h</t>
  </si>
  <si>
    <t>Cavalete de diâmetro de 32 mm somente para hidrômetros de 3m³/h</t>
  </si>
  <si>
    <t>Inclusão de ligação em cavalete múltiplo e instalação de hidrômetro</t>
  </si>
  <si>
    <t>Hidrômetro com capacidade até 1,5 m³/h</t>
  </si>
  <si>
    <t>Hidrômetro com capacidade até 3 m³/h</t>
  </si>
  <si>
    <t>Aferição de Hidrômetro com ou sem constatação de variação metrológica, independente da capacidade - a cada 3 anos (a pedido do usuário)</t>
  </si>
  <si>
    <t xml:space="preserve"> Gratuito </t>
  </si>
  <si>
    <t>Aferição de Hidrômetro sem constatação de variação metrológica, conforme laudo (a pedido do usuário)</t>
  </si>
  <si>
    <t>Com capacidade de 1,5 m³/h</t>
  </si>
  <si>
    <t>Com capacidade de 3 m³/h</t>
  </si>
  <si>
    <t>Com capacidade de 5 m³/h</t>
  </si>
  <si>
    <t>Com capacidade de 7 m³/h</t>
  </si>
  <si>
    <t>Com capacidade de 10 m³/h</t>
  </si>
  <si>
    <t>Com capacidade de 20 m³/h</t>
  </si>
  <si>
    <t>Com capacidade de 30 m³/h</t>
  </si>
  <si>
    <t>Com capacidade de 300 m³/h</t>
  </si>
  <si>
    <t>Com capacidade de 1100 m³/h</t>
  </si>
  <si>
    <t>Com capacidade de 1800 m³/h</t>
  </si>
  <si>
    <t>Com capacidade de 4000 m³/h</t>
  </si>
  <si>
    <t>Com capacidade de 6500 m³/h</t>
  </si>
  <si>
    <t>Troca ou instalação de hidrômetro violado ou danificado ou por motivo de furto</t>
  </si>
  <si>
    <t>TABELA 2 – VALORES DA PRESTAÇÃO DOS SERVIÇOS DE ÁGUA E ESGOTO (continuação)</t>
  </si>
  <si>
    <t>Troca de hidrômetro por desgaste normal, qualquer idade</t>
  </si>
  <si>
    <t>Substituição de ligação de água diâmetro até 32 mm e hidrômetro até 3 m³/h</t>
  </si>
  <si>
    <t>Sem reposição de pavimento</t>
  </si>
  <si>
    <t>Com reposição de pavimento</t>
  </si>
  <si>
    <t>Ligação de água e instalação de hidrômetro até 32 mm e hidrômetro até 3 m³/h</t>
  </si>
  <si>
    <t>Regularização de cavalete até 32mm</t>
  </si>
  <si>
    <t>Corte por inadimplemento</t>
  </si>
  <si>
    <t>Violação de dispositivo de lacre</t>
  </si>
  <si>
    <t>Por motivo de inadimplemento do pagamento das tarifas ou definitiva (por unificação, demolição e substituição)</t>
  </si>
  <si>
    <t>Por solicitação do usuário (imóvel vago ou desocupado)</t>
  </si>
  <si>
    <t>Restabelecimento do fornecimento no cavalete (referente ao corte)</t>
  </si>
  <si>
    <t xml:space="preserve">Por solicitação do usuário </t>
  </si>
  <si>
    <t>Por imóvel vago ou por débito de tarifa</t>
  </si>
  <si>
    <t>Substituição de ligação de esgoto sem reposição do pavimento de 150mm</t>
  </si>
  <si>
    <t>Diâmetro 150mm sem reposição de pavimento</t>
  </si>
  <si>
    <t>Diâmetro 150mm com reposição de pavimento</t>
  </si>
  <si>
    <t>Prolongamento, duplicação ou remanejamento de rede de água e esgoto</t>
  </si>
  <si>
    <t>Levantamento de profundidade de ligação ou ramal</t>
  </si>
  <si>
    <t>Dimensionamento de ramal predial (água e esgoto)</t>
  </si>
  <si>
    <t>Primeira inspeção</t>
  </si>
  <si>
    <t>Segunda e demais inspeções</t>
  </si>
  <si>
    <t>Restabelecimento (referente ao corte) e/ou ligações (referente a supressão), por suspensão indevida do abastecimento de água ou a interrupção da coleta de esgoto</t>
  </si>
  <si>
    <t>Fornecimento especial de água através de carros - tanque</t>
  </si>
  <si>
    <t>Por culpa do prestador de serviço</t>
  </si>
  <si>
    <t>Solicitação e envio via correio ou email</t>
  </si>
  <si>
    <t>Atestado/Certidões negativas</t>
  </si>
  <si>
    <t>Existência de projetos de redes de água e/ou esgoto em vias e/ou logradouros públicos.</t>
  </si>
  <si>
    <t>Existência de projeto de extensão ou reforço de rede de água e esgoto para projetos de loteamentos e condomínios.</t>
  </si>
  <si>
    <t>Existência de rede de água e esgoto em vias, logradouros públicos, loteamentos, condomínios e empreendimentos imobiliários.</t>
  </si>
  <si>
    <t>Existência de conexão à rede de água e/ou esgoto no imóvel.</t>
  </si>
  <si>
    <t>Recibo de quitação ou extensão de existência de débitos pendentes, solicitado pelo usuário, que também poderá ser enviado por meio eletrônico, desde que autorizado pelo usuário.</t>
  </si>
  <si>
    <t>Recibo de quitação ou atestado de existência de débitos pendentes, que também poderá ser enviado por meio eletrônico desde que autorizado pelo usuário.</t>
  </si>
  <si>
    <t>Com Reajuste</t>
  </si>
  <si>
    <t>CATEGORIA COMERCIAL</t>
  </si>
  <si>
    <t>13.1</t>
  </si>
  <si>
    <t>13.2</t>
  </si>
  <si>
    <t>Religação no Cavalete</t>
  </si>
  <si>
    <t>Religação no Ramal</t>
  </si>
  <si>
    <t>Entrega de Fatura em local diverso</t>
  </si>
  <si>
    <t>Remessa de Fatura por correspondência simples</t>
  </si>
  <si>
    <t>Remessa de Fatura por correspondência com AR</t>
  </si>
  <si>
    <t>FATURAMENTO</t>
  </si>
  <si>
    <t>EVENTO</t>
  </si>
  <si>
    <t>Incidência de Bandeira Tarifária de Escassez Hídrica</t>
  </si>
  <si>
    <t>OPEX - Energia Elétrica</t>
  </si>
  <si>
    <t>DESEQUILÍBRIO NA TIR (p.p.)</t>
  </si>
  <si>
    <t>Ampliação da Área de Concessão - Vale dos Pássaros (água)</t>
  </si>
  <si>
    <t>Ampliação da Área de Concessão - Distrito Industrial (água e esgoto)</t>
  </si>
  <si>
    <t>RECEITA</t>
  </si>
  <si>
    <t>OPEX</t>
  </si>
  <si>
    <t>CAPEX</t>
  </si>
  <si>
    <t>OPEX - Cloro</t>
  </si>
  <si>
    <t>Variação dos custos da Construção Civil durante e após Pandemia COVID-19</t>
  </si>
  <si>
    <t>PERÍODO</t>
  </si>
  <si>
    <t>E1</t>
  </si>
  <si>
    <t>E2</t>
  </si>
  <si>
    <t>E3</t>
  </si>
  <si>
    <t>E4</t>
  </si>
  <si>
    <t>E5</t>
  </si>
  <si>
    <t>E6</t>
  </si>
  <si>
    <t>Anos 5 a 30</t>
  </si>
  <si>
    <t>Anos 9 a 30</t>
  </si>
  <si>
    <t>Anos 10 a 30</t>
  </si>
  <si>
    <t>Anos 5 a 8</t>
  </si>
  <si>
    <t>Anos 6 a 8</t>
  </si>
  <si>
    <t>Incremento (R$/MWh)</t>
  </si>
  <si>
    <t>Verde</t>
  </si>
  <si>
    <t>Realizado</t>
  </si>
  <si>
    <t>NI IPCA</t>
  </si>
  <si>
    <t>Realizado (base nov/2014)</t>
  </si>
  <si>
    <t>Projetado</t>
  </si>
  <si>
    <t>Amarela</t>
  </si>
  <si>
    <t>Vermelha 1</t>
  </si>
  <si>
    <t>Vermelha 2</t>
  </si>
  <si>
    <t xml:space="preserve">Escassez Hídrica </t>
  </si>
  <si>
    <t>-</t>
  </si>
  <si>
    <t>R$/m3</t>
  </si>
  <si>
    <t>Número Índice IPCA nov/2014</t>
  </si>
  <si>
    <t>Média Anos 5 a 8</t>
  </si>
  <si>
    <t>R$/kWh</t>
  </si>
  <si>
    <t>kWh/m3</t>
  </si>
  <si>
    <t>Incremento</t>
  </si>
  <si>
    <t>Base Contrato (1a RO)</t>
  </si>
  <si>
    <t>Atualização pleiteada (2a RO)</t>
  </si>
  <si>
    <t>Indexadores</t>
  </si>
  <si>
    <t>Incremento por Bandeira Tarifária</t>
  </si>
  <si>
    <t>Aumento específico</t>
  </si>
  <si>
    <t>Cobrança adicional por Bandeira Tarifária no período</t>
  </si>
  <si>
    <t>Diferença no incremento médio</t>
  </si>
  <si>
    <t>R$/MWh</t>
  </si>
  <si>
    <t>Despesa EE Realizada (R$/mês)</t>
  </si>
  <si>
    <t>Realizado EE (R$/mês) (base nov/2014)</t>
  </si>
  <si>
    <t>Realizado EE (R$/ano) (base nov/2014)</t>
  </si>
  <si>
    <t>Projetado 1a RO para EE (R$/ano) (base nov/2014)</t>
  </si>
  <si>
    <t>Diferença (R$/ano)</t>
  </si>
  <si>
    <t>Despesa (R$/kWh)</t>
  </si>
  <si>
    <t>Despesa Original (R$/kWh)</t>
  </si>
  <si>
    <t>EVENTO 1</t>
  </si>
  <si>
    <t>BANDEIRAS TARIFÁRIAS</t>
  </si>
  <si>
    <t>REVISÃO</t>
  </si>
  <si>
    <t>TIR DO PROJETO</t>
  </si>
  <si>
    <t>8*</t>
  </si>
  <si>
    <t>AMPLIAÇÃO - VALE DOS PÁSSAROS</t>
  </si>
  <si>
    <t>Ampliação</t>
  </si>
  <si>
    <t>Serviço</t>
  </si>
  <si>
    <t>Valor (R$)</t>
  </si>
  <si>
    <t>Base</t>
  </si>
  <si>
    <t>Valor base Contrato (nov/2014)</t>
  </si>
  <si>
    <t>Ano de Execução</t>
  </si>
  <si>
    <t>Vale dos Pássaros</t>
  </si>
  <si>
    <t>Água</t>
  </si>
  <si>
    <t>Distrito Industrial</t>
  </si>
  <si>
    <t>Esgoto</t>
  </si>
  <si>
    <t>EVENTO 2</t>
  </si>
  <si>
    <t>Indexadores (INCC)</t>
  </si>
  <si>
    <t>OPEX atual médio</t>
  </si>
  <si>
    <t>R$ (nov/2014)</t>
  </si>
  <si>
    <t>m3</t>
  </si>
  <si>
    <t>R$/m3 (nov/2014)</t>
  </si>
  <si>
    <t>Número de Ligações</t>
  </si>
  <si>
    <t>Vazão (L/s)</t>
  </si>
  <si>
    <t>Densidade (hab/lig) (Ano 9)</t>
  </si>
  <si>
    <t>Cota per capita (L/hab.dia) (Ano 9)</t>
  </si>
  <si>
    <t>Componente</t>
  </si>
  <si>
    <t>RECEITA atual Água - Anos 10 a 30</t>
  </si>
  <si>
    <t>OPEX atual - Anos 10 a 30</t>
  </si>
  <si>
    <t>Volume micromedido atual - Anos 10 a 30</t>
  </si>
  <si>
    <t>RECEITA atual Água média</t>
  </si>
  <si>
    <t>RECEITA ÁGUA</t>
  </si>
  <si>
    <t>IMPACTOS</t>
  </si>
  <si>
    <t>RECEITA atual Esgoto - Anos 10 a 30</t>
  </si>
  <si>
    <t>RECEITA atual Esgoto média</t>
  </si>
  <si>
    <t>Incremento de RECEITA BRUTA ÁGUA</t>
  </si>
  <si>
    <t>Incremento de RECEITA BRUTA ESGOTO</t>
  </si>
  <si>
    <t>Volume adicional (m3/ano)</t>
  </si>
  <si>
    <t>2.1.1.1 Vale dos Pássaros</t>
  </si>
  <si>
    <t>Incremento de OPEX - Pessoal Adm</t>
  </si>
  <si>
    <t>Incremento de OPEX - Outras Despesas Adm</t>
  </si>
  <si>
    <t>Incremento de OPEX - Energia Elétrica</t>
  </si>
  <si>
    <t>Incremento de OPEX - Produtos Químicos</t>
  </si>
  <si>
    <t>Incremento de OPEX - Outros Custos</t>
  </si>
  <si>
    <t>Incremento de OPEX - Pessoal Operacional</t>
  </si>
  <si>
    <t>AMPLIAÇÃO - DISTRITO INDUSTRIAL</t>
  </si>
  <si>
    <t>EVENTO 3</t>
  </si>
  <si>
    <t>OPEX atual - Anos 9 a 30</t>
  </si>
  <si>
    <t>RECEITA atual Água - Anos 9 a 30</t>
  </si>
  <si>
    <t>Volume micromedido atual - Anos 9 a 30</t>
  </si>
  <si>
    <t>RECEITA atual Esgoto - Anos 9 a 30</t>
  </si>
  <si>
    <t>2.1.1.1 Distrito Industrial</t>
  </si>
  <si>
    <t>2.1.2.1 Distrito Industrial</t>
  </si>
  <si>
    <t>Incremento de CAPEX - Água</t>
  </si>
  <si>
    <t>Incremento de CAPEX - Esgoto</t>
  </si>
  <si>
    <t>EVENTO 4</t>
  </si>
  <si>
    <t>PRÉ-CLORAÇÃO E MANUTENÇÃO DE RESIDUAL SUPERIOR A 0,5 mg/L</t>
  </si>
  <si>
    <t>Consumo (mg/L)</t>
  </si>
  <si>
    <t>Despesa (R$/m3)</t>
  </si>
  <si>
    <t>Volume produzido (m3)</t>
  </si>
  <si>
    <t>Impacto (R$/m3)</t>
  </si>
  <si>
    <t>Impacto (R$)</t>
  </si>
  <si>
    <t>2S2019</t>
  </si>
  <si>
    <t>1S2020</t>
  </si>
  <si>
    <t>Base-line</t>
  </si>
  <si>
    <t>2S2020</t>
  </si>
  <si>
    <t>1S2021</t>
  </si>
  <si>
    <t>2S2021</t>
  </si>
  <si>
    <t>1S2022</t>
  </si>
  <si>
    <t>2S2022</t>
  </si>
  <si>
    <t>Contrato</t>
  </si>
  <si>
    <t>Indexador (IPCA)</t>
  </si>
  <si>
    <t>Demais anos (média)</t>
  </si>
  <si>
    <t>Impacto (R$) (nov/2014)</t>
  </si>
  <si>
    <t>Impacto (R$/m3) (nov/2014)</t>
  </si>
  <si>
    <t>Indexadores (IPCA)</t>
  </si>
  <si>
    <t>9 a 30</t>
  </si>
  <si>
    <t>Volume produzido (m3/ano) (Contrato)</t>
  </si>
  <si>
    <t>2.1.1.1 Pré-cloração na ETA</t>
  </si>
  <si>
    <t>EVENTO 5</t>
  </si>
  <si>
    <t>ago/15 - jul/16</t>
  </si>
  <si>
    <t>ago/16 - jul/17</t>
  </si>
  <si>
    <t>ago/17 - jul/18</t>
  </si>
  <si>
    <t>jan/19 - jul/19</t>
  </si>
  <si>
    <t>ago/19 - jul/20</t>
  </si>
  <si>
    <t>ago/20 - jul/21</t>
  </si>
  <si>
    <t>ago/21 - jul/22</t>
  </si>
  <si>
    <t>ago/22 - març/23</t>
  </si>
  <si>
    <t>Realizado já</t>
  </si>
  <si>
    <t xml:space="preserve">Diversos </t>
  </si>
  <si>
    <t>orça</t>
  </si>
  <si>
    <t>real</t>
  </si>
  <si>
    <t>AUMENTO DE CUSTOS DA CONSTRUÇÃO CIVIL DURANTE E APÓS PANDEMIA</t>
  </si>
  <si>
    <t>Investimentos Realizados (R$)</t>
  </si>
  <si>
    <t>Outros</t>
  </si>
  <si>
    <t>Base (nov/2014)</t>
  </si>
  <si>
    <t>Investimentos Realizados (R$) (base nov/2014)</t>
  </si>
  <si>
    <t>Frustração de receita e migração de faturamento entre categorias de consumo durante Pandemia COVID-19. Isenção de cobrança para usuários em tarifa social e suspensão de cortes por inadimplência durante Pandemia COVID-19</t>
  </si>
  <si>
    <t>EVENTO 6</t>
  </si>
  <si>
    <t>Receita total</t>
  </si>
  <si>
    <t>Receita Residencial Social</t>
  </si>
  <si>
    <t>Receita Total</t>
  </si>
  <si>
    <t>Projetada (base nov/2014)</t>
  </si>
  <si>
    <t>Realizada (base nov/2014)</t>
  </si>
  <si>
    <t>FRUSTRAÇÃO DE RECEITA NA PANDEMIA</t>
  </si>
  <si>
    <t>EVENTOS COMBINADOS</t>
  </si>
  <si>
    <t xml:space="preserve">Incremento de CAPEX - Outros </t>
  </si>
  <si>
    <t>Realizado de RECEITA TOTAL</t>
  </si>
  <si>
    <t>E2 - Ampliação Vale dos Pássaros</t>
  </si>
  <si>
    <t>E3 - Ampliação Distrito Industrial</t>
  </si>
  <si>
    <t>E4 - Pré-cloração e residual durante Pandemia</t>
  </si>
  <si>
    <t>E5 - Aumento custos da Construção Civil</t>
  </si>
  <si>
    <t>E1 - Bandeira Tarifária (incremento)</t>
  </si>
  <si>
    <t>E5 - Aumento custos da Construção Civil (diferença)</t>
  </si>
  <si>
    <t>PI da 1a RO (R$) (base nov/2014)</t>
  </si>
  <si>
    <t>Diferença (R$) (base nov/2014)</t>
  </si>
  <si>
    <t>E6 - Frustração de receita na Pandemia (total)</t>
  </si>
  <si>
    <t>(TODOS OS EVENTOS)</t>
  </si>
  <si>
    <t>REEQUILÍBRIO NA TARIFA (%)</t>
  </si>
  <si>
    <t>COMPOSIÇÃO DO PLEITO DA 2ª REVISÃO ORDINÁRIA</t>
  </si>
  <si>
    <t>Eventos</t>
  </si>
  <si>
    <t>Premissas</t>
  </si>
  <si>
    <t>Composição</t>
  </si>
  <si>
    <t>Reequilíbrio</t>
  </si>
  <si>
    <t>Combinações</t>
  </si>
  <si>
    <t>Resumo de Eventos e Combinações</t>
  </si>
  <si>
    <t>E1 - Incidência de Bandeira Tarifária de Escassez Hídrica</t>
  </si>
  <si>
    <t>E2 - Ampliação da Área de Concessão - Vale dos Pássaros (água)</t>
  </si>
  <si>
    <t>E3 - Ampliação da Área de Concessão - Distrito Industrial (água e esgoto)</t>
  </si>
  <si>
    <t>E5 - Variação dos custos da Construção Civil durante e após Pandemia COVID-19</t>
  </si>
  <si>
    <t>Tarifas</t>
  </si>
  <si>
    <t>Serviços</t>
  </si>
  <si>
    <t>E4 - Pré-cloração na ETA e manutenção de Cloro Residual Livre acima de 0,5 mg/L durante Pandemia COVID-19</t>
  </si>
  <si>
    <t>E6 - Frustração de receita e migração de faturamento entre categorias de consumo durante Pandemia COVID-19</t>
  </si>
  <si>
    <t>Fluxo desequilibrado</t>
  </si>
  <si>
    <t>(ANOS 5 a 8 - Agosto/2019 a Julho/2023)</t>
  </si>
  <si>
    <t>Resumo</t>
  </si>
  <si>
    <t>COMPONENTES AFETADAS</t>
  </si>
  <si>
    <t>Depreciação</t>
  </si>
  <si>
    <t>Bomba dosadora 7 bar para Ortopolifosfato</t>
  </si>
  <si>
    <t>Bomba dosadora reserva</t>
  </si>
  <si>
    <t>Bomba dosadora 7 bar para Pré-oxidação</t>
  </si>
  <si>
    <t>Bomba helicoidal</t>
  </si>
  <si>
    <t>Reforma do tanque de sulfato e construção dique</t>
  </si>
  <si>
    <t>QTDE</t>
  </si>
  <si>
    <t>Componente/Ano (final)</t>
  </si>
  <si>
    <t>RECEITA ESGOTO</t>
  </si>
  <si>
    <t>Incremento médio ponderado (R$/MWh)</t>
  </si>
  <si>
    <t>Bandeira Tarifária</t>
  </si>
  <si>
    <t>Incidência nos Anos 1 a 4 (meses)</t>
  </si>
  <si>
    <t>Consumo específico de Energia Elétrica</t>
  </si>
  <si>
    <t>Número Índice IPCA set/2021</t>
  </si>
  <si>
    <t>Incremento (base nov/2014)</t>
  </si>
  <si>
    <t>Atualização de despesa-base com Energia Elétrica (base nov/2014)</t>
  </si>
  <si>
    <t>TIR desequilibrada (%) 
(Contrato = 12,03%)</t>
  </si>
  <si>
    <t>MEDIANA SEM BANANINHA</t>
  </si>
  <si>
    <t>Indústrias</t>
  </si>
  <si>
    <t>ago/19 a jul/20</t>
  </si>
  <si>
    <t>ago/20 a jul/21</t>
  </si>
  <si>
    <t>ago/21 a jul/22</t>
  </si>
  <si>
    <t>Esgoto dual (doméstico e industrial)</t>
  </si>
  <si>
    <t>TODOS OS EVENTOS COMBINADOS</t>
  </si>
  <si>
    <t xml:space="preserve">Valores de tarifas e serviços atualizados </t>
  </si>
  <si>
    <t>Estimativa de consumo (m3/mês)</t>
  </si>
  <si>
    <t>INDÚSTRIAS DE PARAIBUNA</t>
  </si>
  <si>
    <t>PROJEÇÃO ANUAL POR INDÚSTRIA</t>
  </si>
  <si>
    <t>Bananinha (média maio/22 a maio/23)</t>
  </si>
  <si>
    <t>LIPEX  (média maio/22 a maio/23)</t>
  </si>
  <si>
    <t>Flipex (média maio/22 a maio/23)</t>
  </si>
  <si>
    <t>Farinha Paraibuna (média maio/22 a maio/23)</t>
  </si>
  <si>
    <t>Consumo (m3/mês)</t>
  </si>
  <si>
    <t>MEDIANA GERAL</t>
  </si>
  <si>
    <t>FLUXO DE CAIXA DO PROJETO SEM FINANCIAMENTO</t>
  </si>
  <si>
    <t>DEMONSTRATIVO DO RESULTADO DO EXERCÍCIO SEM FINANCIAMENTO</t>
  </si>
  <si>
    <t>E7</t>
  </si>
  <si>
    <t>Reprogramação de investimentos (esgoto)</t>
  </si>
  <si>
    <t>EVENTO 7</t>
  </si>
  <si>
    <t>ago/23 - mar/24</t>
  </si>
  <si>
    <t>ago/24 - mar/25</t>
  </si>
  <si>
    <t>ago/25 - mar/26</t>
  </si>
  <si>
    <t>ago/26 - mar/27</t>
  </si>
  <si>
    <t>ago/27 - mar/28</t>
  </si>
  <si>
    <t>ago/28 - mar/29</t>
  </si>
  <si>
    <t>ago/29 - mar/30</t>
  </si>
  <si>
    <t>ago/30 - mar/31</t>
  </si>
  <si>
    <t>ago/31 - mar/32</t>
  </si>
  <si>
    <t>ago/32 - mar/33</t>
  </si>
  <si>
    <t>ago/33 - mar/34</t>
  </si>
  <si>
    <t>ago/34 - mar/35</t>
  </si>
  <si>
    <t>ago/35 - mar/36</t>
  </si>
  <si>
    <t>ago/36 - mar/37</t>
  </si>
  <si>
    <t>ago/37 - mar/38</t>
  </si>
  <si>
    <t>ago/38 - mar/39</t>
  </si>
  <si>
    <t>ago/39 - mar/40</t>
  </si>
  <si>
    <t>ago/40 - mar/41</t>
  </si>
  <si>
    <t>ago/41 - mar/42</t>
  </si>
  <si>
    <t>ago/42 - mar/43</t>
  </si>
  <si>
    <t>ago/43 - mar/44</t>
  </si>
  <si>
    <t>ago/44 - mar/45</t>
  </si>
  <si>
    <t xml:space="preserve">REPROGRAMAÇÃO DE INVESTIMENTOS </t>
  </si>
  <si>
    <t>Investimento</t>
  </si>
  <si>
    <t>Santa Edwiges e São Germano</t>
  </si>
  <si>
    <t>Chororão</t>
  </si>
  <si>
    <t>Espírito Santo</t>
  </si>
  <si>
    <t>Cedro</t>
  </si>
  <si>
    <t>Teles</t>
  </si>
  <si>
    <t>Ano de Execução Previsto</t>
  </si>
  <si>
    <t>Ano de Execução Reprogramado</t>
  </si>
  <si>
    <t>Valor base atual (jul/2023)</t>
  </si>
  <si>
    <t>Redução de Volume (m3/ano)</t>
  </si>
  <si>
    <t>Variação de OPEX - Pessoal Adm</t>
  </si>
  <si>
    <t>Variação de OPEX - Outras Despesas Adm</t>
  </si>
  <si>
    <t>Variação de OPEX - Energia Elétrica</t>
  </si>
  <si>
    <t>Variação de OPEX - Produtos Químicos</t>
  </si>
  <si>
    <t>Variação de OPEX - Pessoal Operacional</t>
  </si>
  <si>
    <t>Variação de OPEX - Outros Custos</t>
  </si>
  <si>
    <t>Variação de RECEITA BRUTA ÁGUA</t>
  </si>
  <si>
    <t>Variação de RECEITA BRUTA ESGOTO</t>
  </si>
  <si>
    <t>Variação de CAPEX - Esgoto</t>
  </si>
  <si>
    <t>Evento</t>
  </si>
  <si>
    <t>Retirada Chororão</t>
  </si>
  <si>
    <t>Reprogramação Chororão</t>
  </si>
  <si>
    <t>Reprogramação Cedro e Teles</t>
  </si>
  <si>
    <t>REPROGRAMAÇÃO DE INVESTIMENTOS - ESGOTO</t>
  </si>
  <si>
    <t>E7 - Reprogramação de investimentos - Esgoto</t>
  </si>
  <si>
    <t>Anos 9 a 17</t>
  </si>
  <si>
    <t>Necessidade de pré-cloração e correção de pH na ETA por inversão térmica na Represa de Paraibuna e orientação por manutenção de Cloro Residual Livre acima de 0,5 mg/L durante Pandemia COVID-19</t>
  </si>
  <si>
    <t>Consumo médio (2022-2023) (m3/mês)</t>
  </si>
  <si>
    <t>1S2023</t>
  </si>
  <si>
    <t>ago/22 a jul/23</t>
  </si>
  <si>
    <t>Incidência nos Anos 5 a 8 (meses)</t>
  </si>
  <si>
    <t>Anos 6 e 7</t>
  </si>
  <si>
    <t>Reprogramação Espírito Santo, Santa Edwiges e São Germano</t>
  </si>
  <si>
    <t>Retirada Cedro parcial (50%)</t>
  </si>
  <si>
    <t>Retirada Santa Edwiges e São Germano e Cedro parcial (50%)</t>
  </si>
  <si>
    <t>Retirada Espírito Santo e Teles parcial (95%)</t>
  </si>
  <si>
    <t>Retirada Teles parcial (5%)</t>
  </si>
  <si>
    <t>Atual (RES ARES-PCJ 528/2023)</t>
  </si>
  <si>
    <t>ESTRUTURA ATUAL (RES ARES-PCJ 528/2023)</t>
  </si>
  <si>
    <t>ANO 10 (2024-2025)</t>
  </si>
  <si>
    <t>Versão final - 29/02/2024</t>
  </si>
  <si>
    <t>&lt;- início de cada ano de investimento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</si>
</sst>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_(* #,##0.00_);_(* \(#,##0.00\);_(* &quot;-&quot;??_);_(@_)"/>
    <numFmt numFmtId="166" formatCode="_(* #,##0.000000_);_(* \(#,##0.000000\);_(* &quot;-&quot;??????_);_(@_)"/>
    <numFmt numFmtId="167" formatCode="#,##0.000"/>
    <numFmt numFmtId="168" formatCode="0.000000000"/>
    <numFmt numFmtId="169" formatCode="_(* #,##0_);_(* \(#,##0\);_(* &quot;-&quot;??_);_(@_)"/>
    <numFmt numFmtId="170" formatCode="0.0000"/>
    <numFmt numFmtId="171" formatCode="#,##0.0000"/>
    <numFmt numFmtId="172" formatCode="_-* #,##0.000_-;\-* #,##0.000_-;_-* &quot;-&quot;??_-;_-@_-"/>
    <numFmt numFmtId="173" formatCode="[$-416]d\-mmm\-yy;@"/>
    <numFmt numFmtId="174" formatCode="_(&quot;R$ &quot;* #,##0.00_);_(&quot;R$ &quot;* \(#,##0.00\);_(&quot;R$ &quot;* &quot;-&quot;??_);_(@_)"/>
    <numFmt numFmtId="175" formatCode="&quot;R$ &quot;#,##0"/>
    <numFmt numFmtId="176" formatCode="_-* #,##0_-;\-* #,##0_-;_-* &quot;-&quot;??_-;_-@_-"/>
    <numFmt numFmtId="177" formatCode="0.0000%"/>
    <numFmt numFmtId="178" formatCode="General_)"/>
    <numFmt numFmtId="179" formatCode="0\ &quot;ANOS&quot;"/>
    <numFmt numFmtId="180" formatCode="0.00_)"/>
    <numFmt numFmtId="181" formatCode="#,##0.0000;[Red]\-#,##0.0000"/>
    <numFmt numFmtId="182" formatCode="&quot;R$ &quot;#,##0.00"/>
    <numFmt numFmtId="183" formatCode="&quot;R$ &quot;#,##0.0000"/>
    <numFmt numFmtId="184" formatCode="_(* #,##0.00000_);_(* \(#,##0.00000\);_(* &quot;-&quot;??_);_(@_)"/>
    <numFmt numFmtId="185" formatCode="0.00000"/>
    <numFmt numFmtId="186" formatCode="0.0%"/>
    <numFmt numFmtId="187" formatCode="#,##0.0"/>
    <numFmt numFmtId="188" formatCode="0.000%"/>
    <numFmt numFmtId="189" formatCode="&quot;R$&quot;#,##0.00"/>
    <numFmt numFmtId="190" formatCode="0.0"/>
    <numFmt numFmtId="191" formatCode="#,##0.0000;\-#,##0.0000"/>
    <numFmt numFmtId="192" formatCode="0.000"/>
    <numFmt numFmtId="193" formatCode="[$-416]mmm\-yy;@"/>
    <numFmt numFmtId="194" formatCode="_(* #,##0.000_);_(* \(#,##0.000\);_(* &quot;-&quot;??_);_(@_)"/>
    <numFmt numFmtId="195" formatCode="[$-416]mmmm\-yy;@"/>
  </numFmts>
  <fonts count="11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vantGarde Bk BT"/>
      <family val="2"/>
    </font>
    <font>
      <sz val="14"/>
      <name val="AvantGarde Bk BT"/>
      <family val="2"/>
    </font>
    <font>
      <sz val="10"/>
      <name val="AvantGarde Bk BT"/>
      <family val="2"/>
    </font>
    <font>
      <b/>
      <sz val="10"/>
      <name val="AvantGarde Bk BT"/>
      <family val="2"/>
    </font>
    <font>
      <b/>
      <sz val="10"/>
      <name val="AvantGarde Bk BT"/>
    </font>
    <font>
      <sz val="10"/>
      <name val="AvantGarde Bk BT"/>
    </font>
    <font>
      <sz val="9"/>
      <name val="AvantGarde Bk BT"/>
    </font>
    <font>
      <b/>
      <sz val="8"/>
      <name val="AvantGarde Bk BT"/>
    </font>
    <font>
      <b/>
      <sz val="7"/>
      <name val="AvantGarde Bk BT"/>
    </font>
    <font>
      <sz val="8"/>
      <name val="Arial"/>
      <family val="2"/>
    </font>
    <font>
      <sz val="10"/>
      <name val="Arial Narrow"/>
      <family val="2"/>
    </font>
    <font>
      <b/>
      <sz val="11"/>
      <name val="AvantGarde Bk BT"/>
      <family val="2"/>
    </font>
    <font>
      <b/>
      <sz val="12"/>
      <name val="AvantGarde Bk BT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Calibri"/>
      <family val="2"/>
      <scheme val="minor"/>
    </font>
    <font>
      <sz val="9"/>
      <name val="Tahoma"/>
      <family val="2"/>
    </font>
    <font>
      <sz val="9"/>
      <color theme="1"/>
      <name val="Tahoma"/>
      <family val="2"/>
    </font>
    <font>
      <b/>
      <sz val="8"/>
      <name val="Tahoma"/>
      <family val="2"/>
    </font>
    <font>
      <b/>
      <sz val="9"/>
      <name val="Tahoma"/>
      <family val="2"/>
    </font>
    <font>
      <b/>
      <sz val="9"/>
      <color indexed="8"/>
      <name val="Tahoma"/>
      <family val="2"/>
    </font>
    <font>
      <b/>
      <sz val="9"/>
      <color theme="1"/>
      <name val="Tahoma"/>
      <family val="2"/>
    </font>
    <font>
      <b/>
      <sz val="16"/>
      <name val="Calibri"/>
      <family val="2"/>
      <scheme val="minor"/>
    </font>
    <font>
      <sz val="10"/>
      <name val="Calibri"/>
      <family val="2"/>
    </font>
    <font>
      <sz val="10"/>
      <name val="Courier"/>
      <family val="3"/>
    </font>
    <font>
      <b/>
      <sz val="8"/>
      <name val="Calibri"/>
      <family val="2"/>
      <scheme val="minor"/>
    </font>
    <font>
      <b/>
      <sz val="12"/>
      <name val="Arial"/>
      <family val="2"/>
    </font>
    <font>
      <b/>
      <i/>
      <sz val="11"/>
      <name val="Arial"/>
      <family val="2"/>
    </font>
    <font>
      <sz val="11"/>
      <color theme="1"/>
      <name val="Arial"/>
      <family val="2"/>
    </font>
    <font>
      <sz val="9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F0000"/>
      <name val="Arial"/>
      <family val="2"/>
    </font>
    <font>
      <b/>
      <sz val="14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1.5"/>
      <color rgb="FF000000"/>
      <name val="Calibri"/>
      <family val="2"/>
    </font>
    <font>
      <sz val="11.5"/>
      <name val="Calibri"/>
      <family val="2"/>
    </font>
    <font>
      <sz val="11"/>
      <color rgb="FF0070C0"/>
      <name val="Arial"/>
      <family val="2"/>
    </font>
    <font>
      <b/>
      <sz val="11"/>
      <color rgb="FF0070C0"/>
      <name val="Arial"/>
      <family val="2"/>
    </font>
    <font>
      <b/>
      <sz val="11"/>
      <color theme="4"/>
      <name val="Arial"/>
      <family val="2"/>
    </font>
    <font>
      <b/>
      <sz val="14"/>
      <color theme="4"/>
      <name val="Calibri"/>
      <family val="2"/>
      <scheme val="minor"/>
    </font>
    <font>
      <sz val="9"/>
      <color rgb="FFFF0000"/>
      <name val="Tahom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Tahoma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2"/>
      <name val="Calibri"/>
      <family val="2"/>
    </font>
    <font>
      <b/>
      <sz val="12"/>
      <color rgb="FF000000"/>
      <name val="Calibri"/>
      <family val="2"/>
    </font>
    <font>
      <b/>
      <sz val="18"/>
      <color theme="3"/>
      <name val="Arial"/>
      <family val="2"/>
    </font>
    <font>
      <b/>
      <sz val="18"/>
      <color rgb="FFFF000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6" tint="0.59999389629810485"/>
      <name val="Arial"/>
      <family val="2"/>
    </font>
    <font>
      <b/>
      <sz val="16"/>
      <color theme="0"/>
      <name val="Arial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9"/>
      <color theme="3"/>
      <name val="Arial"/>
      <family val="2"/>
    </font>
    <font>
      <b/>
      <sz val="10"/>
      <color rgb="FF0070C0"/>
      <name val="Arial"/>
      <family val="2"/>
    </font>
    <font>
      <sz val="9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9"/>
      <color theme="0"/>
      <name val="Tahoma"/>
      <family val="2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BFBFBF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</fills>
  <borders count="20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theme="4" tint="0.79998168889431442"/>
      </bottom>
      <diagonal/>
    </border>
    <border>
      <left style="medium">
        <color indexed="64"/>
      </left>
      <right style="medium">
        <color indexed="64"/>
      </right>
      <top/>
      <bottom style="hair">
        <color theme="4" tint="0.79998168889431442"/>
      </bottom>
      <diagonal/>
    </border>
    <border>
      <left style="thin">
        <color indexed="64"/>
      </left>
      <right/>
      <top style="hair">
        <color theme="3" tint="0.79998168889431442"/>
      </top>
      <bottom style="hair">
        <color theme="3" tint="0.79998168889431442"/>
      </bottom>
      <diagonal/>
    </border>
    <border>
      <left style="medium">
        <color indexed="64"/>
      </left>
      <right style="medium">
        <color indexed="64"/>
      </right>
      <top style="hair">
        <color theme="3" tint="0.79998168889431442"/>
      </top>
      <bottom style="hair">
        <color theme="3" tint="0.79998168889431442"/>
      </bottom>
      <diagonal/>
    </border>
    <border>
      <left style="medium">
        <color indexed="64"/>
      </left>
      <right style="medium">
        <color indexed="64"/>
      </right>
      <top style="hair">
        <color theme="4" tint="0.79998168889431442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theme="4" tint="0.79998168889431442"/>
      </bottom>
      <diagonal/>
    </border>
    <border>
      <left style="thin">
        <color indexed="64"/>
      </left>
      <right style="thin">
        <color indexed="64"/>
      </right>
      <top/>
      <bottom style="hair">
        <color theme="3" tint="0.79998168889431442"/>
      </bottom>
      <diagonal/>
    </border>
    <border>
      <left style="thin">
        <color indexed="64"/>
      </left>
      <right/>
      <top/>
      <bottom style="hair">
        <color theme="3" tint="0.79998168889431442"/>
      </bottom>
      <diagonal/>
    </border>
    <border>
      <left style="medium">
        <color indexed="64"/>
      </left>
      <right style="thin">
        <color indexed="64"/>
      </right>
      <top/>
      <bottom style="hair">
        <color theme="4" tint="0.79998168889431442"/>
      </bottom>
      <diagonal/>
    </border>
    <border>
      <left style="thin">
        <color indexed="64"/>
      </left>
      <right style="thin">
        <color indexed="64"/>
      </right>
      <top style="hair">
        <color theme="3" tint="0.79998168889431442"/>
      </top>
      <bottom style="hair">
        <color theme="3" tint="0.79998168889431442"/>
      </bottom>
      <diagonal/>
    </border>
    <border>
      <left style="thin">
        <color indexed="64"/>
      </left>
      <right style="thin">
        <color indexed="64"/>
      </right>
      <top style="hair">
        <color theme="3" tint="0.79998168889431442"/>
      </top>
      <bottom style="medium">
        <color indexed="64"/>
      </bottom>
      <diagonal/>
    </border>
    <border>
      <left style="thin">
        <color indexed="64"/>
      </left>
      <right/>
      <top style="hair">
        <color theme="3" tint="0.79998168889431442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theme="3" tint="0.7999816888943144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theme="3" tint="0.79998168889431442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hair">
        <color theme="3" tint="0.79998168889431442"/>
      </top>
      <bottom style="medium">
        <color indexed="64"/>
      </bottom>
      <diagonal/>
    </border>
    <border>
      <left/>
      <right/>
      <top/>
      <bottom style="hair">
        <color theme="3" tint="0.79998168889431442"/>
      </bottom>
      <diagonal/>
    </border>
    <border>
      <left/>
      <right/>
      <top style="hair">
        <color theme="3" tint="0.7999816888943144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hair">
        <color theme="3" tint="0.7999816888943144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theme="4" tint="0.7999816888943144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theme="4" tint="0.79998168889431442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theme="4" tint="0.79998168889431442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9CC2E5"/>
      </left>
      <right style="medium">
        <color rgb="FF9CC2E5"/>
      </right>
      <top/>
      <bottom style="medium">
        <color rgb="FF9CC2E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5B9BD5"/>
      </left>
      <right style="medium">
        <color rgb="FF5B9BD5"/>
      </right>
      <top style="medium">
        <color rgb="FF5B9BD5"/>
      </top>
      <bottom style="medium">
        <color rgb="FF5B9BD5"/>
      </bottom>
      <diagonal/>
    </border>
    <border>
      <left style="medium">
        <color indexed="64"/>
      </left>
      <right style="thin">
        <color indexed="64"/>
      </right>
      <top style="hair">
        <color theme="4" tint="0.7999816888943144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4" tint="0.7999816888943144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theme="4" tint="0.7999816888943144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theme="4" tint="0.7999816888943144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theme="4" tint="0.79998168889431442"/>
      </bottom>
      <diagonal/>
    </border>
    <border>
      <left style="thin">
        <color indexed="64"/>
      </left>
      <right style="medium">
        <color indexed="64"/>
      </right>
      <top/>
      <bottom style="hair">
        <color theme="4" tint="0.79998168889431442"/>
      </bottom>
      <diagonal/>
    </border>
    <border>
      <left style="medium">
        <color indexed="64"/>
      </left>
      <right style="thin">
        <color indexed="64"/>
      </right>
      <top style="hair">
        <color theme="4" tint="0.79998168889431442"/>
      </top>
      <bottom style="hair">
        <color theme="4" tint="0.79998168889431442"/>
      </bottom>
      <diagonal/>
    </border>
    <border>
      <left style="thin">
        <color indexed="64"/>
      </left>
      <right style="thin">
        <color indexed="64"/>
      </right>
      <top style="hair">
        <color theme="4" tint="0.79998168889431442"/>
      </top>
      <bottom style="hair">
        <color theme="4" tint="0.79998168889431442"/>
      </bottom>
      <diagonal/>
    </border>
    <border>
      <left style="thin">
        <color indexed="64"/>
      </left>
      <right style="medium">
        <color indexed="64"/>
      </right>
      <top style="hair">
        <color theme="4" tint="0.79998168889431442"/>
      </top>
      <bottom style="hair">
        <color theme="4" tint="0.79998168889431442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/>
      <bottom style="double">
        <color theme="0"/>
      </bottom>
      <diagonal/>
    </border>
    <border>
      <left style="double">
        <color theme="0"/>
      </left>
      <right/>
      <top style="double">
        <color theme="0"/>
      </top>
      <bottom/>
      <diagonal/>
    </border>
    <border>
      <left/>
      <right/>
      <top style="double">
        <color theme="0"/>
      </top>
      <bottom/>
      <diagonal/>
    </border>
    <border>
      <left/>
      <right style="double">
        <color theme="0"/>
      </right>
      <top style="double">
        <color theme="0"/>
      </top>
      <bottom/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double">
        <color theme="0"/>
      </left>
      <right/>
      <top/>
      <bottom style="double">
        <color theme="0"/>
      </bottom>
      <diagonal/>
    </border>
    <border>
      <left/>
      <right style="double">
        <color theme="0"/>
      </right>
      <top/>
      <bottom style="double">
        <color theme="0"/>
      </bottom>
      <diagonal/>
    </border>
  </borders>
  <cellStyleXfs count="93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13" fillId="0" borderId="0"/>
    <xf numFmtId="44" fontId="27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" fillId="0" borderId="0"/>
    <xf numFmtId="178" fontId="44" fillId="0" borderId="0"/>
    <xf numFmtId="165" fontId="2" fillId="0" borderId="0" applyFont="0" applyFill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5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6" borderId="0" applyNumberFormat="0" applyBorder="0" applyAlignment="0" applyProtection="0"/>
    <xf numFmtId="0" fontId="76" fillId="27" borderId="0" applyNumberFormat="0" applyBorder="0" applyAlignment="0" applyProtection="0"/>
    <xf numFmtId="0" fontId="76" fillId="28" borderId="0" applyNumberFormat="0" applyBorder="0" applyAlignment="0" applyProtection="0"/>
    <xf numFmtId="0" fontId="76" fillId="29" borderId="0" applyNumberFormat="0" applyBorder="0" applyAlignment="0" applyProtection="0"/>
    <xf numFmtId="0" fontId="76" fillId="23" borderId="0" applyNumberFormat="0" applyBorder="0" applyAlignment="0" applyProtection="0"/>
    <xf numFmtId="0" fontId="76" fillId="27" borderId="0" applyNumberFormat="0" applyBorder="0" applyAlignment="0" applyProtection="0"/>
    <xf numFmtId="0" fontId="76" fillId="30" borderId="0" applyNumberFormat="0" applyBorder="0" applyAlignment="0" applyProtection="0"/>
    <xf numFmtId="0" fontId="76" fillId="27" borderId="0" applyNumberFormat="0" applyBorder="0" applyAlignment="0" applyProtection="0"/>
    <xf numFmtId="0" fontId="76" fillId="28" borderId="0" applyNumberFormat="0" applyBorder="0" applyAlignment="0" applyProtection="0"/>
    <xf numFmtId="0" fontId="76" fillId="29" borderId="0" applyNumberFormat="0" applyBorder="0" applyAlignment="0" applyProtection="0"/>
    <xf numFmtId="0" fontId="76" fillId="23" borderId="0" applyNumberFormat="0" applyBorder="0" applyAlignment="0" applyProtection="0"/>
    <xf numFmtId="0" fontId="76" fillId="27" borderId="0" applyNumberFormat="0" applyBorder="0" applyAlignment="0" applyProtection="0"/>
    <xf numFmtId="0" fontId="76" fillId="30" borderId="0" applyNumberFormat="0" applyBorder="0" applyAlignment="0" applyProtection="0"/>
    <xf numFmtId="0" fontId="82" fillId="31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82" fillId="34" borderId="0" applyNumberFormat="0" applyBorder="0" applyAlignment="0" applyProtection="0"/>
    <xf numFmtId="0" fontId="82" fillId="31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82" fillId="34" borderId="0" applyNumberFormat="0" applyBorder="0" applyAlignment="0" applyProtection="0"/>
    <xf numFmtId="0" fontId="82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82" fillId="38" borderId="0" applyNumberFormat="0" applyBorder="0" applyAlignment="0" applyProtection="0"/>
    <xf numFmtId="0" fontId="87" fillId="21" borderId="0" applyNumberFormat="0" applyBorder="0" applyAlignment="0" applyProtection="0"/>
    <xf numFmtId="0" fontId="83" fillId="22" borderId="0" applyNumberFormat="0" applyBorder="0" applyAlignment="0" applyProtection="0"/>
    <xf numFmtId="0" fontId="84" fillId="26" borderId="175" applyNumberFormat="0" applyAlignment="0" applyProtection="0"/>
    <xf numFmtId="0" fontId="84" fillId="26" borderId="175" applyNumberFormat="0" applyAlignment="0" applyProtection="0"/>
    <xf numFmtId="0" fontId="85" fillId="39" borderId="176" applyNumberFormat="0" applyAlignment="0" applyProtection="0"/>
    <xf numFmtId="0" fontId="77" fillId="0" borderId="177" applyNumberFormat="0" applyFill="0" applyAlignment="0" applyProtection="0"/>
    <xf numFmtId="0" fontId="85" fillId="39" borderId="176" applyNumberFormat="0" applyAlignment="0" applyProtection="0"/>
    <xf numFmtId="0" fontId="82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82" fillId="38" borderId="0" applyNumberFormat="0" applyBorder="0" applyAlignment="0" applyProtection="0"/>
    <xf numFmtId="0" fontId="86" fillId="26" borderId="175" applyNumberFormat="0" applyAlignment="0" applyProtection="0"/>
    <xf numFmtId="0" fontId="91" fillId="0" borderId="0" applyNumberFormat="0" applyFill="0" applyBorder="0" applyAlignment="0" applyProtection="0"/>
    <xf numFmtId="0" fontId="83" fillId="22" borderId="0" applyNumberFormat="0" applyBorder="0" applyAlignment="0" applyProtection="0"/>
    <xf numFmtId="0" fontId="79" fillId="0" borderId="178" applyNumberFormat="0" applyFill="0" applyAlignment="0" applyProtection="0"/>
    <xf numFmtId="0" fontId="80" fillId="0" borderId="179" applyNumberFormat="0" applyFill="0" applyAlignment="0" applyProtection="0"/>
    <xf numFmtId="0" fontId="81" fillId="0" borderId="180" applyNumberFormat="0" applyFill="0" applyAlignment="0" applyProtection="0"/>
    <xf numFmtId="0" fontId="81" fillId="0" borderId="0" applyNumberFormat="0" applyFill="0" applyBorder="0" applyAlignment="0" applyProtection="0"/>
    <xf numFmtId="0" fontId="86" fillId="25" borderId="175" applyNumberFormat="0" applyAlignment="0" applyProtection="0"/>
    <xf numFmtId="0" fontId="77" fillId="0" borderId="177" applyNumberFormat="0" applyFill="0" applyAlignment="0" applyProtection="0"/>
    <xf numFmtId="0" fontId="88" fillId="40" borderId="0" applyNumberFormat="0" applyBorder="0" applyAlignment="0" applyProtection="0"/>
    <xf numFmtId="0" fontId="2" fillId="41" borderId="181" applyNumberFormat="0" applyFont="0" applyAlignment="0" applyProtection="0"/>
    <xf numFmtId="0" fontId="76" fillId="41" borderId="181" applyNumberFormat="0" applyFont="0" applyAlignment="0" applyProtection="0"/>
    <xf numFmtId="0" fontId="89" fillId="26" borderId="182" applyNumberFormat="0" applyAlignment="0" applyProtection="0"/>
    <xf numFmtId="0" fontId="89" fillId="26" borderId="182" applyNumberFormat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178" applyNumberFormat="0" applyFill="0" applyAlignment="0" applyProtection="0"/>
    <xf numFmtId="0" fontId="80" fillId="0" borderId="179" applyNumberFormat="0" applyFill="0" applyAlignment="0" applyProtection="0"/>
    <xf numFmtId="0" fontId="81" fillId="0" borderId="180" applyNumberFormat="0" applyFill="0" applyAlignment="0" applyProtection="0"/>
    <xf numFmtId="0" fontId="81" fillId="0" borderId="0" applyNumberFormat="0" applyFill="0" applyBorder="0" applyAlignment="0" applyProtection="0"/>
    <xf numFmtId="0" fontId="92" fillId="0" borderId="183" applyNumberFormat="0" applyFill="0" applyAlignment="0" applyProtection="0"/>
    <xf numFmtId="0" fontId="90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02" fillId="0" borderId="0" applyNumberFormat="0" applyFill="0" applyBorder="0" applyAlignment="0" applyProtection="0"/>
  </cellStyleXfs>
  <cellXfs count="1736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165" fontId="5" fillId="0" borderId="0" xfId="3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0" borderId="0" xfId="0" applyAlignment="1">
      <alignment horizontal="center"/>
    </xf>
    <xf numFmtId="165" fontId="5" fillId="0" borderId="0" xfId="3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7" fontId="0" fillId="0" borderId="0" xfId="0" applyNumberFormat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3" fontId="9" fillId="0" borderId="6" xfId="0" applyNumberFormat="1" applyFont="1" applyBorder="1" applyAlignment="1">
      <alignment horizontal="center" vertical="center"/>
    </xf>
    <xf numFmtId="4" fontId="9" fillId="0" borderId="5" xfId="0" applyNumberFormat="1" applyFont="1" applyBorder="1" applyAlignment="1">
      <alignment horizontal="center" vertical="center"/>
    </xf>
    <xf numFmtId="4" fontId="9" fillId="0" borderId="7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3" fontId="9" fillId="0" borderId="24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3" fontId="9" fillId="0" borderId="2" xfId="0" applyNumberFormat="1" applyFont="1" applyBorder="1" applyAlignment="1">
      <alignment horizontal="center" vertical="center"/>
    </xf>
    <xf numFmtId="4" fontId="9" fillId="0" borderId="11" xfId="0" applyNumberFormat="1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7" fillId="0" borderId="4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" fillId="0" borderId="12" xfId="0" applyFont="1" applyBorder="1" applyAlignment="1">
      <alignment vertical="center"/>
    </xf>
    <xf numFmtId="0" fontId="20" fillId="0" borderId="13" xfId="0" applyFont="1" applyBorder="1" applyAlignment="1">
      <alignment vertical="center"/>
    </xf>
    <xf numFmtId="0" fontId="20" fillId="0" borderId="14" xfId="0" applyFont="1" applyBorder="1" applyAlignment="1">
      <alignment vertical="center"/>
    </xf>
    <xf numFmtId="0" fontId="20" fillId="0" borderId="15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0" fillId="0" borderId="17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2" fillId="0" borderId="0" xfId="0" applyFont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3" fontId="23" fillId="0" borderId="19" xfId="0" applyNumberFormat="1" applyFont="1" applyBorder="1" applyAlignment="1">
      <alignment horizontal="center" vertical="center"/>
    </xf>
    <xf numFmtId="10" fontId="23" fillId="0" borderId="2" xfId="2" applyNumberFormat="1" applyFont="1" applyBorder="1" applyAlignment="1">
      <alignment horizontal="center" vertical="center"/>
    </xf>
    <xf numFmtId="3" fontId="23" fillId="0" borderId="20" xfId="0" applyNumberFormat="1" applyFont="1" applyBorder="1" applyAlignment="1">
      <alignment horizontal="center" vertical="center"/>
    </xf>
    <xf numFmtId="9" fontId="24" fillId="0" borderId="21" xfId="2" applyFont="1" applyBorder="1" applyAlignment="1">
      <alignment horizontal="center" vertical="center"/>
    </xf>
    <xf numFmtId="3" fontId="24" fillId="0" borderId="22" xfId="0" applyNumberFormat="1" applyFont="1" applyBorder="1" applyAlignment="1">
      <alignment horizontal="center" vertical="center"/>
    </xf>
    <xf numFmtId="9" fontId="24" fillId="0" borderId="9" xfId="2" applyFont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3" fontId="24" fillId="0" borderId="24" xfId="0" applyNumberFormat="1" applyFont="1" applyBorder="1" applyAlignment="1">
      <alignment horizontal="center" vertical="center"/>
    </xf>
    <xf numFmtId="9" fontId="24" fillId="0" borderId="26" xfId="2" applyFont="1" applyBorder="1" applyAlignment="1">
      <alignment horizontal="center" vertical="center"/>
    </xf>
    <xf numFmtId="3" fontId="24" fillId="0" borderId="25" xfId="0" applyNumberFormat="1" applyFont="1" applyBorder="1" applyAlignment="1">
      <alignment horizontal="center" vertical="center"/>
    </xf>
    <xf numFmtId="9" fontId="24" fillId="0" borderId="1" xfId="2" applyFont="1" applyBorder="1" applyAlignment="1">
      <alignment horizontal="center" vertical="center"/>
    </xf>
    <xf numFmtId="3" fontId="24" fillId="0" borderId="5" xfId="0" applyNumberFormat="1" applyFont="1" applyBorder="1" applyAlignment="1">
      <alignment horizontal="center" vertical="center"/>
    </xf>
    <xf numFmtId="1" fontId="20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27" xfId="0" applyFont="1" applyBorder="1" applyAlignment="1">
      <alignment horizontal="center" vertical="center"/>
    </xf>
    <xf numFmtId="3" fontId="24" fillId="0" borderId="28" xfId="0" applyNumberFormat="1" applyFont="1" applyBorder="1" applyAlignment="1">
      <alignment horizontal="center" vertical="center"/>
    </xf>
    <xf numFmtId="9" fontId="24" fillId="0" borderId="30" xfId="2" applyFont="1" applyBorder="1" applyAlignment="1">
      <alignment horizontal="center" vertical="center"/>
    </xf>
    <xf numFmtId="3" fontId="24" fillId="0" borderId="29" xfId="0" applyNumberFormat="1" applyFont="1" applyBorder="1" applyAlignment="1">
      <alignment horizontal="center" vertical="center"/>
    </xf>
    <xf numFmtId="9" fontId="24" fillId="0" borderId="6" xfId="2" applyFont="1" applyBorder="1" applyAlignment="1">
      <alignment horizontal="center" vertical="center"/>
    </xf>
    <xf numFmtId="3" fontId="24" fillId="0" borderId="7" xfId="0" applyNumberFormat="1" applyFont="1" applyBorder="1" applyAlignment="1">
      <alignment horizontal="center" vertical="center"/>
    </xf>
    <xf numFmtId="169" fontId="2" fillId="0" borderId="0" xfId="3" applyNumberFormat="1" applyAlignment="1">
      <alignment vertical="center"/>
    </xf>
    <xf numFmtId="166" fontId="2" fillId="0" borderId="0" xfId="0" applyNumberFormat="1" applyFont="1" applyAlignment="1">
      <alignment vertical="center"/>
    </xf>
    <xf numFmtId="0" fontId="20" fillId="0" borderId="18" xfId="0" applyFont="1" applyBorder="1" applyAlignment="1">
      <alignment horizontal="center" vertical="center"/>
    </xf>
    <xf numFmtId="3" fontId="24" fillId="0" borderId="19" xfId="0" applyNumberFormat="1" applyFont="1" applyBorder="1" applyAlignment="1">
      <alignment horizontal="center" vertical="center"/>
    </xf>
    <xf numFmtId="3" fontId="24" fillId="0" borderId="20" xfId="0" applyNumberFormat="1" applyFont="1" applyBorder="1" applyAlignment="1">
      <alignment horizontal="center" vertical="center"/>
    </xf>
    <xf numFmtId="10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4" fillId="0" borderId="1" xfId="0" applyNumberFormat="1" applyFont="1" applyBorder="1" applyAlignment="1">
      <alignment horizontal="center" vertical="center"/>
    </xf>
    <xf numFmtId="3" fontId="24" fillId="0" borderId="34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170" fontId="25" fillId="0" borderId="3" xfId="0" applyNumberFormat="1" applyFont="1" applyBorder="1" applyAlignment="1" applyProtection="1">
      <alignment horizontal="center" vertical="center" wrapText="1"/>
      <protection hidden="1"/>
    </xf>
    <xf numFmtId="0" fontId="25" fillId="0" borderId="2" xfId="0" applyFont="1" applyBorder="1" applyAlignment="1" applyProtection="1">
      <alignment vertical="center" wrapText="1"/>
      <protection hidden="1"/>
    </xf>
    <xf numFmtId="0" fontId="17" fillId="0" borderId="1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center" vertical="center"/>
    </xf>
    <xf numFmtId="3" fontId="18" fillId="0" borderId="2" xfId="0" applyNumberFormat="1" applyFont="1" applyBorder="1" applyAlignment="1">
      <alignment horizontal="center" vertical="center"/>
    </xf>
    <xf numFmtId="2" fontId="18" fillId="0" borderId="48" xfId="0" applyNumberFormat="1" applyFont="1" applyBorder="1" applyAlignment="1" applyProtection="1">
      <alignment horizontal="center" vertical="center"/>
      <protection hidden="1"/>
    </xf>
    <xf numFmtId="170" fontId="18" fillId="0" borderId="48" xfId="0" applyNumberFormat="1" applyFont="1" applyBorder="1" applyAlignment="1" applyProtection="1">
      <alignment horizontal="center" vertical="center"/>
      <protection hidden="1"/>
    </xf>
    <xf numFmtId="0" fontId="17" fillId="0" borderId="23" xfId="0" applyFont="1" applyBorder="1" applyAlignment="1">
      <alignment horizontal="center" vertical="center"/>
    </xf>
    <xf numFmtId="2" fontId="18" fillId="0" borderId="49" xfId="0" applyNumberFormat="1" applyFont="1" applyBorder="1" applyAlignment="1" applyProtection="1">
      <alignment horizontal="center" vertical="center"/>
      <protection hidden="1"/>
    </xf>
    <xf numFmtId="0" fontId="17" fillId="0" borderId="27" xfId="0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4" fontId="18" fillId="0" borderId="19" xfId="0" applyNumberFormat="1" applyFont="1" applyBorder="1" applyAlignment="1">
      <alignment horizontal="center" vertical="center"/>
    </xf>
    <xf numFmtId="4" fontId="18" fillId="0" borderId="2" xfId="0" applyNumberFormat="1" applyFont="1" applyBorder="1" applyAlignment="1">
      <alignment horizontal="center" vertical="center"/>
    </xf>
    <xf numFmtId="4" fontId="18" fillId="0" borderId="11" xfId="0" applyNumberFormat="1" applyFont="1" applyBorder="1" applyAlignment="1">
      <alignment horizontal="center" vertical="center"/>
    </xf>
    <xf numFmtId="4" fontId="18" fillId="0" borderId="1" xfId="0" applyNumberFormat="1" applyFont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vertical="center"/>
    </xf>
    <xf numFmtId="2" fontId="18" fillId="0" borderId="51" xfId="0" applyNumberFormat="1" applyFont="1" applyBorder="1" applyAlignment="1">
      <alignment horizontal="center" vertical="center"/>
    </xf>
    <xf numFmtId="2" fontId="18" fillId="0" borderId="49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20" fillId="2" borderId="37" xfId="0" applyFont="1" applyFill="1" applyBorder="1" applyAlignment="1">
      <alignment horizontal="center" vertical="center"/>
    </xf>
    <xf numFmtId="4" fontId="24" fillId="0" borderId="2" xfId="0" applyNumberFormat="1" applyFont="1" applyBorder="1" applyAlignment="1">
      <alignment horizontal="center" vertical="center"/>
    </xf>
    <xf numFmtId="9" fontId="24" fillId="0" borderId="2" xfId="2" applyFont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/>
    </xf>
    <xf numFmtId="4" fontId="2" fillId="0" borderId="0" xfId="0" applyNumberFormat="1" applyFont="1" applyAlignment="1">
      <alignment vertical="center"/>
    </xf>
    <xf numFmtId="3" fontId="0" fillId="0" borderId="49" xfId="0" applyNumberFormat="1" applyBorder="1" applyAlignment="1" applyProtection="1">
      <alignment horizontal="center" vertical="center"/>
      <protection hidden="1"/>
    </xf>
    <xf numFmtId="4" fontId="0" fillId="0" borderId="49" xfId="0" applyNumberFormat="1" applyBorder="1" applyAlignment="1" applyProtection="1">
      <alignment horizontal="center" vertical="center"/>
      <protection hidden="1"/>
    </xf>
    <xf numFmtId="3" fontId="0" fillId="0" borderId="52" xfId="0" applyNumberFormat="1" applyBorder="1" applyAlignment="1" applyProtection="1">
      <alignment horizontal="center" vertical="center"/>
      <protection hidden="1"/>
    </xf>
    <xf numFmtId="3" fontId="0" fillId="0" borderId="50" xfId="0" applyNumberFormat="1" applyBorder="1" applyAlignment="1" applyProtection="1">
      <alignment horizontal="center" vertical="center"/>
      <protection hidden="1"/>
    </xf>
    <xf numFmtId="3" fontId="0" fillId="0" borderId="53" xfId="0" applyNumberFormat="1" applyBorder="1" applyAlignment="1" applyProtection="1">
      <alignment horizontal="center" vertical="center"/>
      <protection hidden="1"/>
    </xf>
    <xf numFmtId="3" fontId="0" fillId="0" borderId="54" xfId="0" applyNumberFormat="1" applyBorder="1" applyAlignment="1" applyProtection="1">
      <alignment horizontal="center" vertical="center"/>
      <protection hidden="1"/>
    </xf>
    <xf numFmtId="0" fontId="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/>
    </xf>
    <xf numFmtId="44" fontId="5" fillId="0" borderId="0" xfId="5" applyFont="1" applyAlignment="1">
      <alignment horizontal="center" vertical="center"/>
    </xf>
    <xf numFmtId="9" fontId="9" fillId="0" borderId="0" xfId="2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44" fontId="5" fillId="0" borderId="0" xfId="5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4" fontId="18" fillId="0" borderId="1" xfId="0" quotePrefix="1" applyNumberFormat="1" applyFont="1" applyBorder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65" fontId="18" fillId="0" borderId="0" xfId="3" applyFont="1" applyAlignment="1">
      <alignment vertical="center"/>
    </xf>
    <xf numFmtId="4" fontId="17" fillId="0" borderId="0" xfId="0" applyNumberFormat="1" applyFont="1" applyAlignment="1">
      <alignment vertical="center"/>
    </xf>
    <xf numFmtId="1" fontId="18" fillId="0" borderId="0" xfId="0" applyNumberFormat="1" applyFont="1" applyAlignment="1">
      <alignment horizontal="center" vertical="center"/>
    </xf>
    <xf numFmtId="165" fontId="6" fillId="0" borderId="0" xfId="3" applyFont="1" applyAlignment="1">
      <alignment vertical="center"/>
    </xf>
    <xf numFmtId="0" fontId="4" fillId="0" borderId="0" xfId="0" applyFont="1" applyAlignment="1">
      <alignment horizontal="center" vertical="center"/>
    </xf>
    <xf numFmtId="165" fontId="6" fillId="0" borderId="0" xfId="3" applyFont="1" applyAlignment="1">
      <alignment horizontal="center" vertical="center"/>
    </xf>
    <xf numFmtId="169" fontId="6" fillId="0" borderId="0" xfId="3" applyNumberFormat="1" applyFont="1" applyAlignment="1">
      <alignment vertical="center"/>
    </xf>
    <xf numFmtId="169" fontId="5" fillId="0" borderId="0" xfId="3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3" fontId="9" fillId="0" borderId="19" xfId="0" applyNumberFormat="1" applyFont="1" applyBorder="1" applyAlignment="1">
      <alignment horizontal="center" vertical="center"/>
    </xf>
    <xf numFmtId="3" fontId="9" fillId="3" borderId="19" xfId="0" applyNumberFormat="1" applyFont="1" applyFill="1" applyBorder="1" applyAlignment="1">
      <alignment horizontal="center" vertical="center"/>
    </xf>
    <xf numFmtId="3" fontId="0" fillId="0" borderId="61" xfId="0" applyNumberFormat="1" applyBorder="1" applyAlignment="1" applyProtection="1">
      <alignment horizontal="center" vertical="center"/>
      <protection hidden="1"/>
    </xf>
    <xf numFmtId="9" fontId="0" fillId="0" borderId="52" xfId="2" applyFont="1" applyBorder="1" applyAlignment="1" applyProtection="1">
      <alignment horizontal="center" vertical="center"/>
      <protection hidden="1"/>
    </xf>
    <xf numFmtId="4" fontId="9" fillId="0" borderId="19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172" fontId="6" fillId="0" borderId="0" xfId="0" applyNumberFormat="1" applyFont="1" applyAlignment="1">
      <alignment vertical="center"/>
    </xf>
    <xf numFmtId="0" fontId="6" fillId="0" borderId="62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/>
    </xf>
    <xf numFmtId="0" fontId="0" fillId="2" borderId="0" xfId="0" applyFill="1"/>
    <xf numFmtId="8" fontId="29" fillId="2" borderId="64" xfId="0" applyNumberFormat="1" applyFont="1" applyFill="1" applyBorder="1" applyAlignment="1">
      <alignment horizontal="center" wrapText="1"/>
    </xf>
    <xf numFmtId="8" fontId="29" fillId="2" borderId="64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4" fontId="31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 wrapText="1"/>
    </xf>
    <xf numFmtId="170" fontId="31" fillId="0" borderId="0" xfId="0" applyNumberFormat="1" applyFont="1" applyAlignment="1">
      <alignment horizontal="center" vertical="center"/>
    </xf>
    <xf numFmtId="4" fontId="33" fillId="0" borderId="0" xfId="0" applyNumberFormat="1" applyFont="1" applyAlignment="1">
      <alignment horizontal="center" vertical="center"/>
    </xf>
    <xf numFmtId="165" fontId="32" fillId="0" borderId="0" xfId="3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3" fontId="31" fillId="0" borderId="0" xfId="0" applyNumberFormat="1" applyFont="1" applyAlignment="1">
      <alignment horizontal="center" vertical="center"/>
    </xf>
    <xf numFmtId="3" fontId="31" fillId="0" borderId="0" xfId="0" applyNumberFormat="1" applyFont="1" applyAlignment="1">
      <alignment vertical="center"/>
    </xf>
    <xf numFmtId="38" fontId="31" fillId="0" borderId="0" xfId="0" applyNumberFormat="1" applyFont="1" applyAlignment="1">
      <alignment vertical="center"/>
    </xf>
    <xf numFmtId="10" fontId="32" fillId="0" borderId="0" xfId="2" applyNumberFormat="1" applyFont="1" applyAlignment="1">
      <alignment horizontal="center" vertical="center"/>
    </xf>
    <xf numFmtId="165" fontId="36" fillId="0" borderId="0" xfId="6" applyFont="1" applyAlignment="1">
      <alignment vertical="center"/>
    </xf>
    <xf numFmtId="173" fontId="36" fillId="0" borderId="0" xfId="0" applyNumberFormat="1" applyFont="1" applyAlignment="1">
      <alignment vertical="center"/>
    </xf>
    <xf numFmtId="173" fontId="39" fillId="0" borderId="0" xfId="0" applyNumberFormat="1" applyFont="1" applyAlignment="1">
      <alignment vertical="center"/>
    </xf>
    <xf numFmtId="173" fontId="39" fillId="0" borderId="69" xfId="0" applyNumberFormat="1" applyFont="1" applyBorder="1" applyAlignment="1">
      <alignment horizontal="center" vertical="center"/>
    </xf>
    <xf numFmtId="173" fontId="39" fillId="0" borderId="12" xfId="0" applyNumberFormat="1" applyFont="1" applyBorder="1" applyAlignment="1">
      <alignment horizontal="center" vertical="center"/>
    </xf>
    <xf numFmtId="173" fontId="39" fillId="0" borderId="17" xfId="0" applyNumberFormat="1" applyFont="1" applyBorder="1" applyAlignment="1">
      <alignment horizontal="center" vertical="center"/>
    </xf>
    <xf numFmtId="173" fontId="39" fillId="0" borderId="0" xfId="0" applyNumberFormat="1" applyFont="1" applyAlignment="1">
      <alignment horizontal="center" vertical="center"/>
    </xf>
    <xf numFmtId="1" fontId="39" fillId="0" borderId="13" xfId="0" applyNumberFormat="1" applyFont="1" applyBorder="1" applyAlignment="1">
      <alignment horizontal="left" vertical="center"/>
    </xf>
    <xf numFmtId="173" fontId="39" fillId="0" borderId="14" xfId="0" applyNumberFormat="1" applyFont="1" applyBorder="1" applyAlignment="1">
      <alignment vertical="center"/>
    </xf>
    <xf numFmtId="173" fontId="36" fillId="0" borderId="14" xfId="0" applyNumberFormat="1" applyFont="1" applyBorder="1" applyAlignment="1">
      <alignment horizontal="center" vertical="center"/>
    </xf>
    <xf numFmtId="173" fontId="36" fillId="0" borderId="14" xfId="0" applyNumberFormat="1" applyFont="1" applyBorder="1" applyAlignment="1">
      <alignment vertical="center"/>
    </xf>
    <xf numFmtId="173" fontId="36" fillId="0" borderId="15" xfId="0" applyNumberFormat="1" applyFont="1" applyBorder="1" applyAlignment="1">
      <alignment vertical="center"/>
    </xf>
    <xf numFmtId="175" fontId="39" fillId="0" borderId="17" xfId="7" applyNumberFormat="1" applyFont="1" applyBorder="1" applyAlignment="1">
      <alignment vertical="center"/>
    </xf>
    <xf numFmtId="173" fontId="36" fillId="0" borderId="78" xfId="0" applyNumberFormat="1" applyFont="1" applyBorder="1" applyAlignment="1">
      <alignment vertical="center"/>
    </xf>
    <xf numFmtId="173" fontId="36" fillId="0" borderId="79" xfId="0" applyNumberFormat="1" applyFont="1" applyBorder="1" applyAlignment="1">
      <alignment vertical="center"/>
    </xf>
    <xf numFmtId="173" fontId="36" fillId="0" borderId="82" xfId="0" applyNumberFormat="1" applyFont="1" applyBorder="1" applyAlignment="1">
      <alignment vertical="center"/>
    </xf>
    <xf numFmtId="173" fontId="36" fillId="0" borderId="83" xfId="0" applyNumberFormat="1" applyFont="1" applyBorder="1" applyAlignment="1">
      <alignment vertical="center"/>
    </xf>
    <xf numFmtId="169" fontId="36" fillId="0" borderId="59" xfId="6" applyNumberFormat="1" applyFont="1" applyBorder="1" applyAlignment="1">
      <alignment horizontal="center" vertical="center"/>
    </xf>
    <xf numFmtId="173" fontId="36" fillId="0" borderId="86" xfId="0" applyNumberFormat="1" applyFont="1" applyBorder="1" applyAlignment="1">
      <alignment vertical="center"/>
    </xf>
    <xf numFmtId="169" fontId="36" fillId="0" borderId="87" xfId="6" applyNumberFormat="1" applyFont="1" applyBorder="1" applyAlignment="1">
      <alignment horizontal="center" vertical="center"/>
    </xf>
    <xf numFmtId="169" fontId="36" fillId="0" borderId="90" xfId="6" applyNumberFormat="1" applyFont="1" applyBorder="1" applyAlignment="1">
      <alignment horizontal="center" vertical="center"/>
    </xf>
    <xf numFmtId="173" fontId="36" fillId="0" borderId="16" xfId="0" applyNumberFormat="1" applyFont="1" applyBorder="1" applyAlignment="1">
      <alignment vertical="center"/>
    </xf>
    <xf numFmtId="169" fontId="36" fillId="0" borderId="91" xfId="6" applyNumberFormat="1" applyFont="1" applyBorder="1" applyAlignment="1">
      <alignment horizontal="center" vertical="center"/>
    </xf>
    <xf numFmtId="173" fontId="39" fillId="0" borderId="13" xfId="0" applyNumberFormat="1" applyFont="1" applyBorder="1" applyAlignment="1">
      <alignment vertical="center"/>
    </xf>
    <xf numFmtId="173" fontId="36" fillId="0" borderId="98" xfId="0" applyNumberFormat="1" applyFont="1" applyBorder="1" applyAlignment="1">
      <alignment vertical="center"/>
    </xf>
    <xf numFmtId="173" fontId="36" fillId="0" borderId="89" xfId="0" applyNumberFormat="1" applyFont="1" applyBorder="1" applyAlignment="1">
      <alignment vertical="center"/>
    </xf>
    <xf numFmtId="173" fontId="36" fillId="0" borderId="58" xfId="0" applyNumberFormat="1" applyFont="1" applyBorder="1" applyAlignment="1">
      <alignment vertical="center"/>
    </xf>
    <xf numFmtId="169" fontId="36" fillId="0" borderId="92" xfId="6" applyNumberFormat="1" applyFont="1" applyBorder="1" applyAlignment="1">
      <alignment horizontal="center" vertical="center"/>
    </xf>
    <xf numFmtId="169" fontId="36" fillId="0" borderId="88" xfId="6" applyNumberFormat="1" applyFont="1" applyBorder="1" applyAlignment="1">
      <alignment horizontal="center" vertical="center"/>
    </xf>
    <xf numFmtId="169" fontId="36" fillId="0" borderId="0" xfId="6" applyNumberFormat="1" applyFont="1" applyAlignment="1">
      <alignment horizontal="center" vertical="center"/>
    </xf>
    <xf numFmtId="173" fontId="36" fillId="0" borderId="0" xfId="0" applyNumberFormat="1" applyFont="1" applyAlignment="1">
      <alignment horizontal="center" vertical="center"/>
    </xf>
    <xf numFmtId="173" fontId="39" fillId="0" borderId="17" xfId="0" applyNumberFormat="1" applyFont="1" applyBorder="1" applyAlignment="1">
      <alignment horizontal="left" vertical="center"/>
    </xf>
    <xf numFmtId="1" fontId="36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right" vertical="center"/>
    </xf>
    <xf numFmtId="0" fontId="34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4" fontId="33" fillId="0" borderId="0" xfId="0" applyNumberFormat="1" applyFont="1" applyAlignment="1">
      <alignment vertical="center"/>
    </xf>
    <xf numFmtId="4" fontId="34" fillId="0" borderId="0" xfId="0" applyNumberFormat="1" applyFont="1" applyAlignment="1">
      <alignment vertical="center"/>
    </xf>
    <xf numFmtId="0" fontId="42" fillId="0" borderId="0" xfId="0" applyFont="1" applyAlignment="1">
      <alignment horizontal="left" vertical="center"/>
    </xf>
    <xf numFmtId="0" fontId="33" fillId="0" borderId="0" xfId="0" quotePrefix="1" applyFont="1" applyAlignment="1">
      <alignment horizontal="left" vertical="center"/>
    </xf>
    <xf numFmtId="3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left" vertical="center" indent="5"/>
    </xf>
    <xf numFmtId="3" fontId="33" fillId="0" borderId="0" xfId="0" applyNumberFormat="1" applyFont="1" applyAlignment="1">
      <alignment vertical="center"/>
    </xf>
    <xf numFmtId="3" fontId="32" fillId="0" borderId="0" xfId="0" applyNumberFormat="1" applyFont="1" applyAlignment="1">
      <alignment vertical="center"/>
    </xf>
    <xf numFmtId="3" fontId="34" fillId="0" borderId="0" xfId="0" applyNumberFormat="1" applyFont="1" applyAlignment="1">
      <alignment vertical="center"/>
    </xf>
    <xf numFmtId="37" fontId="31" fillId="0" borderId="0" xfId="0" applyNumberFormat="1" applyFont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37" fontId="33" fillId="0" borderId="0" xfId="0" applyNumberFormat="1" applyFont="1" applyAlignment="1">
      <alignment vertical="center"/>
    </xf>
    <xf numFmtId="8" fontId="29" fillId="2" borderId="63" xfId="0" applyNumberFormat="1" applyFont="1" applyFill="1" applyBorder="1" applyAlignment="1">
      <alignment horizontal="center" wrapText="1"/>
    </xf>
    <xf numFmtId="8" fontId="29" fillId="2" borderId="63" xfId="0" applyNumberFormat="1" applyFont="1" applyFill="1" applyBorder="1" applyAlignment="1">
      <alignment horizontal="center" vertical="center" wrapText="1"/>
    </xf>
    <xf numFmtId="0" fontId="28" fillId="2" borderId="113" xfId="0" applyFont="1" applyFill="1" applyBorder="1" applyAlignment="1">
      <alignment horizontal="center" wrapText="1"/>
    </xf>
    <xf numFmtId="0" fontId="28" fillId="2" borderId="114" xfId="0" applyFont="1" applyFill="1" applyBorder="1" applyAlignment="1">
      <alignment horizontal="center" wrapText="1"/>
    </xf>
    <xf numFmtId="0" fontId="20" fillId="2" borderId="13" xfId="0" applyFont="1" applyFill="1" applyBorder="1"/>
    <xf numFmtId="177" fontId="20" fillId="2" borderId="15" xfId="0" applyNumberFormat="1" applyFont="1" applyFill="1" applyBorder="1"/>
    <xf numFmtId="4" fontId="31" fillId="0" borderId="0" xfId="0" applyNumberFormat="1" applyFont="1" applyAlignment="1">
      <alignment horizontal="center" vertical="center"/>
    </xf>
    <xf numFmtId="167" fontId="31" fillId="0" borderId="0" xfId="0" applyNumberFormat="1" applyFont="1" applyAlignment="1">
      <alignment horizontal="center" vertical="center"/>
    </xf>
    <xf numFmtId="169" fontId="31" fillId="0" borderId="0" xfId="3" applyNumberFormat="1" applyFont="1" applyAlignment="1">
      <alignment vertical="center"/>
    </xf>
    <xf numFmtId="2" fontId="31" fillId="0" borderId="0" xfId="0" applyNumberFormat="1" applyFont="1" applyAlignment="1">
      <alignment horizontal="center" vertical="center"/>
    </xf>
    <xf numFmtId="0" fontId="31" fillId="0" borderId="0" xfId="0" applyFont="1"/>
    <xf numFmtId="169" fontId="31" fillId="0" borderId="0" xfId="0" applyNumberFormat="1" applyFont="1" applyAlignment="1">
      <alignment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10" fontId="31" fillId="0" borderId="0" xfId="2" applyNumberFormat="1" applyFont="1" applyAlignment="1">
      <alignment vertical="center"/>
    </xf>
    <xf numFmtId="169" fontId="31" fillId="0" borderId="0" xfId="3" applyNumberFormat="1" applyFont="1" applyAlignment="1">
      <alignment horizontal="center" vertical="center"/>
    </xf>
    <xf numFmtId="165" fontId="31" fillId="0" borderId="0" xfId="3" applyFont="1" applyAlignment="1">
      <alignment vertical="center"/>
    </xf>
    <xf numFmtId="165" fontId="32" fillId="0" borderId="0" xfId="3" applyFont="1" applyAlignment="1">
      <alignment vertical="center"/>
    </xf>
    <xf numFmtId="43" fontId="31" fillId="0" borderId="0" xfId="0" applyNumberFormat="1" applyFont="1" applyAlignment="1">
      <alignment vertical="center"/>
    </xf>
    <xf numFmtId="165" fontId="31" fillId="0" borderId="0" xfId="0" applyNumberFormat="1" applyFont="1" applyAlignment="1">
      <alignment vertical="center"/>
    </xf>
    <xf numFmtId="0" fontId="32" fillId="4" borderId="1" xfId="0" applyFont="1" applyFill="1" applyBorder="1" applyAlignment="1">
      <alignment horizontal="center" vertical="center" wrapText="1"/>
    </xf>
    <xf numFmtId="0" fontId="32" fillId="4" borderId="0" xfId="0" applyFont="1" applyFill="1" applyAlignment="1">
      <alignment vertical="center"/>
    </xf>
    <xf numFmtId="165" fontId="31" fillId="4" borderId="0" xfId="3" applyFont="1" applyFill="1" applyAlignment="1">
      <alignment vertical="center"/>
    </xf>
    <xf numFmtId="43" fontId="31" fillId="4" borderId="0" xfId="0" applyNumberFormat="1" applyFont="1" applyFill="1" applyAlignment="1">
      <alignment vertical="center"/>
    </xf>
    <xf numFmtId="0" fontId="31" fillId="4" borderId="0" xfId="0" applyFont="1" applyFill="1" applyAlignment="1">
      <alignment vertical="center"/>
    </xf>
    <xf numFmtId="165" fontId="32" fillId="4" borderId="0" xfId="3" applyFont="1" applyFill="1" applyAlignment="1">
      <alignment vertical="center"/>
    </xf>
    <xf numFmtId="165" fontId="31" fillId="4" borderId="0" xfId="0" applyNumberFormat="1" applyFont="1" applyFill="1" applyAlignment="1">
      <alignment vertical="center"/>
    </xf>
    <xf numFmtId="2" fontId="31" fillId="0" borderId="0" xfId="0" applyNumberFormat="1" applyFont="1" applyAlignment="1">
      <alignment vertical="center"/>
    </xf>
    <xf numFmtId="165" fontId="31" fillId="4" borderId="0" xfId="3" applyFont="1" applyFill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173" fontId="31" fillId="0" borderId="8" xfId="0" applyNumberFormat="1" applyFont="1" applyBorder="1" applyAlignment="1">
      <alignment vertical="center" wrapText="1"/>
    </xf>
    <xf numFmtId="169" fontId="36" fillId="0" borderId="57" xfId="6" applyNumberFormat="1" applyFont="1" applyBorder="1" applyAlignment="1">
      <alignment horizontal="center" vertical="center"/>
    </xf>
    <xf numFmtId="165" fontId="37" fillId="0" borderId="57" xfId="3" applyFont="1" applyBorder="1" applyAlignment="1">
      <alignment horizontal="center" vertical="center"/>
    </xf>
    <xf numFmtId="169" fontId="36" fillId="0" borderId="1" xfId="6" applyNumberFormat="1" applyFont="1" applyBorder="1" applyAlignment="1">
      <alignment horizontal="center" vertical="center"/>
    </xf>
    <xf numFmtId="165" fontId="37" fillId="0" borderId="1" xfId="3" applyFont="1" applyBorder="1" applyAlignment="1">
      <alignment horizontal="center" vertical="center"/>
    </xf>
    <xf numFmtId="165" fontId="37" fillId="0" borderId="59" xfId="3" applyFont="1" applyBorder="1" applyAlignment="1">
      <alignment horizontal="center" vertical="center"/>
    </xf>
    <xf numFmtId="165" fontId="37" fillId="0" borderId="87" xfId="3" applyFont="1" applyBorder="1" applyAlignment="1">
      <alignment horizontal="center" vertical="center"/>
    </xf>
    <xf numFmtId="165" fontId="37" fillId="0" borderId="90" xfId="3" applyFont="1" applyBorder="1" applyAlignment="1">
      <alignment horizontal="center" vertical="center"/>
    </xf>
    <xf numFmtId="165" fontId="37" fillId="0" borderId="91" xfId="3" applyFont="1" applyBorder="1" applyAlignment="1">
      <alignment horizontal="center" vertical="center"/>
    </xf>
    <xf numFmtId="173" fontId="36" fillId="0" borderId="77" xfId="0" applyNumberFormat="1" applyFont="1" applyBorder="1" applyAlignment="1">
      <alignment vertical="center" wrapText="1"/>
    </xf>
    <xf numFmtId="169" fontId="36" fillId="0" borderId="55" xfId="6" applyNumberFormat="1" applyFont="1" applyBorder="1" applyAlignment="1">
      <alignment horizontal="center" vertical="center"/>
    </xf>
    <xf numFmtId="165" fontId="37" fillId="0" borderId="55" xfId="3" applyFont="1" applyBorder="1" applyAlignment="1">
      <alignment horizontal="center" vertical="center"/>
    </xf>
    <xf numFmtId="173" fontId="36" fillId="0" borderId="112" xfId="0" applyNumberFormat="1" applyFont="1" applyBorder="1" applyAlignment="1">
      <alignment vertical="center" wrapText="1"/>
    </xf>
    <xf numFmtId="169" fontId="36" fillId="0" borderId="6" xfId="6" applyNumberFormat="1" applyFont="1" applyBorder="1" applyAlignment="1">
      <alignment horizontal="center" vertical="center"/>
    </xf>
    <xf numFmtId="165" fontId="37" fillId="0" borderId="6" xfId="3" applyFont="1" applyBorder="1" applyAlignment="1">
      <alignment horizontal="center" vertical="center"/>
    </xf>
    <xf numFmtId="173" fontId="36" fillId="0" borderId="104" xfId="0" applyNumberFormat="1" applyFont="1" applyBorder="1" applyAlignment="1">
      <alignment vertical="center" wrapText="1"/>
    </xf>
    <xf numFmtId="173" fontId="36" fillId="0" borderId="4" xfId="0" applyNumberFormat="1" applyFont="1" applyBorder="1" applyAlignment="1">
      <alignment vertical="center" wrapText="1"/>
    </xf>
    <xf numFmtId="173" fontId="36" fillId="0" borderId="83" xfId="0" applyNumberFormat="1" applyFont="1" applyBorder="1" applyAlignment="1">
      <alignment vertical="center" wrapText="1"/>
    </xf>
    <xf numFmtId="165" fontId="36" fillId="0" borderId="14" xfId="3" applyFont="1" applyBorder="1" applyAlignment="1">
      <alignment vertical="center"/>
    </xf>
    <xf numFmtId="173" fontId="36" fillId="0" borderId="4" xfId="0" applyNumberFormat="1" applyFont="1" applyBorder="1" applyAlignment="1">
      <alignment vertical="center"/>
    </xf>
    <xf numFmtId="169" fontId="36" fillId="0" borderId="25" xfId="6" applyNumberFormat="1" applyFont="1" applyBorder="1" applyAlignment="1">
      <alignment horizontal="center" vertical="center"/>
    </xf>
    <xf numFmtId="169" fontId="36" fillId="0" borderId="29" xfId="6" applyNumberFormat="1" applyFont="1" applyBorder="1" applyAlignment="1">
      <alignment horizontal="center" vertical="center"/>
    </xf>
    <xf numFmtId="169" fontId="36" fillId="0" borderId="105" xfId="6" applyNumberFormat="1" applyFont="1" applyBorder="1" applyAlignment="1">
      <alignment horizontal="center" vertical="center"/>
    </xf>
    <xf numFmtId="165" fontId="36" fillId="0" borderId="59" xfId="3" applyFont="1" applyBorder="1" applyAlignment="1">
      <alignment horizontal="center" vertical="center"/>
    </xf>
    <xf numFmtId="173" fontId="36" fillId="0" borderId="86" xfId="0" applyNumberFormat="1" applyFont="1" applyBorder="1" applyAlignment="1">
      <alignment vertical="center" wrapText="1"/>
    </xf>
    <xf numFmtId="165" fontId="36" fillId="0" borderId="87" xfId="3" applyFont="1" applyBorder="1" applyAlignment="1">
      <alignment horizontal="center" vertical="center"/>
    </xf>
    <xf numFmtId="165" fontId="37" fillId="0" borderId="0" xfId="3" applyFont="1" applyAlignment="1">
      <alignment vertical="center"/>
    </xf>
    <xf numFmtId="178" fontId="36" fillId="0" borderId="56" xfId="9" applyFont="1" applyBorder="1" applyAlignment="1">
      <alignment horizontal="center" vertical="center"/>
    </xf>
    <xf numFmtId="178" fontId="36" fillId="0" borderId="57" xfId="9" applyFont="1" applyBorder="1" applyAlignment="1">
      <alignment horizontal="center" vertical="center"/>
    </xf>
    <xf numFmtId="178" fontId="36" fillId="0" borderId="119" xfId="9" applyFont="1" applyBorder="1" applyAlignment="1">
      <alignment horizontal="center" vertical="center"/>
    </xf>
    <xf numFmtId="178" fontId="36" fillId="0" borderId="104" xfId="9" applyFont="1" applyBorder="1" applyAlignment="1">
      <alignment horizontal="center" vertical="center"/>
    </xf>
    <xf numFmtId="178" fontId="36" fillId="0" borderId="105" xfId="9" applyFont="1" applyBorder="1" applyAlignment="1">
      <alignment horizontal="center" vertical="center"/>
    </xf>
    <xf numFmtId="178" fontId="36" fillId="0" borderId="12" xfId="9" applyFont="1" applyBorder="1" applyAlignment="1">
      <alignment horizontal="center" vertical="center"/>
    </xf>
    <xf numFmtId="178" fontId="36" fillId="0" borderId="58" xfId="9" applyFont="1" applyBorder="1" applyAlignment="1">
      <alignment horizontal="center" vertical="center"/>
    </xf>
    <xf numFmtId="1" fontId="36" fillId="0" borderId="59" xfId="9" applyNumberFormat="1" applyFont="1" applyBorder="1" applyAlignment="1">
      <alignment horizontal="center" vertical="center"/>
    </xf>
    <xf numFmtId="1" fontId="36" fillId="0" borderId="120" xfId="9" applyNumberFormat="1" applyFont="1" applyBorder="1" applyAlignment="1">
      <alignment horizontal="center" vertical="center"/>
    </xf>
    <xf numFmtId="1" fontId="36" fillId="0" borderId="83" xfId="9" applyNumberFormat="1" applyFont="1" applyBorder="1" applyAlignment="1">
      <alignment horizontal="center" vertical="center"/>
    </xf>
    <xf numFmtId="1" fontId="36" fillId="0" borderId="84" xfId="9" applyNumberFormat="1" applyFont="1" applyBorder="1" applyAlignment="1">
      <alignment horizontal="center" vertical="center"/>
    </xf>
    <xf numFmtId="178" fontId="36" fillId="0" borderId="16" xfId="9" applyFont="1" applyBorder="1" applyAlignment="1">
      <alignment horizontal="center" vertical="center"/>
    </xf>
    <xf numFmtId="178" fontId="36" fillId="0" borderId="67" xfId="9" applyFont="1" applyBorder="1" applyAlignment="1">
      <alignment horizontal="center" vertical="center"/>
    </xf>
    <xf numFmtId="3" fontId="36" fillId="0" borderId="94" xfId="9" applyNumberFormat="1" applyFont="1" applyBorder="1" applyAlignment="1">
      <alignment horizontal="center" vertical="center"/>
    </xf>
    <xf numFmtId="3" fontId="36" fillId="0" borderId="17" xfId="9" applyNumberFormat="1" applyFont="1" applyBorder="1" applyAlignment="1">
      <alignment horizontal="center" vertical="center"/>
    </xf>
    <xf numFmtId="178" fontId="36" fillId="0" borderId="0" xfId="9" applyFont="1" applyAlignment="1">
      <alignment horizontal="center" vertical="center"/>
    </xf>
    <xf numFmtId="0" fontId="0" fillId="0" borderId="0" xfId="0" applyAlignment="1">
      <alignment horizontal="right" vertical="center"/>
    </xf>
    <xf numFmtId="178" fontId="36" fillId="0" borderId="69" xfId="9" applyFont="1" applyBorder="1" applyAlignment="1">
      <alignment horizontal="left" vertical="center"/>
    </xf>
    <xf numFmtId="178" fontId="36" fillId="0" borderId="38" xfId="9" applyFont="1" applyBorder="1" applyAlignment="1">
      <alignment horizontal="center" vertical="center"/>
    </xf>
    <xf numFmtId="179" fontId="36" fillId="0" borderId="38" xfId="9" applyNumberFormat="1" applyFont="1" applyBorder="1" applyAlignment="1">
      <alignment horizontal="center" vertical="center"/>
    </xf>
    <xf numFmtId="178" fontId="36" fillId="0" borderId="75" xfId="9" applyFont="1" applyBorder="1" applyAlignment="1">
      <alignment horizontal="center" vertical="center"/>
    </xf>
    <xf numFmtId="169" fontId="0" fillId="0" borderId="0" xfId="10" applyNumberFormat="1" applyFont="1" applyAlignment="1">
      <alignment horizontal="center" vertical="center"/>
    </xf>
    <xf numFmtId="178" fontId="36" fillId="0" borderId="4" xfId="9" applyFont="1" applyBorder="1" applyAlignment="1">
      <alignment horizontal="center" vertical="center"/>
    </xf>
    <xf numFmtId="3" fontId="36" fillId="5" borderId="1" xfId="9" applyNumberFormat="1" applyFont="1" applyFill="1" applyBorder="1" applyAlignment="1">
      <alignment horizontal="center" vertical="center"/>
    </xf>
    <xf numFmtId="3" fontId="36" fillId="0" borderId="5" xfId="9" applyNumberFormat="1" applyFont="1" applyBorder="1" applyAlignment="1">
      <alignment horizontal="center" vertical="center"/>
    </xf>
    <xf numFmtId="178" fontId="36" fillId="0" borderId="121" xfId="9" applyFont="1" applyBorder="1" applyAlignment="1">
      <alignment horizontal="center" vertical="center"/>
    </xf>
    <xf numFmtId="178" fontId="36" fillId="0" borderId="1" xfId="9" applyFont="1" applyBorder="1" applyAlignment="1">
      <alignment horizontal="center" vertical="center"/>
    </xf>
    <xf numFmtId="178" fontId="36" fillId="0" borderId="122" xfId="9" applyFont="1" applyBorder="1" applyAlignment="1">
      <alignment horizontal="center" vertical="center"/>
    </xf>
    <xf numFmtId="178" fontId="36" fillId="0" borderId="123" xfId="9" applyFont="1" applyBorder="1" applyAlignment="1">
      <alignment horizontal="center" vertical="center"/>
    </xf>
    <xf numFmtId="3" fontId="36" fillId="0" borderId="100" xfId="9" applyNumberFormat="1" applyFont="1" applyBorder="1" applyAlignment="1">
      <alignment horizontal="center" vertical="center"/>
    </xf>
    <xf numFmtId="3" fontId="36" fillId="0" borderId="122" xfId="9" applyNumberFormat="1" applyFont="1" applyBorder="1" applyAlignment="1">
      <alignment horizontal="center" vertical="center"/>
    </xf>
    <xf numFmtId="37" fontId="36" fillId="0" borderId="106" xfId="9" applyNumberFormat="1" applyFont="1" applyBorder="1" applyAlignment="1">
      <alignment horizontal="center" vertical="center"/>
    </xf>
    <xf numFmtId="3" fontId="39" fillId="0" borderId="1" xfId="9" applyNumberFormat="1" applyFont="1" applyBorder="1" applyAlignment="1">
      <alignment horizontal="center" vertical="center"/>
    </xf>
    <xf numFmtId="3" fontId="36" fillId="0" borderId="55" xfId="9" applyNumberFormat="1" applyFont="1" applyBorder="1" applyAlignment="1">
      <alignment horizontal="center" vertical="center"/>
    </xf>
    <xf numFmtId="3" fontId="36" fillId="0" borderId="101" xfId="9" applyNumberFormat="1" applyFont="1" applyBorder="1" applyAlignment="1">
      <alignment horizontal="center" vertical="center"/>
    </xf>
    <xf numFmtId="180" fontId="36" fillId="0" borderId="124" xfId="9" applyNumberFormat="1" applyFont="1" applyBorder="1" applyAlignment="1">
      <alignment horizontal="center" vertical="center"/>
    </xf>
    <xf numFmtId="3" fontId="36" fillId="0" borderId="125" xfId="10" applyNumberFormat="1" applyFont="1" applyBorder="1" applyAlignment="1">
      <alignment horizontal="center" vertical="center"/>
    </xf>
    <xf numFmtId="3" fontId="36" fillId="0" borderId="126" xfId="10" applyNumberFormat="1" applyFont="1" applyBorder="1" applyAlignment="1">
      <alignment horizontal="center" vertical="center"/>
    </xf>
    <xf numFmtId="3" fontId="36" fillId="0" borderId="84" xfId="10" applyNumberFormat="1" applyFont="1" applyBorder="1" applyAlignment="1">
      <alignment horizontal="center" vertical="center"/>
    </xf>
    <xf numFmtId="3" fontId="36" fillId="0" borderId="127" xfId="9" applyNumberFormat="1" applyFont="1" applyBorder="1" applyAlignment="1">
      <alignment horizontal="center" vertical="center"/>
    </xf>
    <xf numFmtId="178" fontId="36" fillId="0" borderId="3" xfId="9" applyFont="1" applyBorder="1" applyAlignment="1">
      <alignment horizontal="center" vertical="center"/>
    </xf>
    <xf numFmtId="178" fontId="36" fillId="0" borderId="60" xfId="9" applyFont="1" applyBorder="1" applyAlignment="1">
      <alignment horizontal="center" vertical="center"/>
    </xf>
    <xf numFmtId="3" fontId="36" fillId="0" borderId="60" xfId="9" applyNumberFormat="1" applyFont="1" applyBorder="1" applyAlignment="1">
      <alignment horizontal="center" vertical="center"/>
    </xf>
    <xf numFmtId="3" fontId="36" fillId="0" borderId="3" xfId="9" applyNumberFormat="1" applyFont="1" applyBorder="1" applyAlignment="1">
      <alignment horizontal="center" vertical="center"/>
    </xf>
    <xf numFmtId="3" fontId="39" fillId="0" borderId="100" xfId="9" applyNumberFormat="1" applyFont="1" applyBorder="1" applyAlignment="1">
      <alignment horizontal="center" vertical="center"/>
    </xf>
    <xf numFmtId="3" fontId="39" fillId="0" borderId="55" xfId="9" applyNumberFormat="1" applyFont="1" applyBorder="1" applyAlignment="1">
      <alignment horizontal="center" vertical="center"/>
    </xf>
    <xf numFmtId="3" fontId="36" fillId="0" borderId="128" xfId="9" applyNumberFormat="1" applyFont="1" applyBorder="1" applyAlignment="1">
      <alignment horizontal="center" vertical="center"/>
    </xf>
    <xf numFmtId="3" fontId="36" fillId="0" borderId="129" xfId="10" applyNumberFormat="1" applyFont="1" applyBorder="1" applyAlignment="1">
      <alignment horizontal="center" vertical="center"/>
    </xf>
    <xf numFmtId="3" fontId="36" fillId="0" borderId="130" xfId="10" applyNumberFormat="1" applyFont="1" applyBorder="1" applyAlignment="1">
      <alignment horizontal="center" vertical="center"/>
    </xf>
    <xf numFmtId="3" fontId="36" fillId="0" borderId="100" xfId="10" applyNumberFormat="1" applyFont="1" applyBorder="1" applyAlignment="1">
      <alignment horizontal="center" vertical="center"/>
    </xf>
    <xf numFmtId="3" fontId="39" fillId="0" borderId="1" xfId="10" applyNumberFormat="1" applyFont="1" applyBorder="1" applyAlignment="1">
      <alignment horizontal="center" vertical="center"/>
    </xf>
    <xf numFmtId="3" fontId="39" fillId="0" borderId="6" xfId="9" applyNumberFormat="1" applyFont="1" applyBorder="1" applyAlignment="1">
      <alignment horizontal="center" vertical="center"/>
    </xf>
    <xf numFmtId="3" fontId="36" fillId="0" borderId="125" xfId="9" applyNumberFormat="1" applyFont="1" applyBorder="1" applyAlignment="1">
      <alignment horizontal="center" vertical="center"/>
    </xf>
    <xf numFmtId="3" fontId="36" fillId="0" borderId="84" xfId="9" applyNumberFormat="1" applyFont="1" applyBorder="1" applyAlignment="1">
      <alignment horizontal="center" vertical="center"/>
    </xf>
    <xf numFmtId="178" fontId="36" fillId="0" borderId="106" xfId="9" applyFont="1" applyBorder="1" applyAlignment="1">
      <alignment horizontal="center" vertical="center"/>
    </xf>
    <xf numFmtId="180" fontId="36" fillId="0" borderId="106" xfId="9" applyNumberFormat="1" applyFont="1" applyBorder="1" applyAlignment="1">
      <alignment horizontal="center" vertical="center"/>
    </xf>
    <xf numFmtId="3" fontId="36" fillId="0" borderId="0" xfId="9" applyNumberFormat="1" applyFont="1" applyAlignment="1">
      <alignment horizontal="center" vertical="center"/>
    </xf>
    <xf numFmtId="3" fontId="36" fillId="0" borderId="131" xfId="9" applyNumberFormat="1" applyFont="1" applyBorder="1" applyAlignment="1">
      <alignment horizontal="center" vertical="center"/>
    </xf>
    <xf numFmtId="3" fontId="36" fillId="0" borderId="55" xfId="10" applyNumberFormat="1" applyFont="1" applyBorder="1" applyAlignment="1">
      <alignment horizontal="center" vertical="center"/>
    </xf>
    <xf numFmtId="178" fontId="36" fillId="0" borderId="128" xfId="9" applyFont="1" applyBorder="1" applyAlignment="1">
      <alignment horizontal="center" vertical="center"/>
    </xf>
    <xf numFmtId="3" fontId="36" fillId="0" borderId="126" xfId="9" applyNumberFormat="1" applyFont="1" applyBorder="1" applyAlignment="1">
      <alignment horizontal="center" vertical="center"/>
    </xf>
    <xf numFmtId="178" fontId="36" fillId="0" borderId="38" xfId="9" applyFont="1" applyBorder="1" applyAlignment="1">
      <alignment horizontal="left" vertical="center"/>
    </xf>
    <xf numFmtId="178" fontId="36" fillId="0" borderId="2" xfId="9" applyFont="1" applyBorder="1" applyAlignment="1">
      <alignment horizontal="center" vertical="center"/>
    </xf>
    <xf numFmtId="178" fontId="36" fillId="0" borderId="132" xfId="9" applyFont="1" applyBorder="1" applyAlignment="1">
      <alignment horizontal="center" vertical="center"/>
    </xf>
    <xf numFmtId="3" fontId="36" fillId="0" borderId="129" xfId="9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5" fontId="32" fillId="6" borderId="0" xfId="3" applyFont="1" applyFill="1" applyAlignment="1">
      <alignment vertical="center"/>
    </xf>
    <xf numFmtId="9" fontId="18" fillId="0" borderId="11" xfId="2" applyFont="1" applyBorder="1" applyAlignment="1">
      <alignment horizontal="center" vertical="center"/>
    </xf>
    <xf numFmtId="9" fontId="18" fillId="0" borderId="5" xfId="2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70" fontId="25" fillId="0" borderId="0" xfId="0" applyNumberFormat="1" applyFont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vertical="center" wrapText="1"/>
      <protection hidden="1"/>
    </xf>
    <xf numFmtId="170" fontId="18" fillId="0" borderId="0" xfId="0" applyNumberFormat="1" applyFont="1" applyAlignment="1" applyProtection="1">
      <alignment horizontal="center" vertical="center"/>
      <protection hidden="1"/>
    </xf>
    <xf numFmtId="0" fontId="42" fillId="7" borderId="0" xfId="0" applyFont="1" applyFill="1" applyAlignment="1">
      <alignment horizontal="left" vertical="center"/>
    </xf>
    <xf numFmtId="0" fontId="42" fillId="8" borderId="0" xfId="0" applyFont="1" applyFill="1" applyAlignment="1">
      <alignment horizontal="left" vertical="center"/>
    </xf>
    <xf numFmtId="181" fontId="35" fillId="7" borderId="0" xfId="2" applyNumberFormat="1" applyFont="1" applyFill="1" applyAlignment="1">
      <alignment horizontal="center" vertical="center"/>
    </xf>
    <xf numFmtId="181" fontId="35" fillId="8" borderId="0" xfId="2" applyNumberFormat="1" applyFont="1" applyFill="1" applyAlignment="1">
      <alignment horizontal="center" vertical="center"/>
    </xf>
    <xf numFmtId="169" fontId="45" fillId="0" borderId="0" xfId="3" applyNumberFormat="1" applyFont="1" applyAlignment="1">
      <alignment horizontal="center" vertical="center"/>
    </xf>
    <xf numFmtId="169" fontId="45" fillId="8" borderId="0" xfId="3" applyNumberFormat="1" applyFont="1" applyFill="1" applyAlignment="1">
      <alignment horizontal="center" vertical="center"/>
    </xf>
    <xf numFmtId="177" fontId="35" fillId="7" borderId="0" xfId="2" applyNumberFormat="1" applyFont="1" applyFill="1" applyAlignment="1">
      <alignment horizontal="center" vertical="center"/>
    </xf>
    <xf numFmtId="173" fontId="36" fillId="0" borderId="65" xfId="0" applyNumberFormat="1" applyFont="1" applyBorder="1" applyAlignment="1">
      <alignment vertical="center"/>
    </xf>
    <xf numFmtId="1" fontId="39" fillId="0" borderId="17" xfId="0" applyNumberFormat="1" applyFont="1" applyBorder="1" applyAlignment="1">
      <alignment horizontal="left" vertical="center"/>
    </xf>
    <xf numFmtId="10" fontId="0" fillId="2" borderId="0" xfId="2" applyNumberFormat="1" applyFont="1" applyFill="1"/>
    <xf numFmtId="0" fontId="17" fillId="0" borderId="0" xfId="0" applyFont="1" applyAlignment="1">
      <alignment horizontal="left" vertical="center"/>
    </xf>
    <xf numFmtId="0" fontId="17" fillId="0" borderId="18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 wrapText="1"/>
    </xf>
    <xf numFmtId="165" fontId="0" fillId="0" borderId="0" xfId="3" applyFont="1"/>
    <xf numFmtId="165" fontId="0" fillId="0" borderId="1" xfId="3" applyFont="1" applyBorder="1" applyAlignment="1">
      <alignment horizontal="center" vertical="center"/>
    </xf>
    <xf numFmtId="177" fontId="20" fillId="2" borderId="17" xfId="0" applyNumberFormat="1" applyFont="1" applyFill="1" applyBorder="1"/>
    <xf numFmtId="0" fontId="0" fillId="0" borderId="17" xfId="0" applyBorder="1" applyAlignment="1">
      <alignment horizontal="center"/>
    </xf>
    <xf numFmtId="0" fontId="0" fillId="0" borderId="77" xfId="0" applyBorder="1"/>
    <xf numFmtId="4" fontId="18" fillId="0" borderId="112" xfId="0" applyNumberFormat="1" applyFont="1" applyBorder="1" applyAlignment="1">
      <alignment horizontal="center" vertical="center"/>
    </xf>
    <xf numFmtId="4" fontId="18" fillId="0" borderId="6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4" fontId="18" fillId="0" borderId="7" xfId="0" applyNumberFormat="1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3" fontId="24" fillId="0" borderId="112" xfId="0" applyNumberFormat="1" applyFont="1" applyBorder="1" applyAlignment="1">
      <alignment horizontal="center" vertical="center"/>
    </xf>
    <xf numFmtId="3" fontId="24" fillId="0" borderId="6" xfId="0" applyNumberFormat="1" applyFont="1" applyBorder="1" applyAlignment="1">
      <alignment horizontal="center" vertical="center"/>
    </xf>
    <xf numFmtId="3" fontId="24" fillId="0" borderId="32" xfId="0" applyNumberFormat="1" applyFont="1" applyBorder="1" applyAlignment="1">
      <alignment horizontal="center" vertical="center"/>
    </xf>
    <xf numFmtId="3" fontId="18" fillId="0" borderId="112" xfId="0" applyNumberFormat="1" applyFont="1" applyBorder="1" applyAlignment="1">
      <alignment horizontal="center" vertical="center"/>
    </xf>
    <xf numFmtId="3" fontId="18" fillId="0" borderId="28" xfId="0" applyNumberFormat="1" applyFont="1" applyBorder="1" applyAlignment="1">
      <alignment horizontal="center" vertical="center"/>
    </xf>
    <xf numFmtId="9" fontId="18" fillId="0" borderId="7" xfId="2" applyFont="1" applyBorder="1" applyAlignment="1">
      <alignment horizontal="center" vertical="center"/>
    </xf>
    <xf numFmtId="4" fontId="18" fillId="0" borderId="28" xfId="0" applyNumberFormat="1" applyFont="1" applyBorder="1" applyAlignment="1">
      <alignment horizontal="center" vertical="center"/>
    </xf>
    <xf numFmtId="3" fontId="24" fillId="0" borderId="2" xfId="0" applyNumberFormat="1" applyFont="1" applyBorder="1" applyAlignment="1">
      <alignment horizontal="center" vertical="center"/>
    </xf>
    <xf numFmtId="9" fontId="24" fillId="0" borderId="11" xfId="2" applyFont="1" applyBorder="1" applyAlignment="1">
      <alignment horizontal="center" vertical="center"/>
    </xf>
    <xf numFmtId="9" fontId="24" fillId="0" borderId="7" xfId="2" applyFont="1" applyBorder="1" applyAlignment="1">
      <alignment horizontal="center" vertical="center"/>
    </xf>
    <xf numFmtId="3" fontId="9" fillId="0" borderId="112" xfId="0" applyNumberFormat="1" applyFont="1" applyBorder="1" applyAlignment="1">
      <alignment horizontal="center" vertical="center"/>
    </xf>
    <xf numFmtId="4" fontId="9" fillId="0" borderId="6" xfId="0" applyNumberFormat="1" applyFont="1" applyBorder="1" applyAlignment="1">
      <alignment horizontal="center" vertical="center"/>
    </xf>
    <xf numFmtId="3" fontId="9" fillId="0" borderId="28" xfId="0" applyNumberFormat="1" applyFont="1" applyBorder="1" applyAlignment="1">
      <alignment horizontal="center" vertical="center"/>
    </xf>
    <xf numFmtId="0" fontId="19" fillId="0" borderId="0" xfId="1" applyFont="1" applyAlignment="1">
      <alignment vertical="center"/>
    </xf>
    <xf numFmtId="0" fontId="19" fillId="0" borderId="0" xfId="1" applyFont="1" applyAlignment="1">
      <alignment horizontal="right" vertical="center"/>
    </xf>
    <xf numFmtId="0" fontId="2" fillId="0" borderId="0" xfId="1" applyAlignment="1">
      <alignment vertical="center"/>
    </xf>
    <xf numFmtId="2" fontId="20" fillId="6" borderId="0" xfId="1" applyNumberFormat="1" applyFont="1" applyFill="1" applyAlignment="1">
      <alignment horizontal="center" vertical="center"/>
    </xf>
    <xf numFmtId="0" fontId="20" fillId="0" borderId="17" xfId="1" applyFont="1" applyBorder="1" applyAlignment="1">
      <alignment horizontal="center" vertical="center" wrapText="1"/>
    </xf>
    <xf numFmtId="17" fontId="20" fillId="0" borderId="0" xfId="1" applyNumberFormat="1" applyFont="1" applyAlignment="1">
      <alignment horizontal="center" vertical="center"/>
    </xf>
    <xf numFmtId="17" fontId="20" fillId="0" borderId="17" xfId="1" applyNumberFormat="1" applyFont="1" applyBorder="1" applyAlignment="1">
      <alignment horizontal="center" vertical="center"/>
    </xf>
    <xf numFmtId="17" fontId="20" fillId="0" borderId="15" xfId="1" applyNumberFormat="1" applyFont="1" applyBorder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vertical="center"/>
    </xf>
    <xf numFmtId="4" fontId="2" fillId="0" borderId="0" xfId="1" applyNumberFormat="1" applyAlignment="1">
      <alignment horizontal="center" vertical="center"/>
    </xf>
    <xf numFmtId="165" fontId="2" fillId="0" borderId="0" xfId="3" applyAlignment="1">
      <alignment horizontal="center" vertical="center"/>
    </xf>
    <xf numFmtId="4" fontId="20" fillId="0" borderId="0" xfId="1" applyNumberFormat="1" applyFont="1" applyAlignment="1">
      <alignment horizontal="center" vertical="center"/>
    </xf>
    <xf numFmtId="165" fontId="2" fillId="0" borderId="0" xfId="3" applyAlignment="1">
      <alignment vertical="center"/>
    </xf>
    <xf numFmtId="4" fontId="2" fillId="0" borderId="0" xfId="1" applyNumberFormat="1" applyAlignment="1">
      <alignment vertical="center"/>
    </xf>
    <xf numFmtId="0" fontId="17" fillId="0" borderId="13" xfId="1" applyFont="1" applyBorder="1" applyAlignment="1">
      <alignment horizontal="center" vertical="center" wrapText="1"/>
    </xf>
    <xf numFmtId="0" fontId="17" fillId="0" borderId="17" xfId="1" applyFont="1" applyBorder="1" applyAlignment="1">
      <alignment horizontal="center" vertical="center" wrapText="1"/>
    </xf>
    <xf numFmtId="0" fontId="17" fillId="0" borderId="47" xfId="1" applyFont="1" applyBorder="1" applyAlignment="1">
      <alignment horizontal="center" vertical="center"/>
    </xf>
    <xf numFmtId="4" fontId="18" fillId="0" borderId="11" xfId="1" applyNumberFormat="1" applyFont="1" applyBorder="1" applyAlignment="1">
      <alignment horizontal="center" vertical="center"/>
    </xf>
    <xf numFmtId="4" fontId="18" fillId="0" borderId="2" xfId="1" applyNumberFormat="1" applyFont="1" applyBorder="1" applyAlignment="1">
      <alignment horizontal="center" vertical="center"/>
    </xf>
    <xf numFmtId="0" fontId="17" fillId="0" borderId="26" xfId="1" applyFont="1" applyBorder="1" applyAlignment="1">
      <alignment horizontal="center" vertical="center"/>
    </xf>
    <xf numFmtId="4" fontId="18" fillId="0" borderId="1" xfId="1" applyNumberFormat="1" applyFont="1" applyBorder="1" applyAlignment="1">
      <alignment horizontal="center" vertical="center"/>
    </xf>
    <xf numFmtId="0" fontId="17" fillId="0" borderId="30" xfId="1" applyFont="1" applyBorder="1" applyAlignment="1">
      <alignment horizontal="center" vertical="center"/>
    </xf>
    <xf numFmtId="4" fontId="18" fillId="0" borderId="7" xfId="1" applyNumberFormat="1" applyFont="1" applyBorder="1" applyAlignment="1">
      <alignment horizontal="center" vertical="center"/>
    </xf>
    <xf numFmtId="4" fontId="18" fillId="0" borderId="6" xfId="1" applyNumberFormat="1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112" xfId="0" applyFont="1" applyBorder="1" applyAlignment="1">
      <alignment horizontal="center" vertical="center"/>
    </xf>
    <xf numFmtId="4" fontId="18" fillId="0" borderId="6" xfId="0" quotePrefix="1" applyNumberFormat="1" applyFont="1" applyBorder="1" applyAlignment="1">
      <alignment horizontal="center" vertical="center"/>
    </xf>
    <xf numFmtId="4" fontId="18" fillId="0" borderId="5" xfId="0" applyNumberFormat="1" applyFont="1" applyBorder="1" applyAlignment="1">
      <alignment horizontal="center" vertical="center"/>
    </xf>
    <xf numFmtId="171" fontId="18" fillId="0" borderId="24" xfId="0" applyNumberFormat="1" applyFont="1" applyBorder="1" applyAlignment="1">
      <alignment horizontal="center" vertical="center"/>
    </xf>
    <xf numFmtId="171" fontId="18" fillId="0" borderId="112" xfId="0" applyNumberFormat="1" applyFont="1" applyBorder="1" applyAlignment="1">
      <alignment horizontal="center" vertical="center"/>
    </xf>
    <xf numFmtId="0" fontId="18" fillId="2" borderId="0" xfId="0" applyFont="1" applyFill="1"/>
    <xf numFmtId="8" fontId="48" fillId="2" borderId="116" xfId="0" applyNumberFormat="1" applyFont="1" applyFill="1" applyBorder="1" applyAlignment="1">
      <alignment horizontal="center" wrapText="1"/>
    </xf>
    <xf numFmtId="181" fontId="25" fillId="2" borderId="15" xfId="0" applyNumberFormat="1" applyFont="1" applyFill="1" applyBorder="1" applyAlignment="1">
      <alignment horizontal="left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wrapText="1"/>
    </xf>
    <xf numFmtId="44" fontId="18" fillId="0" borderId="1" xfId="5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0" fontId="18" fillId="0" borderId="0" xfId="0" applyFont="1" applyAlignment="1">
      <alignment wrapText="1"/>
    </xf>
    <xf numFmtId="0" fontId="0" fillId="0" borderId="39" xfId="0" applyBorder="1" applyAlignment="1">
      <alignment horizontal="center" vertical="center"/>
    </xf>
    <xf numFmtId="0" fontId="0" fillId="0" borderId="0" xfId="0" applyAlignment="1">
      <alignment wrapText="1"/>
    </xf>
    <xf numFmtId="44" fontId="18" fillId="0" borderId="0" xfId="5" applyFont="1" applyAlignment="1">
      <alignment horizontal="center" vertical="center"/>
    </xf>
    <xf numFmtId="44" fontId="0" fillId="0" borderId="39" xfId="5" applyFont="1" applyBorder="1" applyAlignment="1">
      <alignment horizontal="center" vertical="center"/>
    </xf>
    <xf numFmtId="165" fontId="0" fillId="0" borderId="46" xfId="3" applyFont="1" applyBorder="1"/>
    <xf numFmtId="165" fontId="0" fillId="0" borderId="0" xfId="3" applyFont="1" applyAlignment="1">
      <alignment horizontal="center" vertical="center"/>
    </xf>
    <xf numFmtId="0" fontId="18" fillId="0" borderId="1" xfId="0" applyFont="1" applyBorder="1" applyAlignment="1">
      <alignment horizontal="left" wrapText="1"/>
    </xf>
    <xf numFmtId="0" fontId="20" fillId="0" borderId="66" xfId="0" applyFont="1" applyBorder="1" applyAlignment="1">
      <alignment horizontal="center" vertical="center"/>
    </xf>
    <xf numFmtId="4" fontId="21" fillId="0" borderId="17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165" fontId="17" fillId="0" borderId="0" xfId="3" applyFont="1" applyAlignment="1">
      <alignment vertical="center"/>
    </xf>
    <xf numFmtId="0" fontId="17" fillId="2" borderId="37" xfId="0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4" fontId="17" fillId="0" borderId="17" xfId="0" applyNumberFormat="1" applyFont="1" applyBorder="1" applyAlignment="1">
      <alignment horizontal="center" vertical="center"/>
    </xf>
    <xf numFmtId="4" fontId="18" fillId="0" borderId="40" xfId="0" applyNumberFormat="1" applyFont="1" applyBorder="1" applyAlignment="1">
      <alignment horizontal="center" vertical="center"/>
    </xf>
    <xf numFmtId="4" fontId="18" fillId="0" borderId="24" xfId="0" applyNumberFormat="1" applyFont="1" applyBorder="1" applyAlignment="1">
      <alignment horizontal="center" vertical="center"/>
    </xf>
    <xf numFmtId="0" fontId="17" fillId="0" borderId="67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Continuous" vertical="center"/>
    </xf>
    <xf numFmtId="0" fontId="17" fillId="0" borderId="35" xfId="0" applyFont="1" applyBorder="1" applyAlignment="1">
      <alignment horizontal="center" vertical="center"/>
    </xf>
    <xf numFmtId="9" fontId="18" fillId="0" borderId="71" xfId="2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9" fontId="18" fillId="0" borderId="72" xfId="2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4" fontId="24" fillId="0" borderId="20" xfId="0" applyNumberFormat="1" applyFont="1" applyBorder="1" applyAlignment="1">
      <alignment horizontal="center" vertical="center"/>
    </xf>
    <xf numFmtId="4" fontId="24" fillId="0" borderId="11" xfId="0" applyNumberFormat="1" applyFont="1" applyBorder="1" applyAlignment="1">
      <alignment horizontal="center" vertical="center"/>
    </xf>
    <xf numFmtId="37" fontId="40" fillId="0" borderId="13" xfId="0" applyNumberFormat="1" applyFont="1" applyBorder="1" applyAlignment="1">
      <alignment vertical="center"/>
    </xf>
    <xf numFmtId="173" fontId="39" fillId="0" borderId="14" xfId="0" applyNumberFormat="1" applyFont="1" applyBorder="1" applyAlignment="1">
      <alignment horizontal="center" vertical="center"/>
    </xf>
    <xf numFmtId="165" fontId="41" fillId="0" borderId="14" xfId="3" applyFont="1" applyBorder="1" applyAlignment="1">
      <alignment vertical="center"/>
    </xf>
    <xf numFmtId="37" fontId="40" fillId="0" borderId="69" xfId="0" applyNumberFormat="1" applyFont="1" applyBorder="1" applyAlignment="1">
      <alignment vertical="center"/>
    </xf>
    <xf numFmtId="173" fontId="39" fillId="0" borderId="104" xfId="0" applyNumberFormat="1" applyFont="1" applyBorder="1" applyAlignment="1">
      <alignment horizontal="center" vertical="center"/>
    </xf>
    <xf numFmtId="165" fontId="41" fillId="0" borderId="57" xfId="3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right" vertical="center"/>
    </xf>
    <xf numFmtId="0" fontId="17" fillId="0" borderId="4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4" xfId="0" quotePrefix="1" applyFont="1" applyBorder="1" applyAlignment="1">
      <alignment horizontal="left" vertical="center"/>
    </xf>
    <xf numFmtId="0" fontId="17" fillId="0" borderId="112" xfId="0" applyFont="1" applyBorder="1" applyAlignment="1">
      <alignment vertical="center"/>
    </xf>
    <xf numFmtId="0" fontId="17" fillId="0" borderId="67" xfId="0" applyFont="1" applyBorder="1" applyAlignment="1">
      <alignment vertical="center"/>
    </xf>
    <xf numFmtId="40" fontId="17" fillId="0" borderId="0" xfId="2" applyNumberFormat="1" applyFont="1" applyAlignment="1">
      <alignment horizontal="center" vertical="center"/>
    </xf>
    <xf numFmtId="10" fontId="17" fillId="0" borderId="0" xfId="2" applyNumberFormat="1" applyFont="1" applyAlignment="1">
      <alignment horizontal="center" vertical="center"/>
    </xf>
    <xf numFmtId="0" fontId="17" fillId="0" borderId="74" xfId="0" applyFont="1" applyBorder="1" applyAlignment="1">
      <alignment vertical="center"/>
    </xf>
    <xf numFmtId="0" fontId="18" fillId="0" borderId="121" xfId="0" applyFont="1" applyBorder="1" applyAlignment="1">
      <alignment horizontal="left" vertical="center" indent="2"/>
    </xf>
    <xf numFmtId="0" fontId="18" fillId="0" borderId="4" xfId="0" applyFont="1" applyBorder="1" applyAlignment="1">
      <alignment horizontal="left" vertical="center" indent="1"/>
    </xf>
    <xf numFmtId="10" fontId="18" fillId="0" borderId="0" xfId="2" applyNumberFormat="1" applyFont="1" applyAlignment="1">
      <alignment vertical="center"/>
    </xf>
    <xf numFmtId="37" fontId="18" fillId="0" borderId="0" xfId="0" applyNumberFormat="1" applyFont="1" applyAlignment="1">
      <alignment horizontal="right" vertical="center"/>
    </xf>
    <xf numFmtId="10" fontId="17" fillId="0" borderId="0" xfId="2" applyNumberFormat="1" applyFont="1" applyAlignment="1">
      <alignment vertical="center"/>
    </xf>
    <xf numFmtId="3" fontId="17" fillId="0" borderId="0" xfId="0" applyNumberFormat="1" applyFont="1" applyAlignment="1">
      <alignment vertical="center"/>
    </xf>
    <xf numFmtId="37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182" fontId="39" fillId="0" borderId="17" xfId="7" applyNumberFormat="1" applyFont="1" applyBorder="1" applyAlignment="1">
      <alignment vertical="center"/>
    </xf>
    <xf numFmtId="182" fontId="36" fillId="0" borderId="0" xfId="0" applyNumberFormat="1" applyFont="1" applyAlignment="1">
      <alignment vertical="center"/>
    </xf>
    <xf numFmtId="183" fontId="36" fillId="0" borderId="0" xfId="0" applyNumberFormat="1" applyFont="1" applyAlignment="1">
      <alignment vertical="center"/>
    </xf>
    <xf numFmtId="183" fontId="39" fillId="0" borderId="0" xfId="0" applyNumberFormat="1" applyFont="1" applyAlignment="1">
      <alignment vertical="center"/>
    </xf>
    <xf numFmtId="182" fontId="39" fillId="0" borderId="0" xfId="3" applyNumberFormat="1" applyFont="1" applyAlignment="1">
      <alignment vertical="center"/>
    </xf>
    <xf numFmtId="182" fontId="39" fillId="0" borderId="0" xfId="0" applyNumberFormat="1" applyFont="1" applyAlignment="1">
      <alignment vertical="center"/>
    </xf>
    <xf numFmtId="165" fontId="35" fillId="0" borderId="0" xfId="0" applyNumberFormat="1" applyFont="1" applyAlignment="1">
      <alignment vertical="center"/>
    </xf>
    <xf numFmtId="165" fontId="39" fillId="0" borderId="13" xfId="6" applyFont="1" applyBorder="1" applyAlignment="1">
      <alignment horizontal="center" vertical="center"/>
    </xf>
    <xf numFmtId="165" fontId="39" fillId="0" borderId="17" xfId="6" applyFont="1" applyBorder="1" applyAlignment="1">
      <alignment horizontal="center" vertical="center"/>
    </xf>
    <xf numFmtId="165" fontId="39" fillId="0" borderId="17" xfId="7" applyNumberFormat="1" applyFont="1" applyBorder="1" applyAlignment="1">
      <alignment vertical="center"/>
    </xf>
    <xf numFmtId="182" fontId="36" fillId="0" borderId="84" xfId="3" applyNumberFormat="1" applyFont="1" applyBorder="1" applyAlignment="1">
      <alignment horizontal="center" vertical="center"/>
    </xf>
    <xf numFmtId="182" fontId="36" fillId="0" borderId="92" xfId="3" applyNumberFormat="1" applyFont="1" applyBorder="1" applyAlignment="1">
      <alignment horizontal="center" vertical="center"/>
    </xf>
    <xf numFmtId="182" fontId="36" fillId="0" borderId="88" xfId="3" applyNumberFormat="1" applyFont="1" applyBorder="1" applyAlignment="1">
      <alignment horizontal="center" vertical="center"/>
    </xf>
    <xf numFmtId="182" fontId="36" fillId="0" borderId="80" xfId="3" applyNumberFormat="1" applyFont="1" applyBorder="1" applyAlignment="1">
      <alignment horizontal="center" vertical="center"/>
    </xf>
    <xf numFmtId="182" fontId="36" fillId="0" borderId="16" xfId="0" applyNumberFormat="1" applyFont="1" applyBorder="1" applyAlignment="1">
      <alignment horizontal="right" vertical="center"/>
    </xf>
    <xf numFmtId="182" fontId="36" fillId="0" borderId="15" xfId="0" applyNumberFormat="1" applyFont="1" applyBorder="1" applyAlignment="1">
      <alignment vertical="center"/>
    </xf>
    <xf numFmtId="182" fontId="36" fillId="0" borderId="96" xfId="3" applyNumberFormat="1" applyFont="1" applyBorder="1" applyAlignment="1">
      <alignment horizontal="right" vertical="center"/>
    </xf>
    <xf numFmtId="182" fontId="36" fillId="0" borderId="23" xfId="3" applyNumberFormat="1" applyFont="1" applyBorder="1" applyAlignment="1">
      <alignment horizontal="right" vertical="center"/>
    </xf>
    <xf numFmtId="182" fontId="36" fillId="0" borderId="16" xfId="3" applyNumberFormat="1" applyFont="1" applyBorder="1" applyAlignment="1">
      <alignment horizontal="right" vertical="center"/>
    </xf>
    <xf numFmtId="182" fontId="36" fillId="0" borderId="65" xfId="3" applyNumberFormat="1" applyFont="1" applyBorder="1" applyAlignment="1">
      <alignment horizontal="right" vertical="center"/>
    </xf>
    <xf numFmtId="182" fontId="36" fillId="0" borderId="27" xfId="3" applyNumberFormat="1" applyFont="1" applyBorder="1" applyAlignment="1">
      <alignment horizontal="right" vertical="center"/>
    </xf>
    <xf numFmtId="182" fontId="36" fillId="0" borderId="105" xfId="3" applyNumberFormat="1" applyFont="1" applyBorder="1" applyAlignment="1">
      <alignment horizontal="right" vertical="center"/>
    </xf>
    <xf numFmtId="182" fontId="36" fillId="0" borderId="25" xfId="3" applyNumberFormat="1" applyFont="1" applyBorder="1" applyAlignment="1">
      <alignment horizontal="right" vertical="center"/>
    </xf>
    <xf numFmtId="182" fontId="36" fillId="0" borderId="84" xfId="3" applyNumberFormat="1" applyFont="1" applyBorder="1" applyAlignment="1">
      <alignment horizontal="right" vertical="center"/>
    </xf>
    <xf numFmtId="182" fontId="36" fillId="0" borderId="92" xfId="3" applyNumberFormat="1" applyFont="1" applyBorder="1" applyAlignment="1">
      <alignment horizontal="right" vertical="center"/>
    </xf>
    <xf numFmtId="182" fontId="36" fillId="0" borderId="100" xfId="3" applyNumberFormat="1" applyFont="1" applyBorder="1" applyAlignment="1">
      <alignment horizontal="right" vertical="center"/>
    </xf>
    <xf numFmtId="182" fontId="36" fillId="0" borderId="0" xfId="0" applyNumberFormat="1" applyFont="1" applyAlignment="1">
      <alignment horizontal="right" vertical="center"/>
    </xf>
    <xf numFmtId="182" fontId="36" fillId="0" borderId="14" xfId="0" applyNumberFormat="1" applyFont="1" applyBorder="1" applyAlignment="1">
      <alignment horizontal="right" vertical="center"/>
    </xf>
    <xf numFmtId="182" fontId="39" fillId="0" borderId="15" xfId="0" applyNumberFormat="1" applyFont="1" applyBorder="1" applyAlignment="1">
      <alignment horizontal="right" vertical="center"/>
    </xf>
    <xf numFmtId="182" fontId="36" fillId="0" borderId="5" xfId="3" applyNumberFormat="1" applyFont="1" applyBorder="1" applyAlignment="1">
      <alignment horizontal="right" vertical="center"/>
    </xf>
    <xf numFmtId="182" fontId="36" fillId="0" borderId="7" xfId="3" applyNumberFormat="1" applyFont="1" applyBorder="1" applyAlignment="1">
      <alignment horizontal="right" vertical="center"/>
    </xf>
    <xf numFmtId="182" fontId="39" fillId="0" borderId="105" xfId="0" applyNumberFormat="1" applyFont="1" applyBorder="1" applyAlignment="1">
      <alignment horizontal="right" vertical="center"/>
    </xf>
    <xf numFmtId="182" fontId="36" fillId="0" borderId="75" xfId="3" applyNumberFormat="1" applyFont="1" applyBorder="1" applyAlignment="1">
      <alignment horizontal="right" vertical="center"/>
    </xf>
    <xf numFmtId="182" fontId="36" fillId="0" borderId="34" xfId="3" applyNumberFormat="1" applyFont="1" applyBorder="1" applyAlignment="1">
      <alignment horizontal="right" vertical="center"/>
    </xf>
    <xf numFmtId="182" fontId="36" fillId="0" borderId="107" xfId="3" applyNumberFormat="1" applyFont="1" applyBorder="1" applyAlignment="1">
      <alignment horizontal="right" vertical="center"/>
    </xf>
    <xf numFmtId="182" fontId="36" fillId="0" borderId="108" xfId="3" applyNumberFormat="1" applyFont="1" applyBorder="1" applyAlignment="1">
      <alignment horizontal="right" vertical="center"/>
    </xf>
    <xf numFmtId="182" fontId="36" fillId="0" borderId="109" xfId="3" applyNumberFormat="1" applyFont="1" applyBorder="1" applyAlignment="1">
      <alignment horizontal="right" vertical="center"/>
    </xf>
    <xf numFmtId="182" fontId="36" fillId="0" borderId="12" xfId="3" applyNumberFormat="1" applyFont="1" applyBorder="1" applyAlignment="1">
      <alignment horizontal="right" vertical="center"/>
    </xf>
    <xf numFmtId="182" fontId="39" fillId="0" borderId="17" xfId="7" applyNumberFormat="1" applyFont="1" applyBorder="1" applyAlignment="1">
      <alignment horizontal="right" vertical="center"/>
    </xf>
    <xf numFmtId="182" fontId="39" fillId="0" borderId="17" xfId="0" applyNumberFormat="1" applyFont="1" applyBorder="1" applyAlignment="1">
      <alignment horizontal="right" vertical="center"/>
    </xf>
    <xf numFmtId="182" fontId="36" fillId="0" borderId="102" xfId="6" applyNumberFormat="1" applyFont="1" applyBorder="1" applyAlignment="1">
      <alignment horizontal="right" vertical="center"/>
    </xf>
    <xf numFmtId="182" fontId="36" fillId="0" borderId="81" xfId="3" applyNumberFormat="1" applyFont="1" applyBorder="1" applyAlignment="1">
      <alignment horizontal="right" vertical="center"/>
    </xf>
    <xf numFmtId="182" fontId="39" fillId="0" borderId="97" xfId="7" applyNumberFormat="1" applyFont="1" applyBorder="1" applyAlignment="1">
      <alignment horizontal="right" vertical="center"/>
    </xf>
    <xf numFmtId="182" fontId="36" fillId="0" borderId="110" xfId="3" applyNumberFormat="1" applyFont="1" applyBorder="1" applyAlignment="1">
      <alignment horizontal="right" vertical="center"/>
    </xf>
    <xf numFmtId="165" fontId="38" fillId="0" borderId="13" xfId="6" applyFont="1" applyBorder="1" applyAlignment="1">
      <alignment vertical="center"/>
    </xf>
    <xf numFmtId="165" fontId="36" fillId="0" borderId="14" xfId="6" applyFont="1" applyBorder="1" applyAlignment="1">
      <alignment horizontal="center" vertical="center"/>
    </xf>
    <xf numFmtId="165" fontId="36" fillId="0" borderId="15" xfId="6" applyFont="1" applyBorder="1" applyAlignment="1">
      <alignment horizontal="center" vertical="center"/>
    </xf>
    <xf numFmtId="165" fontId="38" fillId="0" borderId="14" xfId="6" applyFont="1" applyBorder="1" applyAlignment="1">
      <alignment vertical="center"/>
    </xf>
    <xf numFmtId="0" fontId="17" fillId="0" borderId="0" xfId="1" applyFont="1" applyAlignment="1">
      <alignment horizontal="left" vertical="center"/>
    </xf>
    <xf numFmtId="9" fontId="24" fillId="3" borderId="1" xfId="2" applyFont="1" applyFill="1" applyBorder="1" applyAlignment="1">
      <alignment horizontal="center" vertical="center"/>
    </xf>
    <xf numFmtId="3" fontId="24" fillId="3" borderId="25" xfId="0" applyNumberFormat="1" applyFont="1" applyFill="1" applyBorder="1" applyAlignment="1">
      <alignment horizontal="center" vertical="center"/>
    </xf>
    <xf numFmtId="3" fontId="24" fillId="3" borderId="9" xfId="0" applyNumberFormat="1" applyFont="1" applyFill="1" applyBorder="1" applyAlignment="1">
      <alignment horizontal="center" vertical="center"/>
    </xf>
    <xf numFmtId="3" fontId="24" fillId="3" borderId="33" xfId="0" applyNumberFormat="1" applyFont="1" applyFill="1" applyBorder="1" applyAlignment="1">
      <alignment horizontal="center" vertical="center"/>
    </xf>
    <xf numFmtId="3" fontId="24" fillId="3" borderId="1" xfId="0" applyNumberFormat="1" applyFont="1" applyFill="1" applyBorder="1" applyAlignment="1">
      <alignment horizontal="center" vertical="center"/>
    </xf>
    <xf numFmtId="3" fontId="24" fillId="3" borderId="34" xfId="0" applyNumberFormat="1" applyFont="1" applyFill="1" applyBorder="1" applyAlignment="1">
      <alignment horizontal="center" vertical="center"/>
    </xf>
    <xf numFmtId="3" fontId="9" fillId="3" borderId="24" xfId="0" applyNumberFormat="1" applyFont="1" applyFill="1" applyBorder="1" applyAlignment="1">
      <alignment horizontal="center" vertical="center"/>
    </xf>
    <xf numFmtId="4" fontId="9" fillId="3" borderId="1" xfId="0" applyNumberFormat="1" applyFont="1" applyFill="1" applyBorder="1" applyAlignment="1">
      <alignment horizontal="center" vertical="center"/>
    </xf>
    <xf numFmtId="37" fontId="0" fillId="0" borderId="0" xfId="0" applyNumberFormat="1" applyAlignment="1">
      <alignment horizontal="center"/>
    </xf>
    <xf numFmtId="37" fontId="2" fillId="0" borderId="0" xfId="0" applyNumberFormat="1" applyFont="1" applyAlignment="1">
      <alignment horizontal="center" vertical="center"/>
    </xf>
    <xf numFmtId="3" fontId="9" fillId="3" borderId="1" xfId="0" applyNumberFormat="1" applyFont="1" applyFill="1" applyBorder="1" applyAlignment="1">
      <alignment horizontal="center" vertical="center"/>
    </xf>
    <xf numFmtId="4" fontId="9" fillId="3" borderId="5" xfId="0" applyNumberFormat="1" applyFont="1" applyFill="1" applyBorder="1" applyAlignment="1">
      <alignment horizontal="center" vertical="center"/>
    </xf>
    <xf numFmtId="4" fontId="18" fillId="3" borderId="9" xfId="0" applyNumberFormat="1" applyFont="1" applyFill="1" applyBorder="1" applyAlignment="1">
      <alignment horizontal="center" vertical="center"/>
    </xf>
    <xf numFmtId="4" fontId="18" fillId="3" borderId="1" xfId="0" applyNumberFormat="1" applyFont="1" applyFill="1" applyBorder="1" applyAlignment="1">
      <alignment horizontal="center" vertical="center"/>
    </xf>
    <xf numFmtId="165" fontId="18" fillId="0" borderId="0" xfId="3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4" fontId="18" fillId="0" borderId="0" xfId="1" applyNumberFormat="1" applyFont="1" applyAlignment="1">
      <alignment horizontal="center" vertical="center"/>
    </xf>
    <xf numFmtId="165" fontId="19" fillId="0" borderId="0" xfId="3" applyFont="1" applyAlignment="1">
      <alignment vertical="center"/>
    </xf>
    <xf numFmtId="165" fontId="20" fillId="0" borderId="0" xfId="3" applyFont="1" applyAlignment="1">
      <alignment horizontal="center" vertical="center" wrapText="1"/>
    </xf>
    <xf numFmtId="165" fontId="20" fillId="0" borderId="0" xfId="3" applyFont="1" applyAlignment="1">
      <alignment horizontal="center" vertical="center"/>
    </xf>
    <xf numFmtId="184" fontId="20" fillId="0" borderId="0" xfId="3" applyNumberFormat="1" applyFont="1" applyAlignment="1">
      <alignment horizontal="center" vertical="center"/>
    </xf>
    <xf numFmtId="184" fontId="2" fillId="0" borderId="0" xfId="3" applyNumberFormat="1" applyAlignment="1">
      <alignment horizontal="center" vertical="center"/>
    </xf>
    <xf numFmtId="185" fontId="19" fillId="0" borderId="0" xfId="1" applyNumberFormat="1" applyFont="1" applyAlignment="1">
      <alignment vertical="center"/>
    </xf>
    <xf numFmtId="4" fontId="18" fillId="3" borderId="11" xfId="1" applyNumberFormat="1" applyFont="1" applyFill="1" applyBorder="1" applyAlignment="1">
      <alignment horizontal="center" vertical="center"/>
    </xf>
    <xf numFmtId="4" fontId="2" fillId="0" borderId="12" xfId="1" applyNumberFormat="1" applyBorder="1" applyAlignment="1">
      <alignment horizontal="center" vertical="center"/>
    </xf>
    <xf numFmtId="4" fontId="2" fillId="0" borderId="65" xfId="1" applyNumberFormat="1" applyBorder="1" applyAlignment="1">
      <alignment horizontal="center" vertical="center"/>
    </xf>
    <xf numFmtId="4" fontId="2" fillId="0" borderId="16" xfId="1" applyNumberFormat="1" applyBorder="1" applyAlignment="1">
      <alignment horizontal="center" vertical="center"/>
    </xf>
    <xf numFmtId="184" fontId="20" fillId="0" borderId="17" xfId="3" applyNumberFormat="1" applyFont="1" applyBorder="1" applyAlignment="1">
      <alignment horizontal="center" vertical="center"/>
    </xf>
    <xf numFmtId="10" fontId="31" fillId="3" borderId="0" xfId="2" applyNumberFormat="1" applyFont="1" applyFill="1" applyAlignment="1">
      <alignment vertical="center"/>
    </xf>
    <xf numFmtId="4" fontId="18" fillId="3" borderId="19" xfId="0" applyNumberFormat="1" applyFont="1" applyFill="1" applyBorder="1" applyAlignment="1">
      <alignment horizontal="center" vertical="center"/>
    </xf>
    <xf numFmtId="4" fontId="18" fillId="3" borderId="2" xfId="0" applyNumberFormat="1" applyFont="1" applyFill="1" applyBorder="1" applyAlignment="1">
      <alignment horizontal="center" vertical="center"/>
    </xf>
    <xf numFmtId="4" fontId="18" fillId="3" borderId="11" xfId="0" applyNumberFormat="1" applyFont="1" applyFill="1" applyBorder="1" applyAlignment="1">
      <alignment horizontal="center" vertical="center"/>
    </xf>
    <xf numFmtId="4" fontId="18" fillId="3" borderId="10" xfId="0" applyNumberFormat="1" applyFont="1" applyFill="1" applyBorder="1" applyAlignment="1">
      <alignment horizontal="center" vertical="center"/>
    </xf>
    <xf numFmtId="4" fontId="18" fillId="3" borderId="5" xfId="0" applyNumberFormat="1" applyFont="1" applyFill="1" applyBorder="1" applyAlignment="1">
      <alignment horizontal="center" vertical="center"/>
    </xf>
    <xf numFmtId="4" fontId="18" fillId="3" borderId="71" xfId="0" applyNumberFormat="1" applyFont="1" applyFill="1" applyBorder="1" applyAlignment="1">
      <alignment horizontal="center" vertical="center"/>
    </xf>
    <xf numFmtId="4" fontId="18" fillId="3" borderId="72" xfId="0" applyNumberFormat="1" applyFont="1" applyFill="1" applyBorder="1" applyAlignment="1">
      <alignment horizontal="center" vertical="center"/>
    </xf>
    <xf numFmtId="4" fontId="24" fillId="3" borderId="19" xfId="0" applyNumberFormat="1" applyFont="1" applyFill="1" applyBorder="1" applyAlignment="1">
      <alignment horizontal="center" vertical="center"/>
    </xf>
    <xf numFmtId="4" fontId="24" fillId="3" borderId="2" xfId="0" applyNumberFormat="1" applyFont="1" applyFill="1" applyBorder="1" applyAlignment="1">
      <alignment horizontal="center" vertical="center"/>
    </xf>
    <xf numFmtId="4" fontId="24" fillId="3" borderId="74" xfId="0" applyNumberFormat="1" applyFont="1" applyFill="1" applyBorder="1" applyAlignment="1">
      <alignment horizontal="center" vertical="center"/>
    </xf>
    <xf numFmtId="3" fontId="5" fillId="3" borderId="0" xfId="0" applyNumberFormat="1" applyFont="1" applyFill="1" applyAlignment="1">
      <alignment vertical="center"/>
    </xf>
    <xf numFmtId="165" fontId="36" fillId="0" borderId="0" xfId="6" applyFont="1" applyAlignment="1">
      <alignment horizontal="center" vertical="center"/>
    </xf>
    <xf numFmtId="44" fontId="5" fillId="0" borderId="0" xfId="0" applyNumberFormat="1" applyFont="1" applyAlignment="1">
      <alignment vertical="center"/>
    </xf>
    <xf numFmtId="4" fontId="24" fillId="3" borderId="33" xfId="0" applyNumberFormat="1" applyFont="1" applyFill="1" applyBorder="1" applyAlignment="1">
      <alignment horizontal="center" vertical="center"/>
    </xf>
    <xf numFmtId="4" fontId="18" fillId="3" borderId="24" xfId="0" applyNumberFormat="1" applyFont="1" applyFill="1" applyBorder="1" applyAlignment="1">
      <alignment horizontal="center" vertical="center"/>
    </xf>
    <xf numFmtId="4" fontId="18" fillId="3" borderId="1" xfId="0" applyNumberFormat="1" applyFont="1" applyFill="1" applyBorder="1" applyAlignment="1">
      <alignment vertical="center"/>
    </xf>
    <xf numFmtId="4" fontId="17" fillId="3" borderId="1" xfId="0" applyNumberFormat="1" applyFont="1" applyFill="1" applyBorder="1" applyAlignment="1">
      <alignment vertical="center"/>
    </xf>
    <xf numFmtId="185" fontId="31" fillId="0" borderId="0" xfId="0" applyNumberFormat="1" applyFont="1" applyAlignment="1">
      <alignment vertical="center"/>
    </xf>
    <xf numFmtId="184" fontId="31" fillId="0" borderId="0" xfId="3" applyNumberFormat="1" applyFont="1" applyAlignment="1">
      <alignment vertical="center"/>
    </xf>
    <xf numFmtId="184" fontId="31" fillId="0" borderId="0" xfId="3" applyNumberFormat="1" applyFont="1" applyAlignment="1">
      <alignment horizontal="center" vertical="center"/>
    </xf>
    <xf numFmtId="0" fontId="17" fillId="0" borderId="0" xfId="0" applyFont="1" applyAlignment="1">
      <alignment horizontal="right" vertical="center" indent="1"/>
    </xf>
    <xf numFmtId="10" fontId="17" fillId="9" borderId="17" xfId="2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right" vertical="center"/>
    </xf>
    <xf numFmtId="9" fontId="17" fillId="0" borderId="0" xfId="2" applyFont="1" applyAlignment="1">
      <alignment horizontal="center" vertical="center"/>
    </xf>
    <xf numFmtId="10" fontId="42" fillId="0" borderId="0" xfId="2" applyNumberFormat="1" applyFont="1" applyAlignment="1">
      <alignment horizontal="center" vertical="center"/>
    </xf>
    <xf numFmtId="170" fontId="30" fillId="3" borderId="0" xfId="0" applyNumberFormat="1" applyFont="1" applyFill="1" applyAlignment="1">
      <alignment horizontal="center" vertical="center"/>
    </xf>
    <xf numFmtId="185" fontId="31" fillId="4" borderId="3" xfId="0" applyNumberFormat="1" applyFont="1" applyFill="1" applyBorder="1" applyAlignment="1">
      <alignment vertical="center"/>
    </xf>
    <xf numFmtId="185" fontId="31" fillId="4" borderId="55" xfId="0" applyNumberFormat="1" applyFont="1" applyFill="1" applyBorder="1" applyAlignment="1">
      <alignment vertical="center"/>
    </xf>
    <xf numFmtId="0" fontId="20" fillId="0" borderId="0" xfId="0" applyFont="1" applyAlignment="1">
      <alignment horizontal="center" vertical="center" wrapText="1"/>
    </xf>
    <xf numFmtId="3" fontId="24" fillId="0" borderId="0" xfId="0" applyNumberFormat="1" applyFont="1" applyAlignment="1">
      <alignment horizontal="center" vertical="center"/>
    </xf>
    <xf numFmtId="2" fontId="0" fillId="0" borderId="136" xfId="0" applyNumberFormat="1" applyBorder="1" applyAlignment="1" applyProtection="1">
      <alignment horizontal="center" vertical="center"/>
      <protection hidden="1"/>
    </xf>
    <xf numFmtId="9" fontId="0" fillId="0" borderId="137" xfId="2" applyFont="1" applyBorder="1" applyAlignment="1" applyProtection="1">
      <alignment horizontal="center" vertical="center"/>
      <protection hidden="1"/>
    </xf>
    <xf numFmtId="2" fontId="0" fillId="0" borderId="52" xfId="0" applyNumberFormat="1" applyBorder="1" applyAlignment="1" applyProtection="1">
      <alignment horizontal="center" vertical="center"/>
      <protection hidden="1"/>
    </xf>
    <xf numFmtId="9" fontId="0" fillId="0" borderId="138" xfId="2" applyFont="1" applyBorder="1" applyAlignment="1" applyProtection="1">
      <alignment horizontal="center" vertical="center"/>
      <protection hidden="1"/>
    </xf>
    <xf numFmtId="2" fontId="18" fillId="0" borderId="50" xfId="0" applyNumberFormat="1" applyFont="1" applyBorder="1" applyAlignment="1">
      <alignment horizontal="center" vertical="center"/>
    </xf>
    <xf numFmtId="9" fontId="0" fillId="0" borderId="53" xfId="2" applyFont="1" applyBorder="1" applyAlignment="1" applyProtection="1">
      <alignment horizontal="center" vertical="center"/>
      <protection hidden="1"/>
    </xf>
    <xf numFmtId="2" fontId="0" fillId="0" borderId="53" xfId="0" applyNumberFormat="1" applyBorder="1" applyAlignment="1" applyProtection="1">
      <alignment horizontal="center" vertical="center"/>
      <protection hidden="1"/>
    </xf>
    <xf numFmtId="165" fontId="18" fillId="0" borderId="2" xfId="3" applyFont="1" applyBorder="1" applyAlignment="1">
      <alignment horizontal="center" vertical="center"/>
    </xf>
    <xf numFmtId="165" fontId="18" fillId="0" borderId="11" xfId="3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0" fillId="0" borderId="0" xfId="0" applyNumberFormat="1" applyAlignment="1" applyProtection="1">
      <alignment horizontal="center" vertical="center"/>
      <protection hidden="1"/>
    </xf>
    <xf numFmtId="169" fontId="0" fillId="0" borderId="0" xfId="3" applyNumberFormat="1" applyFont="1" applyAlignment="1">
      <alignment horizontal="center" vertical="center"/>
    </xf>
    <xf numFmtId="0" fontId="2" fillId="0" borderId="19" xfId="0" applyFont="1" applyBorder="1" applyAlignment="1">
      <alignment horizontal="center"/>
    </xf>
    <xf numFmtId="165" fontId="18" fillId="0" borderId="1" xfId="3" applyFont="1" applyBorder="1" applyAlignment="1">
      <alignment horizontal="center" vertical="center"/>
    </xf>
    <xf numFmtId="165" fontId="18" fillId="0" borderId="19" xfId="3" applyFont="1" applyBorder="1" applyAlignment="1">
      <alignment horizontal="center" vertical="center"/>
    </xf>
    <xf numFmtId="165" fontId="18" fillId="0" borderId="24" xfId="3" applyFont="1" applyBorder="1" applyAlignment="1">
      <alignment horizontal="center" vertical="center"/>
    </xf>
    <xf numFmtId="165" fontId="18" fillId="0" borderId="5" xfId="3" applyFont="1" applyBorder="1" applyAlignment="1">
      <alignment horizontal="center" vertical="center"/>
    </xf>
    <xf numFmtId="165" fontId="8" fillId="0" borderId="0" xfId="3" applyFont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165" fontId="8" fillId="3" borderId="0" xfId="3" applyFont="1" applyFill="1" applyAlignment="1">
      <alignment vertical="center"/>
    </xf>
    <xf numFmtId="165" fontId="24" fillId="0" borderId="33" xfId="3" applyFont="1" applyBorder="1" applyAlignment="1">
      <alignment horizontal="center" vertical="center"/>
    </xf>
    <xf numFmtId="165" fontId="49" fillId="0" borderId="139" xfId="3" applyFont="1" applyBorder="1" applyAlignment="1">
      <alignment vertical="center"/>
    </xf>
    <xf numFmtId="165" fontId="49" fillId="0" borderId="72" xfId="3" applyFont="1" applyBorder="1" applyAlignment="1">
      <alignment vertical="center"/>
    </xf>
    <xf numFmtId="165" fontId="49" fillId="0" borderId="140" xfId="3" applyFont="1" applyBorder="1" applyAlignment="1">
      <alignment vertical="center"/>
    </xf>
    <xf numFmtId="0" fontId="50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173" fontId="49" fillId="0" borderId="0" xfId="0" applyNumberFormat="1" applyFont="1" applyAlignment="1">
      <alignment vertical="center"/>
    </xf>
    <xf numFmtId="0" fontId="43" fillId="0" borderId="0" xfId="0" applyFont="1" applyAlignment="1">
      <alignment vertical="center"/>
    </xf>
    <xf numFmtId="173" fontId="53" fillId="0" borderId="0" xfId="0" applyNumberFormat="1" applyFont="1" applyAlignment="1">
      <alignment vertical="center"/>
    </xf>
    <xf numFmtId="173" fontId="53" fillId="0" borderId="17" xfId="0" applyNumberFormat="1" applyFont="1" applyBorder="1" applyAlignment="1">
      <alignment horizontal="center" vertical="center"/>
    </xf>
    <xf numFmtId="173" fontId="53" fillId="0" borderId="12" xfId="0" applyNumberFormat="1" applyFont="1" applyBorder="1" applyAlignment="1">
      <alignment horizontal="center" vertical="center"/>
    </xf>
    <xf numFmtId="165" fontId="53" fillId="0" borderId="13" xfId="6" applyFont="1" applyBorder="1" applyAlignment="1">
      <alignment horizontal="center" vertical="center"/>
    </xf>
    <xf numFmtId="165" fontId="53" fillId="0" borderId="17" xfId="6" applyFont="1" applyBorder="1" applyAlignment="1">
      <alignment horizontal="center" vertical="center"/>
    </xf>
    <xf numFmtId="1" fontId="53" fillId="0" borderId="13" xfId="0" applyNumberFormat="1" applyFont="1" applyBorder="1" applyAlignment="1">
      <alignment horizontal="left" vertical="center"/>
    </xf>
    <xf numFmtId="165" fontId="53" fillId="0" borderId="17" xfId="3" applyFont="1" applyBorder="1" applyAlignment="1">
      <alignment vertical="center"/>
    </xf>
    <xf numFmtId="175" fontId="53" fillId="0" borderId="0" xfId="7" applyNumberFormat="1" applyFont="1" applyAlignment="1">
      <alignment vertical="center"/>
    </xf>
    <xf numFmtId="37" fontId="53" fillId="0" borderId="12" xfId="0" applyNumberFormat="1" applyFont="1" applyBorder="1" applyAlignment="1">
      <alignment vertical="center"/>
    </xf>
    <xf numFmtId="173" fontId="53" fillId="0" borderId="69" xfId="0" applyNumberFormat="1" applyFont="1" applyBorder="1" applyAlignment="1">
      <alignment vertical="center"/>
    </xf>
    <xf numFmtId="173" fontId="53" fillId="0" borderId="38" xfId="0" applyNumberFormat="1" applyFont="1" applyBorder="1" applyAlignment="1">
      <alignment vertical="center"/>
    </xf>
    <xf numFmtId="173" fontId="53" fillId="0" borderId="75" xfId="0" applyNumberFormat="1" applyFont="1" applyBorder="1" applyAlignment="1">
      <alignment vertical="center"/>
    </xf>
    <xf numFmtId="165" fontId="53" fillId="0" borderId="12" xfId="3" applyFont="1" applyBorder="1" applyAlignment="1">
      <alignment vertical="center"/>
    </xf>
    <xf numFmtId="175" fontId="53" fillId="0" borderId="0" xfId="0" applyNumberFormat="1" applyFont="1" applyAlignment="1">
      <alignment vertical="center"/>
    </xf>
    <xf numFmtId="4" fontId="49" fillId="0" borderId="139" xfId="8" applyNumberFormat="1" applyFont="1" applyBorder="1" applyAlignment="1">
      <alignment vertical="center" wrapText="1"/>
    </xf>
    <xf numFmtId="169" fontId="49" fillId="0" borderId="72" xfId="6" applyNumberFormat="1" applyFont="1" applyBorder="1" applyAlignment="1">
      <alignment vertical="center"/>
    </xf>
    <xf numFmtId="176" fontId="49" fillId="0" borderId="0" xfId="3" applyNumberFormat="1" applyFont="1" applyAlignment="1">
      <alignment vertical="center"/>
    </xf>
    <xf numFmtId="169" fontId="49" fillId="0" borderId="73" xfId="6" applyNumberFormat="1" applyFont="1" applyBorder="1" applyAlignment="1">
      <alignment vertical="center"/>
    </xf>
    <xf numFmtId="165" fontId="49" fillId="0" borderId="73" xfId="3" applyFont="1" applyBorder="1" applyAlignment="1">
      <alignment vertical="center"/>
    </xf>
    <xf numFmtId="165" fontId="49" fillId="0" borderId="146" xfId="3" applyFont="1" applyBorder="1" applyAlignment="1">
      <alignment vertical="center"/>
    </xf>
    <xf numFmtId="165" fontId="49" fillId="0" borderId="147" xfId="3" applyFont="1" applyBorder="1" applyAlignment="1">
      <alignment vertical="center"/>
    </xf>
    <xf numFmtId="165" fontId="49" fillId="0" borderId="148" xfId="3" applyFont="1" applyBorder="1" applyAlignment="1">
      <alignment vertical="center"/>
    </xf>
    <xf numFmtId="165" fontId="49" fillId="0" borderId="149" xfId="3" applyFont="1" applyBorder="1" applyAlignment="1">
      <alignment vertical="center"/>
    </xf>
    <xf numFmtId="165" fontId="49" fillId="0" borderId="0" xfId="3" applyFont="1" applyAlignment="1">
      <alignment vertical="center"/>
    </xf>
    <xf numFmtId="165" fontId="49" fillId="0" borderId="14" xfId="3" applyFont="1" applyBorder="1" applyAlignment="1">
      <alignment vertical="center"/>
    </xf>
    <xf numFmtId="165" fontId="53" fillId="0" borderId="94" xfId="3" applyFont="1" applyBorder="1" applyAlignment="1">
      <alignment vertical="center"/>
    </xf>
    <xf numFmtId="173" fontId="49" fillId="0" borderId="142" xfId="0" applyNumberFormat="1" applyFont="1" applyBorder="1" applyAlignment="1">
      <alignment vertical="center" wrapText="1"/>
    </xf>
    <xf numFmtId="169" fontId="49" fillId="0" borderId="71" xfId="6" applyNumberFormat="1" applyFont="1" applyBorder="1" applyAlignment="1">
      <alignment vertical="center"/>
    </xf>
    <xf numFmtId="165" fontId="49" fillId="0" borderId="71" xfId="3" applyFont="1" applyBorder="1" applyAlignment="1">
      <alignment vertical="center"/>
    </xf>
    <xf numFmtId="165" fontId="49" fillId="0" borderId="143" xfId="3" applyFont="1" applyBorder="1" applyAlignment="1">
      <alignment vertical="center"/>
    </xf>
    <xf numFmtId="165" fontId="49" fillId="0" borderId="142" xfId="3" applyFont="1" applyBorder="1" applyAlignment="1">
      <alignment vertical="center"/>
    </xf>
    <xf numFmtId="173" fontId="49" fillId="0" borderId="145" xfId="0" applyNumberFormat="1" applyFont="1" applyBorder="1" applyAlignment="1">
      <alignment vertical="center" wrapText="1"/>
    </xf>
    <xf numFmtId="173" fontId="49" fillId="0" borderId="0" xfId="0" applyNumberFormat="1" applyFont="1" applyAlignment="1">
      <alignment vertical="center" wrapText="1"/>
    </xf>
    <xf numFmtId="169" fontId="49" fillId="0" borderId="0" xfId="6" applyNumberFormat="1" applyFont="1" applyAlignment="1">
      <alignment vertical="center"/>
    </xf>
    <xf numFmtId="165" fontId="53" fillId="0" borderId="14" xfId="3" applyFont="1" applyBorder="1" applyAlignment="1">
      <alignment vertical="center"/>
    </xf>
    <xf numFmtId="173" fontId="49" fillId="0" borderId="139" xfId="0" applyNumberFormat="1" applyFont="1" applyBorder="1" applyAlignment="1">
      <alignment vertical="center" wrapText="1"/>
    </xf>
    <xf numFmtId="165" fontId="49" fillId="0" borderId="145" xfId="3" applyFont="1" applyBorder="1" applyAlignment="1">
      <alignment vertical="center"/>
    </xf>
    <xf numFmtId="169" fontId="49" fillId="0" borderId="0" xfId="0" applyNumberFormat="1" applyFont="1" applyAlignment="1">
      <alignment vertical="center"/>
    </xf>
    <xf numFmtId="1" fontId="53" fillId="0" borderId="17" xfId="0" applyNumberFormat="1" applyFont="1" applyBorder="1" applyAlignment="1">
      <alignment horizontal="left" vertical="center"/>
    </xf>
    <xf numFmtId="173" fontId="53" fillId="0" borderId="13" xfId="0" applyNumberFormat="1" applyFont="1" applyBorder="1" applyAlignment="1">
      <alignment vertical="center"/>
    </xf>
    <xf numFmtId="173" fontId="53" fillId="0" borderId="14" xfId="0" applyNumberFormat="1" applyFont="1" applyBorder="1" applyAlignment="1">
      <alignment vertical="center"/>
    </xf>
    <xf numFmtId="165" fontId="53" fillId="0" borderId="15" xfId="3" applyFont="1" applyBorder="1" applyAlignment="1">
      <alignment vertical="center"/>
    </xf>
    <xf numFmtId="37" fontId="53" fillId="0" borderId="13" xfId="0" applyNumberFormat="1" applyFont="1" applyBorder="1" applyAlignment="1">
      <alignment vertical="center"/>
    </xf>
    <xf numFmtId="173" fontId="49" fillId="0" borderId="139" xfId="0" applyNumberFormat="1" applyFont="1" applyBorder="1" applyAlignment="1">
      <alignment vertical="center"/>
    </xf>
    <xf numFmtId="37" fontId="53" fillId="0" borderId="69" xfId="0" applyNumberFormat="1" applyFont="1" applyBorder="1" applyAlignment="1">
      <alignment vertical="center"/>
    </xf>
    <xf numFmtId="173" fontId="53" fillId="0" borderId="104" xfId="0" applyNumberFormat="1" applyFont="1" applyBorder="1" applyAlignment="1">
      <alignment vertical="center"/>
    </xf>
    <xf numFmtId="165" fontId="53" fillId="0" borderId="57" xfId="3" applyFont="1" applyBorder="1" applyAlignment="1">
      <alignment vertical="center"/>
    </xf>
    <xf numFmtId="165" fontId="53" fillId="0" borderId="105" xfId="3" applyFont="1" applyBorder="1" applyAlignment="1">
      <alignment vertical="center"/>
    </xf>
    <xf numFmtId="176" fontId="49" fillId="0" borderId="131" xfId="3" applyNumberFormat="1" applyFont="1" applyBorder="1" applyAlignment="1">
      <alignment vertical="center"/>
    </xf>
    <xf numFmtId="165" fontId="43" fillId="0" borderId="0" xfId="0" applyNumberFormat="1" applyFont="1" applyAlignment="1">
      <alignment vertical="center"/>
    </xf>
    <xf numFmtId="165" fontId="49" fillId="0" borderId="72" xfId="3" quotePrefix="1" applyFont="1" applyBorder="1" applyAlignment="1">
      <alignment vertical="center"/>
    </xf>
    <xf numFmtId="37" fontId="53" fillId="0" borderId="17" xfId="0" applyNumberFormat="1" applyFont="1" applyBorder="1" applyAlignment="1">
      <alignment vertical="center"/>
    </xf>
    <xf numFmtId="165" fontId="53" fillId="0" borderId="16" xfId="3" applyFont="1" applyBorder="1" applyAlignment="1">
      <alignment vertical="center"/>
    </xf>
    <xf numFmtId="173" fontId="49" fillId="0" borderId="14" xfId="0" applyNumberFormat="1" applyFont="1" applyBorder="1" applyAlignment="1">
      <alignment vertical="center"/>
    </xf>
    <xf numFmtId="165" fontId="49" fillId="0" borderId="15" xfId="3" applyFont="1" applyBorder="1" applyAlignment="1">
      <alignment vertical="center"/>
    </xf>
    <xf numFmtId="0" fontId="43" fillId="0" borderId="0" xfId="0" applyFont="1"/>
    <xf numFmtId="173" fontId="53" fillId="0" borderId="106" xfId="0" applyNumberFormat="1" applyFont="1" applyBorder="1" applyAlignment="1">
      <alignment vertical="center"/>
    </xf>
    <xf numFmtId="173" fontId="49" fillId="0" borderId="141" xfId="0" applyNumberFormat="1" applyFont="1" applyBorder="1" applyAlignment="1">
      <alignment horizontal="center" vertical="center"/>
    </xf>
    <xf numFmtId="173" fontId="49" fillId="0" borderId="144" xfId="0" applyNumberFormat="1" applyFont="1" applyBorder="1" applyAlignment="1">
      <alignment horizontal="center" vertical="center"/>
    </xf>
    <xf numFmtId="173" fontId="49" fillId="0" borderId="144" xfId="0" applyNumberFormat="1" applyFont="1" applyBorder="1" applyAlignment="1">
      <alignment vertical="center"/>
    </xf>
    <xf numFmtId="4" fontId="49" fillId="9" borderId="139" xfId="8" applyNumberFormat="1" applyFont="1" applyFill="1" applyBorder="1" applyAlignment="1">
      <alignment vertical="center" wrapText="1"/>
    </xf>
    <xf numFmtId="169" fontId="49" fillId="9" borderId="72" xfId="6" applyNumberFormat="1" applyFont="1" applyFill="1" applyBorder="1" applyAlignment="1">
      <alignment vertical="center"/>
    </xf>
    <xf numFmtId="165" fontId="49" fillId="9" borderId="72" xfId="3" applyFont="1" applyFill="1" applyBorder="1" applyAlignment="1">
      <alignment vertical="center"/>
    </xf>
    <xf numFmtId="165" fontId="49" fillId="9" borderId="140" xfId="3" applyFont="1" applyFill="1" applyBorder="1" applyAlignment="1">
      <alignment vertical="center"/>
    </xf>
    <xf numFmtId="165" fontId="49" fillId="9" borderId="139" xfId="3" applyFont="1" applyFill="1" applyBorder="1" applyAlignment="1">
      <alignment vertical="center"/>
    </xf>
    <xf numFmtId="173" fontId="49" fillId="0" borderId="79" xfId="0" applyNumberFormat="1" applyFont="1" applyBorder="1" applyAlignment="1">
      <alignment vertical="center"/>
    </xf>
    <xf numFmtId="173" fontId="49" fillId="9" borderId="139" xfId="0" applyNumberFormat="1" applyFont="1" applyFill="1" applyBorder="1" applyAlignment="1">
      <alignment vertical="center"/>
    </xf>
    <xf numFmtId="165" fontId="49" fillId="9" borderId="139" xfId="3" applyFont="1" applyFill="1" applyBorder="1" applyAlignment="1">
      <alignment horizontal="center" vertical="center"/>
    </xf>
    <xf numFmtId="165" fontId="49" fillId="9" borderId="72" xfId="3" applyFont="1" applyFill="1" applyBorder="1" applyAlignment="1">
      <alignment horizontal="center" vertical="center"/>
    </xf>
    <xf numFmtId="165" fontId="49" fillId="9" borderId="140" xfId="3" applyFont="1" applyFill="1" applyBorder="1" applyAlignment="1">
      <alignment horizontal="center" vertical="center"/>
    </xf>
    <xf numFmtId="173" fontId="49" fillId="0" borderId="65" xfId="0" applyNumberFormat="1" applyFont="1" applyBorder="1" applyAlignment="1">
      <alignment vertical="center"/>
    </xf>
    <xf numFmtId="173" fontId="49" fillId="9" borderId="139" xfId="0" applyNumberFormat="1" applyFont="1" applyFill="1" applyBorder="1" applyAlignment="1">
      <alignment vertical="center" wrapText="1"/>
    </xf>
    <xf numFmtId="173" fontId="49" fillId="0" borderId="106" xfId="0" applyNumberFormat="1" applyFont="1" applyBorder="1" applyAlignment="1">
      <alignment horizontal="center" vertical="center"/>
    </xf>
    <xf numFmtId="4" fontId="49" fillId="0" borderId="147" xfId="8" applyNumberFormat="1" applyFont="1" applyBorder="1" applyAlignment="1">
      <alignment vertical="center" wrapText="1"/>
    </xf>
    <xf numFmtId="169" fontId="49" fillId="0" borderId="148" xfId="6" applyNumberFormat="1" applyFont="1" applyBorder="1" applyAlignment="1">
      <alignment vertical="center"/>
    </xf>
    <xf numFmtId="173" fontId="49" fillId="0" borderId="38" xfId="0" applyNumberFormat="1" applyFont="1" applyBorder="1" applyAlignment="1">
      <alignment horizontal="center" vertical="center"/>
    </xf>
    <xf numFmtId="4" fontId="49" fillId="0" borderId="38" xfId="8" applyNumberFormat="1" applyFont="1" applyBorder="1" applyAlignment="1">
      <alignment vertical="center" wrapText="1"/>
    </xf>
    <xf numFmtId="169" fontId="49" fillId="0" borderId="38" xfId="6" applyNumberFormat="1" applyFont="1" applyBorder="1" applyAlignment="1">
      <alignment vertical="center"/>
    </xf>
    <xf numFmtId="165" fontId="49" fillId="0" borderId="38" xfId="3" applyFont="1" applyBorder="1" applyAlignment="1">
      <alignment vertical="center"/>
    </xf>
    <xf numFmtId="176" fontId="49" fillId="0" borderId="38" xfId="3" applyNumberFormat="1" applyFont="1" applyBorder="1" applyAlignment="1">
      <alignment vertical="center"/>
    </xf>
    <xf numFmtId="173" fontId="53" fillId="0" borderId="17" xfId="0" applyNumberFormat="1" applyFont="1" applyBorder="1" applyAlignment="1">
      <alignment vertical="center"/>
    </xf>
    <xf numFmtId="37" fontId="53" fillId="0" borderId="67" xfId="0" applyNumberFormat="1" applyFont="1" applyBorder="1" applyAlignment="1">
      <alignment vertical="center"/>
    </xf>
    <xf numFmtId="173" fontId="53" fillId="0" borderId="94" xfId="0" applyNumberFormat="1" applyFont="1" applyBorder="1" applyAlignment="1">
      <alignment vertical="center"/>
    </xf>
    <xf numFmtId="165" fontId="53" fillId="0" borderId="95" xfId="3" applyFont="1" applyBorder="1" applyAlignment="1">
      <alignment vertical="center"/>
    </xf>
    <xf numFmtId="165" fontId="53" fillId="0" borderId="67" xfId="3" applyFont="1" applyBorder="1" applyAlignment="1">
      <alignment vertical="center"/>
    </xf>
    <xf numFmtId="173" fontId="49" fillId="0" borderId="16" xfId="0" applyNumberFormat="1" applyFont="1" applyBorder="1" applyAlignment="1">
      <alignment vertical="center"/>
    </xf>
    <xf numFmtId="173" fontId="49" fillId="0" borderId="145" xfId="0" applyNumberFormat="1" applyFont="1" applyBorder="1" applyAlignment="1">
      <alignment vertical="center"/>
    </xf>
    <xf numFmtId="173" fontId="53" fillId="0" borderId="93" xfId="0" applyNumberFormat="1" applyFont="1" applyBorder="1" applyAlignment="1">
      <alignment vertical="center"/>
    </xf>
    <xf numFmtId="165" fontId="53" fillId="0" borderId="68" xfId="3" applyFont="1" applyBorder="1" applyAlignment="1">
      <alignment vertical="center"/>
    </xf>
    <xf numFmtId="175" fontId="53" fillId="0" borderId="38" xfId="0" applyNumberFormat="1" applyFont="1" applyBorder="1" applyAlignment="1">
      <alignment vertical="center"/>
    </xf>
    <xf numFmtId="173" fontId="49" fillId="0" borderId="78" xfId="0" applyNumberFormat="1" applyFont="1" applyBorder="1" applyAlignment="1">
      <alignment vertical="center"/>
    </xf>
    <xf numFmtId="173" fontId="49" fillId="0" borderId="150" xfId="0" applyNumberFormat="1" applyFont="1" applyBorder="1" applyAlignment="1">
      <alignment vertical="center"/>
    </xf>
    <xf numFmtId="173" fontId="49" fillId="9" borderId="58" xfId="0" applyNumberFormat="1" applyFont="1" applyFill="1" applyBorder="1" applyAlignment="1">
      <alignment vertical="center" wrapText="1"/>
    </xf>
    <xf numFmtId="169" fontId="49" fillId="9" borderId="59" xfId="6" applyNumberFormat="1" applyFont="1" applyFill="1" applyBorder="1" applyAlignment="1">
      <alignment vertical="center"/>
    </xf>
    <xf numFmtId="165" fontId="49" fillId="9" borderId="59" xfId="3" applyFont="1" applyFill="1" applyBorder="1" applyAlignment="1">
      <alignment vertical="center"/>
    </xf>
    <xf numFmtId="165" fontId="49" fillId="9" borderId="85" xfId="3" applyFont="1" applyFill="1" applyBorder="1" applyAlignment="1">
      <alignment vertical="center"/>
    </xf>
    <xf numFmtId="176" fontId="49" fillId="9" borderId="0" xfId="3" applyNumberFormat="1" applyFont="1" applyFill="1" applyAlignment="1">
      <alignment vertical="center"/>
    </xf>
    <xf numFmtId="165" fontId="49" fillId="9" borderId="58" xfId="3" applyFont="1" applyFill="1" applyBorder="1" applyAlignment="1">
      <alignment vertical="center"/>
    </xf>
    <xf numFmtId="37" fontId="53" fillId="0" borderId="93" xfId="0" applyNumberFormat="1" applyFont="1" applyBorder="1" applyAlignment="1">
      <alignment vertical="center"/>
    </xf>
    <xf numFmtId="173" fontId="53" fillId="0" borderId="68" xfId="0" applyNumberFormat="1" applyFont="1" applyBorder="1" applyAlignment="1">
      <alignment vertical="center"/>
    </xf>
    <xf numFmtId="173" fontId="49" fillId="9" borderId="151" xfId="0" applyNumberFormat="1" applyFont="1" applyFill="1" applyBorder="1" applyAlignment="1">
      <alignment vertical="center" wrapText="1"/>
    </xf>
    <xf numFmtId="169" fontId="49" fillId="9" borderId="152" xfId="6" applyNumberFormat="1" applyFont="1" applyFill="1" applyBorder="1" applyAlignment="1">
      <alignment vertical="center"/>
    </xf>
    <xf numFmtId="165" fontId="49" fillId="9" borderId="152" xfId="3" applyFont="1" applyFill="1" applyBorder="1" applyAlignment="1">
      <alignment vertical="center"/>
    </xf>
    <xf numFmtId="165" fontId="49" fillId="9" borderId="153" xfId="3" applyFont="1" applyFill="1" applyBorder="1" applyAlignment="1">
      <alignment vertical="center"/>
    </xf>
    <xf numFmtId="165" fontId="49" fillId="9" borderId="151" xfId="3" applyFont="1" applyFill="1" applyBorder="1" applyAlignment="1">
      <alignment vertical="center"/>
    </xf>
    <xf numFmtId="173" fontId="53" fillId="0" borderId="103" xfId="0" applyNumberFormat="1" applyFont="1" applyBorder="1" applyAlignment="1">
      <alignment vertical="center"/>
    </xf>
    <xf numFmtId="175" fontId="53" fillId="0" borderId="65" xfId="0" applyNumberFormat="1" applyFont="1" applyBorder="1" applyAlignment="1">
      <alignment vertical="center"/>
    </xf>
    <xf numFmtId="165" fontId="49" fillId="0" borderId="154" xfId="3" applyFont="1" applyBorder="1" applyAlignment="1">
      <alignment vertical="center"/>
    </xf>
    <xf numFmtId="175" fontId="49" fillId="0" borderId="0" xfId="0" applyNumberFormat="1" applyFont="1" applyAlignment="1">
      <alignment vertical="center"/>
    </xf>
    <xf numFmtId="165" fontId="49" fillId="0" borderId="39" xfId="3" applyFont="1" applyBorder="1" applyAlignment="1">
      <alignment vertical="center"/>
    </xf>
    <xf numFmtId="1" fontId="53" fillId="0" borderId="13" xfId="0" applyNumberFormat="1" applyFont="1" applyBorder="1" applyAlignment="1">
      <alignment vertical="center"/>
    </xf>
    <xf numFmtId="165" fontId="53" fillId="0" borderId="75" xfId="3" applyFont="1" applyBorder="1" applyAlignment="1">
      <alignment horizontal="right" vertical="center"/>
    </xf>
    <xf numFmtId="43" fontId="43" fillId="0" borderId="0" xfId="3" applyNumberFormat="1" applyFont="1"/>
    <xf numFmtId="165" fontId="0" fillId="0" borderId="72" xfId="3" applyFont="1" applyBorder="1" applyAlignment="1">
      <alignment horizontal="center" vertical="center"/>
    </xf>
    <xf numFmtId="37" fontId="0" fillId="0" borderId="154" xfId="0" applyNumberFormat="1" applyBorder="1" applyAlignment="1">
      <alignment horizontal="center" vertical="center"/>
    </xf>
    <xf numFmtId="3" fontId="2" fillId="3" borderId="72" xfId="0" applyNumberFormat="1" applyFont="1" applyFill="1" applyBorder="1" applyAlignment="1">
      <alignment vertical="center"/>
    </xf>
    <xf numFmtId="37" fontId="0" fillId="0" borderId="157" xfId="0" applyNumberFormat="1" applyBorder="1" applyAlignment="1">
      <alignment horizontal="center" vertical="center"/>
    </xf>
    <xf numFmtId="37" fontId="0" fillId="0" borderId="72" xfId="0" applyNumberFormat="1" applyBorder="1" applyAlignment="1">
      <alignment horizontal="center" vertical="center"/>
    </xf>
    <xf numFmtId="37" fontId="2" fillId="0" borderId="154" xfId="0" applyNumberFormat="1" applyFont="1" applyBorder="1" applyAlignment="1">
      <alignment horizontal="center" vertical="center"/>
    </xf>
    <xf numFmtId="37" fontId="2" fillId="0" borderId="72" xfId="0" applyNumberFormat="1" applyFont="1" applyBorder="1" applyAlignment="1">
      <alignment horizontal="center" vertical="center"/>
    </xf>
    <xf numFmtId="37" fontId="2" fillId="0" borderId="157" xfId="0" applyNumberFormat="1" applyFont="1" applyBorder="1" applyAlignment="1">
      <alignment horizontal="center" vertical="center"/>
    </xf>
    <xf numFmtId="37" fontId="0" fillId="0" borderId="154" xfId="0" applyNumberFormat="1" applyBorder="1" applyAlignment="1">
      <alignment horizontal="center"/>
    </xf>
    <xf numFmtId="37" fontId="0" fillId="0" borderId="72" xfId="0" applyNumberFormat="1" applyBorder="1" applyAlignment="1">
      <alignment horizontal="center"/>
    </xf>
    <xf numFmtId="37" fontId="0" fillId="0" borderId="157" xfId="0" applyNumberFormat="1" applyBorder="1" applyAlignment="1">
      <alignment horizontal="center"/>
    </xf>
    <xf numFmtId="0" fontId="0" fillId="0" borderId="154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157" xfId="0" applyBorder="1" applyAlignment="1">
      <alignment horizontal="center"/>
    </xf>
    <xf numFmtId="3" fontId="0" fillId="0" borderId="154" xfId="0" applyNumberFormat="1" applyBorder="1" applyAlignment="1">
      <alignment horizontal="center" vertical="center"/>
    </xf>
    <xf numFmtId="3" fontId="2" fillId="0" borderId="72" xfId="0" applyNumberFormat="1" applyFont="1" applyBorder="1" applyAlignment="1">
      <alignment vertical="center"/>
    </xf>
    <xf numFmtId="0" fontId="0" fillId="0" borderId="154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0" fillId="0" borderId="158" xfId="0" applyBorder="1" applyAlignment="1">
      <alignment horizontal="center" vertical="center"/>
    </xf>
    <xf numFmtId="3" fontId="2" fillId="3" borderId="148" xfId="0" applyNumberFormat="1" applyFont="1" applyFill="1" applyBorder="1" applyAlignment="1">
      <alignment vertical="center"/>
    </xf>
    <xf numFmtId="0" fontId="0" fillId="0" borderId="148" xfId="0" applyBorder="1" applyAlignment="1">
      <alignment horizontal="center" vertical="center"/>
    </xf>
    <xf numFmtId="0" fontId="0" fillId="0" borderId="159" xfId="0" applyBorder="1" applyAlignment="1">
      <alignment horizontal="center" vertical="center"/>
    </xf>
    <xf numFmtId="3" fontId="0" fillId="0" borderId="155" xfId="0" applyNumberFormat="1" applyBorder="1" applyAlignment="1">
      <alignment horizontal="center" vertical="center"/>
    </xf>
    <xf numFmtId="0" fontId="2" fillId="0" borderId="152" xfId="0" applyFont="1" applyBorder="1" applyAlignment="1">
      <alignment vertical="center"/>
    </xf>
    <xf numFmtId="165" fontId="0" fillId="0" borderId="152" xfId="3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0" xfId="0" applyBorder="1" applyAlignment="1">
      <alignment horizontal="center"/>
    </xf>
    <xf numFmtId="165" fontId="0" fillId="0" borderId="156" xfId="3" applyFont="1" applyBorder="1" applyAlignment="1">
      <alignment horizontal="center" vertical="center"/>
    </xf>
    <xf numFmtId="165" fontId="0" fillId="0" borderId="157" xfId="3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3" fontId="9" fillId="3" borderId="24" xfId="3" applyNumberFormat="1" applyFont="1" applyFill="1" applyBorder="1" applyAlignment="1">
      <alignment horizontal="center" vertical="center"/>
    </xf>
    <xf numFmtId="3" fontId="9" fillId="0" borderId="24" xfId="3" applyNumberFormat="1" applyFont="1" applyBorder="1" applyAlignment="1">
      <alignment horizontal="center" vertical="center"/>
    </xf>
    <xf numFmtId="3" fontId="9" fillId="0" borderId="112" xfId="3" applyNumberFormat="1" applyFont="1" applyBorder="1" applyAlignment="1">
      <alignment horizontal="center" vertical="center"/>
    </xf>
    <xf numFmtId="165" fontId="9" fillId="0" borderId="0" xfId="3" applyFont="1" applyAlignment="1">
      <alignment horizontal="center" vertical="center"/>
    </xf>
    <xf numFmtId="3" fontId="9" fillId="3" borderId="40" xfId="0" applyNumberFormat="1" applyFont="1" applyFill="1" applyBorder="1" applyAlignment="1">
      <alignment horizontal="center" vertical="center"/>
    </xf>
    <xf numFmtId="4" fontId="9" fillId="3" borderId="9" xfId="0" applyNumberFormat="1" applyFont="1" applyFill="1" applyBorder="1" applyAlignment="1">
      <alignment horizontal="center" vertical="center"/>
    </xf>
    <xf numFmtId="165" fontId="9" fillId="3" borderId="40" xfId="3" applyFont="1" applyFill="1" applyBorder="1" applyAlignment="1">
      <alignment horizontal="center" vertical="center"/>
    </xf>
    <xf numFmtId="3" fontId="9" fillId="3" borderId="9" xfId="0" applyNumberFormat="1" applyFont="1" applyFill="1" applyBorder="1" applyAlignment="1">
      <alignment horizontal="center" vertical="center"/>
    </xf>
    <xf numFmtId="4" fontId="9" fillId="3" borderId="10" xfId="0" applyNumberFormat="1" applyFont="1" applyFill="1" applyBorder="1" applyAlignment="1">
      <alignment horizontal="center" vertical="center"/>
    </xf>
    <xf numFmtId="0" fontId="54" fillId="0" borderId="0" xfId="0" applyFont="1"/>
    <xf numFmtId="173" fontId="37" fillId="0" borderId="0" xfId="0" applyNumberFormat="1" applyFont="1" applyAlignment="1">
      <alignment vertical="center"/>
    </xf>
    <xf numFmtId="173" fontId="39" fillId="0" borderId="76" xfId="0" applyNumberFormat="1" applyFont="1" applyBorder="1" applyAlignment="1">
      <alignment vertical="center"/>
    </xf>
    <xf numFmtId="37" fontId="40" fillId="0" borderId="12" xfId="0" applyNumberFormat="1" applyFont="1" applyBorder="1" applyAlignment="1">
      <alignment vertical="center"/>
    </xf>
    <xf numFmtId="173" fontId="41" fillId="0" borderId="38" xfId="0" applyNumberFormat="1" applyFont="1" applyBorder="1" applyAlignment="1">
      <alignment vertical="center"/>
    </xf>
    <xf numFmtId="173" fontId="39" fillId="0" borderId="75" xfId="0" applyNumberFormat="1" applyFont="1" applyBorder="1" applyAlignment="1">
      <alignment vertical="center"/>
    </xf>
    <xf numFmtId="175" fontId="39" fillId="0" borderId="12" xfId="0" applyNumberFormat="1" applyFont="1" applyBorder="1" applyAlignment="1">
      <alignment vertical="center"/>
    </xf>
    <xf numFmtId="4" fontId="43" fillId="0" borderId="74" xfId="8" applyNumberFormat="1" applyFont="1" applyBorder="1" applyAlignment="1">
      <alignment vertical="center" wrapText="1"/>
    </xf>
    <xf numFmtId="4" fontId="43" fillId="0" borderId="99" xfId="8" applyNumberFormat="1" applyFont="1" applyBorder="1" applyAlignment="1">
      <alignment vertical="center" wrapText="1"/>
    </xf>
    <xf numFmtId="4" fontId="43" fillId="0" borderId="4" xfId="8" applyNumberFormat="1" applyFont="1" applyBorder="1" applyAlignment="1">
      <alignment vertical="center" wrapText="1"/>
    </xf>
    <xf numFmtId="173" fontId="39" fillId="0" borderId="17" xfId="0" applyNumberFormat="1" applyFont="1" applyBorder="1" applyAlignment="1">
      <alignment vertical="center"/>
    </xf>
    <xf numFmtId="37" fontId="40" fillId="0" borderId="17" xfId="0" applyNumberFormat="1" applyFont="1" applyBorder="1" applyAlignment="1">
      <alignment vertical="center"/>
    </xf>
    <xf numFmtId="182" fontId="39" fillId="0" borderId="14" xfId="0" applyNumberFormat="1" applyFont="1" applyBorder="1" applyAlignment="1">
      <alignment horizontal="right" vertical="center"/>
    </xf>
    <xf numFmtId="173" fontId="39" fillId="0" borderId="93" xfId="0" applyNumberFormat="1" applyFont="1" applyBorder="1" applyAlignment="1">
      <alignment horizontal="center" vertical="center"/>
    </xf>
    <xf numFmtId="165" fontId="41" fillId="0" borderId="94" xfId="3" applyFont="1" applyBorder="1" applyAlignment="1">
      <alignment vertical="center"/>
    </xf>
    <xf numFmtId="182" fontId="39" fillId="0" borderId="68" xfId="0" applyNumberFormat="1" applyFont="1" applyBorder="1" applyAlignment="1">
      <alignment horizontal="right" vertical="center"/>
    </xf>
    <xf numFmtId="182" fontId="36" fillId="0" borderId="29" xfId="3" applyNumberFormat="1" applyFont="1" applyBorder="1" applyAlignment="1">
      <alignment horizontal="right" vertical="center"/>
    </xf>
    <xf numFmtId="37" fontId="40" fillId="0" borderId="93" xfId="0" applyNumberFormat="1" applyFont="1" applyBorder="1" applyAlignment="1">
      <alignment vertical="center"/>
    </xf>
    <xf numFmtId="173" fontId="39" fillId="0" borderId="68" xfId="0" applyNumberFormat="1" applyFont="1" applyBorder="1" applyAlignment="1">
      <alignment horizontal="center" vertical="center"/>
    </xf>
    <xf numFmtId="173" fontId="39" fillId="0" borderId="103" xfId="0" applyNumberFormat="1" applyFont="1" applyBorder="1" applyAlignment="1">
      <alignment vertical="center"/>
    </xf>
    <xf numFmtId="173" fontId="39" fillId="0" borderId="16" xfId="0" applyNumberFormat="1" applyFont="1" applyBorder="1" applyAlignment="1">
      <alignment vertical="center"/>
    </xf>
    <xf numFmtId="37" fontId="40" fillId="0" borderId="70" xfId="0" applyNumberFormat="1" applyFont="1" applyBorder="1" applyAlignment="1">
      <alignment vertical="center"/>
    </xf>
    <xf numFmtId="173" fontId="39" fillId="0" borderId="39" xfId="0" applyNumberFormat="1" applyFont="1" applyBorder="1" applyAlignment="1">
      <alignment horizontal="center" vertical="center"/>
    </xf>
    <xf numFmtId="165" fontId="41" fillId="0" borderId="39" xfId="3" applyFont="1" applyBorder="1" applyAlignment="1">
      <alignment vertical="center"/>
    </xf>
    <xf numFmtId="182" fontId="39" fillId="0" borderId="39" xfId="0" applyNumberFormat="1" applyFont="1" applyBorder="1" applyAlignment="1">
      <alignment horizontal="right" vertical="center"/>
    </xf>
    <xf numFmtId="182" fontId="39" fillId="0" borderId="16" xfId="0" applyNumberFormat="1" applyFont="1" applyBorder="1" applyAlignment="1">
      <alignment horizontal="right" vertical="center"/>
    </xf>
    <xf numFmtId="173" fontId="39" fillId="0" borderId="97" xfId="0" applyNumberFormat="1" applyFont="1" applyBorder="1" applyAlignment="1">
      <alignment vertical="center"/>
    </xf>
    <xf numFmtId="182" fontId="39" fillId="0" borderId="14" xfId="0" applyNumberFormat="1" applyFont="1" applyBorder="1" applyAlignment="1">
      <alignment vertical="center"/>
    </xf>
    <xf numFmtId="37" fontId="40" fillId="0" borderId="14" xfId="0" applyNumberFormat="1" applyFont="1" applyBorder="1" applyAlignment="1">
      <alignment vertical="center"/>
    </xf>
    <xf numFmtId="4" fontId="9" fillId="0" borderId="1" xfId="3" applyNumberFormat="1" applyFont="1" applyBorder="1" applyAlignment="1">
      <alignment horizontal="center" vertical="center"/>
    </xf>
    <xf numFmtId="4" fontId="9" fillId="0" borderId="6" xfId="3" applyNumberFormat="1" applyFont="1" applyBorder="1" applyAlignment="1">
      <alignment horizontal="center" vertical="center"/>
    </xf>
    <xf numFmtId="4" fontId="9" fillId="0" borderId="5" xfId="3" applyNumberFormat="1" applyFont="1" applyBorder="1" applyAlignment="1">
      <alignment horizontal="center" vertical="center"/>
    </xf>
    <xf numFmtId="4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165" fontId="9" fillId="3" borderId="1" xfId="3" applyFont="1" applyFill="1" applyBorder="1" applyAlignment="1">
      <alignment horizontal="center" vertical="center"/>
    </xf>
    <xf numFmtId="165" fontId="9" fillId="3" borderId="5" xfId="3" applyFont="1" applyFill="1" applyBorder="1" applyAlignment="1">
      <alignment horizontal="center" vertical="center"/>
    </xf>
    <xf numFmtId="3" fontId="9" fillId="3" borderId="19" xfId="3" applyNumberFormat="1" applyFont="1" applyFill="1" applyBorder="1" applyAlignment="1">
      <alignment horizontal="center" vertical="center"/>
    </xf>
    <xf numFmtId="165" fontId="9" fillId="3" borderId="2" xfId="3" applyFont="1" applyFill="1" applyBorder="1" applyAlignment="1">
      <alignment horizontal="center" vertical="center"/>
    </xf>
    <xf numFmtId="165" fontId="9" fillId="3" borderId="11" xfId="3" applyFont="1" applyFill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56" fillId="0" borderId="1" xfId="0" applyFont="1" applyBorder="1" applyAlignment="1">
      <alignment horizontal="center" vertical="center" wrapText="1"/>
    </xf>
    <xf numFmtId="0" fontId="56" fillId="0" borderId="25" xfId="0" applyFont="1" applyBorder="1" applyAlignment="1">
      <alignment horizontal="center" vertical="center" wrapText="1"/>
    </xf>
    <xf numFmtId="0" fontId="56" fillId="0" borderId="152" xfId="0" applyFont="1" applyBorder="1" applyAlignment="1">
      <alignment horizontal="center" vertical="center"/>
    </xf>
    <xf numFmtId="176" fontId="56" fillId="0" borderId="152" xfId="3" applyNumberFormat="1" applyFont="1" applyBorder="1" applyAlignment="1">
      <alignment horizontal="left" vertical="center"/>
    </xf>
    <xf numFmtId="165" fontId="56" fillId="0" borderId="152" xfId="3" applyFont="1" applyBorder="1" applyAlignment="1">
      <alignment horizontal="left" vertical="center"/>
    </xf>
    <xf numFmtId="165" fontId="56" fillId="0" borderId="156" xfId="3" applyFont="1" applyBorder="1" applyAlignment="1">
      <alignment horizontal="left" vertical="center"/>
    </xf>
    <xf numFmtId="0" fontId="56" fillId="0" borderId="72" xfId="0" applyFont="1" applyBorder="1" applyAlignment="1">
      <alignment horizontal="center" vertical="center"/>
    </xf>
    <xf numFmtId="176" fontId="56" fillId="3" borderId="72" xfId="3" applyNumberFormat="1" applyFont="1" applyFill="1" applyBorder="1" applyAlignment="1">
      <alignment horizontal="left" vertical="center"/>
    </xf>
    <xf numFmtId="165" fontId="56" fillId="0" borderId="72" xfId="3" applyFont="1" applyBorder="1" applyAlignment="1">
      <alignment horizontal="left" vertical="center"/>
    </xf>
    <xf numFmtId="165" fontId="56" fillId="0" borderId="157" xfId="3" applyFont="1" applyBorder="1" applyAlignment="1">
      <alignment horizontal="left" vertical="center"/>
    </xf>
    <xf numFmtId="0" fontId="31" fillId="0" borderId="160" xfId="0" applyFont="1" applyBorder="1"/>
    <xf numFmtId="0" fontId="56" fillId="0" borderId="163" xfId="0" applyFont="1" applyBorder="1" applyAlignment="1">
      <alignment horizontal="center" vertical="center"/>
    </xf>
    <xf numFmtId="176" fontId="56" fillId="3" borderId="163" xfId="3" applyNumberFormat="1" applyFont="1" applyFill="1" applyBorder="1" applyAlignment="1">
      <alignment horizontal="left" vertical="center"/>
    </xf>
    <xf numFmtId="165" fontId="56" fillId="0" borderId="163" xfId="3" applyFont="1" applyBorder="1" applyAlignment="1">
      <alignment horizontal="left" vertical="center"/>
    </xf>
    <xf numFmtId="165" fontId="56" fillId="0" borderId="164" xfId="3" applyFont="1" applyBorder="1" applyAlignment="1">
      <alignment horizontal="left" vertical="center"/>
    </xf>
    <xf numFmtId="0" fontId="31" fillId="0" borderId="161" xfId="0" applyFont="1" applyBorder="1"/>
    <xf numFmtId="0" fontId="57" fillId="0" borderId="0" xfId="0" applyFont="1" applyAlignment="1">
      <alignment horizontal="left" vertical="center"/>
    </xf>
    <xf numFmtId="0" fontId="57" fillId="0" borderId="0" xfId="0" applyFont="1" applyAlignment="1">
      <alignment horizontal="center" vertical="center"/>
    </xf>
    <xf numFmtId="0" fontId="55" fillId="8" borderId="24" xfId="0" applyFont="1" applyFill="1" applyBorder="1" applyAlignment="1">
      <alignment horizontal="left" vertical="center" wrapText="1"/>
    </xf>
    <xf numFmtId="0" fontId="55" fillId="8" borderId="1" xfId="0" applyFont="1" applyFill="1" applyBorder="1" applyAlignment="1">
      <alignment horizontal="center" vertical="center" wrapText="1"/>
    </xf>
    <xf numFmtId="0" fontId="55" fillId="8" borderId="1" xfId="0" applyFont="1" applyFill="1" applyBorder="1" applyAlignment="1">
      <alignment horizontal="center" vertical="center"/>
    </xf>
    <xf numFmtId="0" fontId="55" fillId="8" borderId="25" xfId="0" applyFont="1" applyFill="1" applyBorder="1" applyAlignment="1">
      <alignment horizontal="center" vertical="center"/>
    </xf>
    <xf numFmtId="165" fontId="56" fillId="0" borderId="134" xfId="3" applyFont="1" applyBorder="1" applyAlignment="1">
      <alignment horizontal="left" vertical="center" wrapText="1"/>
    </xf>
    <xf numFmtId="165" fontId="56" fillId="0" borderId="165" xfId="3" applyFont="1" applyBorder="1" applyAlignment="1">
      <alignment horizontal="center" vertical="center" wrapText="1"/>
    </xf>
    <xf numFmtId="165" fontId="56" fillId="8" borderId="165" xfId="3" applyFont="1" applyFill="1" applyBorder="1" applyAlignment="1">
      <alignment vertical="center"/>
    </xf>
    <xf numFmtId="165" fontId="56" fillId="0" borderId="165" xfId="3" applyFont="1" applyBorder="1" applyAlignment="1">
      <alignment vertical="center"/>
    </xf>
    <xf numFmtId="165" fontId="56" fillId="0" borderId="135" xfId="3" applyFont="1" applyBorder="1" applyAlignment="1">
      <alignment vertical="center"/>
    </xf>
    <xf numFmtId="165" fontId="56" fillId="0" borderId="154" xfId="3" applyFont="1" applyBorder="1" applyAlignment="1">
      <alignment horizontal="left" vertical="center" wrapText="1"/>
    </xf>
    <xf numFmtId="165" fontId="56" fillId="0" borderId="72" xfId="3" applyFont="1" applyBorder="1" applyAlignment="1">
      <alignment horizontal="center" vertical="center" wrapText="1"/>
    </xf>
    <xf numFmtId="165" fontId="56" fillId="8" borderId="72" xfId="3" applyFont="1" applyFill="1" applyBorder="1" applyAlignment="1">
      <alignment vertical="center"/>
    </xf>
    <xf numFmtId="165" fontId="56" fillId="0" borderId="72" xfId="3" applyFont="1" applyBorder="1" applyAlignment="1">
      <alignment vertical="center"/>
    </xf>
    <xf numFmtId="165" fontId="56" fillId="0" borderId="157" xfId="3" applyFont="1" applyBorder="1" applyAlignment="1">
      <alignment vertical="center"/>
    </xf>
    <xf numFmtId="165" fontId="56" fillId="0" borderId="154" xfId="3" applyFont="1" applyBorder="1" applyAlignment="1">
      <alignment horizontal="left" vertical="center"/>
    </xf>
    <xf numFmtId="165" fontId="31" fillId="0" borderId="157" xfId="3" applyFont="1" applyBorder="1" applyAlignment="1">
      <alignment vertical="center"/>
    </xf>
    <xf numFmtId="165" fontId="56" fillId="0" borderId="162" xfId="3" applyFont="1" applyBorder="1" applyAlignment="1">
      <alignment horizontal="left" vertical="center" wrapText="1"/>
    </xf>
    <xf numFmtId="165" fontId="56" fillId="0" borderId="163" xfId="3" applyFont="1" applyBorder="1" applyAlignment="1">
      <alignment horizontal="center" vertical="center" wrapText="1"/>
    </xf>
    <xf numFmtId="165" fontId="56" fillId="0" borderId="163" xfId="3" applyFont="1" applyBorder="1" applyAlignment="1">
      <alignment vertical="center"/>
    </xf>
    <xf numFmtId="165" fontId="56" fillId="8" borderId="163" xfId="3" applyFont="1" applyFill="1" applyBorder="1" applyAlignment="1">
      <alignment vertical="center"/>
    </xf>
    <xf numFmtId="165" fontId="31" fillId="0" borderId="164" xfId="3" applyFont="1" applyBorder="1" applyAlignment="1">
      <alignment vertical="center"/>
    </xf>
    <xf numFmtId="165" fontId="55" fillId="8" borderId="24" xfId="3" applyFont="1" applyFill="1" applyBorder="1" applyAlignment="1">
      <alignment horizontal="left" vertical="center" wrapText="1"/>
    </xf>
    <xf numFmtId="165" fontId="55" fillId="8" borderId="1" xfId="3" applyFont="1" applyFill="1" applyBorder="1" applyAlignment="1">
      <alignment horizontal="center" vertical="center" wrapText="1"/>
    </xf>
    <xf numFmtId="165" fontId="55" fillId="8" borderId="1" xfId="3" applyFont="1" applyFill="1" applyBorder="1" applyAlignment="1">
      <alignment horizontal="center" vertical="center"/>
    </xf>
    <xf numFmtId="165" fontId="55" fillId="8" borderId="25" xfId="3" applyFont="1" applyFill="1" applyBorder="1" applyAlignment="1">
      <alignment horizontal="center" vertical="center"/>
    </xf>
    <xf numFmtId="165" fontId="55" fillId="0" borderId="0" xfId="3" applyFont="1" applyAlignment="1">
      <alignment horizontal="left" vertical="center" wrapText="1"/>
    </xf>
    <xf numFmtId="165" fontId="55" fillId="0" borderId="0" xfId="3" applyFont="1" applyAlignment="1">
      <alignment horizontal="center" vertical="center" wrapText="1"/>
    </xf>
    <xf numFmtId="165" fontId="55" fillId="0" borderId="0" xfId="3" applyFont="1" applyAlignment="1">
      <alignment horizontal="center" vertical="center"/>
    </xf>
    <xf numFmtId="0" fontId="56" fillId="0" borderId="134" xfId="0" applyFont="1" applyBorder="1" applyAlignment="1">
      <alignment horizontal="left" vertical="center" wrapText="1"/>
    </xf>
    <xf numFmtId="165" fontId="56" fillId="11" borderId="165" xfId="3" applyFont="1" applyFill="1" applyBorder="1" applyAlignment="1">
      <alignment vertical="center"/>
    </xf>
    <xf numFmtId="0" fontId="56" fillId="0" borderId="154" xfId="0" applyFont="1" applyBorder="1" applyAlignment="1">
      <alignment horizontal="left" vertical="center" wrapText="1"/>
    </xf>
    <xf numFmtId="165" fontId="56" fillId="11" borderId="72" xfId="3" applyFont="1" applyFill="1" applyBorder="1" applyAlignment="1">
      <alignment vertical="center"/>
    </xf>
    <xf numFmtId="165" fontId="56" fillId="11" borderId="157" xfId="3" applyFont="1" applyFill="1" applyBorder="1" applyAlignment="1">
      <alignment vertical="center"/>
    </xf>
    <xf numFmtId="0" fontId="56" fillId="0" borderId="162" xfId="0" applyFont="1" applyBorder="1" applyAlignment="1">
      <alignment horizontal="left" vertical="center" wrapText="1"/>
    </xf>
    <xf numFmtId="165" fontId="56" fillId="11" borderId="164" xfId="3" applyFont="1" applyFill="1" applyBorder="1" applyAlignment="1">
      <alignment vertical="center"/>
    </xf>
    <xf numFmtId="9" fontId="31" fillId="0" borderId="0" xfId="2" applyFont="1"/>
    <xf numFmtId="0" fontId="31" fillId="0" borderId="0" xfId="0" applyFont="1" applyAlignment="1">
      <alignment horizontal="left"/>
    </xf>
    <xf numFmtId="43" fontId="58" fillId="0" borderId="166" xfId="0" applyNumberFormat="1" applyFont="1" applyBorder="1"/>
    <xf numFmtId="0" fontId="31" fillId="0" borderId="0" xfId="0" applyFont="1" applyAlignment="1">
      <alignment horizontal="center"/>
    </xf>
    <xf numFmtId="182" fontId="36" fillId="0" borderId="17" xfId="7" applyNumberFormat="1" applyFont="1" applyBorder="1" applyAlignment="1">
      <alignment vertical="center"/>
    </xf>
    <xf numFmtId="175" fontId="36" fillId="0" borderId="17" xfId="7" applyNumberFormat="1" applyFont="1" applyBorder="1" applyAlignment="1">
      <alignment vertical="center"/>
    </xf>
    <xf numFmtId="165" fontId="36" fillId="0" borderId="17" xfId="7" applyNumberFormat="1" applyFont="1" applyBorder="1" applyAlignment="1">
      <alignment vertical="center"/>
    </xf>
    <xf numFmtId="4" fontId="18" fillId="3" borderId="40" xfId="0" applyNumberFormat="1" applyFont="1" applyFill="1" applyBorder="1" applyAlignment="1">
      <alignment horizontal="center" vertical="center"/>
    </xf>
    <xf numFmtId="165" fontId="36" fillId="0" borderId="0" xfId="3" applyFont="1" applyAlignment="1">
      <alignment horizontal="center" vertical="center"/>
    </xf>
    <xf numFmtId="165" fontId="39" fillId="3" borderId="13" xfId="6" applyFont="1" applyFill="1" applyBorder="1" applyAlignment="1">
      <alignment horizontal="center" vertical="center"/>
    </xf>
    <xf numFmtId="165" fontId="39" fillId="3" borderId="17" xfId="6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4" fontId="17" fillId="3" borderId="6" xfId="0" applyNumberFormat="1" applyFont="1" applyFill="1" applyBorder="1" applyAlignment="1">
      <alignment vertical="center"/>
    </xf>
    <xf numFmtId="0" fontId="17" fillId="3" borderId="94" xfId="0" applyFont="1" applyFill="1" applyBorder="1" applyAlignment="1">
      <alignment horizontal="center" vertical="center"/>
    </xf>
    <xf numFmtId="4" fontId="17" fillId="3" borderId="2" xfId="0" applyNumberFormat="1" applyFont="1" applyFill="1" applyBorder="1" applyAlignment="1">
      <alignment vertical="center"/>
    </xf>
    <xf numFmtId="4" fontId="17" fillId="3" borderId="94" xfId="0" applyNumberFormat="1" applyFont="1" applyFill="1" applyBorder="1" applyAlignment="1">
      <alignment vertical="center"/>
    </xf>
    <xf numFmtId="1" fontId="39" fillId="0" borderId="0" xfId="0" applyNumberFormat="1" applyFont="1" applyAlignment="1">
      <alignment horizontal="center" vertical="center"/>
    </xf>
    <xf numFmtId="10" fontId="59" fillId="0" borderId="95" xfId="2" applyNumberFormat="1" applyFont="1" applyBorder="1" applyAlignment="1">
      <alignment vertical="center"/>
    </xf>
    <xf numFmtId="9" fontId="24" fillId="10" borderId="1" xfId="2" applyFont="1" applyFill="1" applyBorder="1" applyAlignment="1">
      <alignment horizontal="center" vertical="center"/>
    </xf>
    <xf numFmtId="3" fontId="24" fillId="10" borderId="25" xfId="0" applyNumberFormat="1" applyFont="1" applyFill="1" applyBorder="1" applyAlignment="1">
      <alignment horizontal="center" vertical="center"/>
    </xf>
    <xf numFmtId="3" fontId="24" fillId="10" borderId="5" xfId="0" applyNumberFormat="1" applyFont="1" applyFill="1" applyBorder="1" applyAlignment="1">
      <alignment horizontal="center" vertical="center"/>
    </xf>
    <xf numFmtId="3" fontId="24" fillId="10" borderId="1" xfId="0" applyNumberFormat="1" applyFont="1" applyFill="1" applyBorder="1" applyAlignment="1">
      <alignment horizontal="center" vertical="center"/>
    </xf>
    <xf numFmtId="3" fontId="24" fillId="10" borderId="34" xfId="0" applyNumberFormat="1" applyFont="1" applyFill="1" applyBorder="1" applyAlignment="1">
      <alignment horizontal="center" vertical="center"/>
    </xf>
    <xf numFmtId="4" fontId="18" fillId="10" borderId="2" xfId="0" applyNumberFormat="1" applyFont="1" applyFill="1" applyBorder="1" applyAlignment="1">
      <alignment horizontal="center" vertical="center"/>
    </xf>
    <xf numFmtId="4" fontId="18" fillId="10" borderId="11" xfId="0" applyNumberFormat="1" applyFont="1" applyFill="1" applyBorder="1" applyAlignment="1">
      <alignment horizontal="center" vertical="center"/>
    </xf>
    <xf numFmtId="3" fontId="9" fillId="10" borderId="24" xfId="0" applyNumberFormat="1" applyFont="1" applyFill="1" applyBorder="1" applyAlignment="1">
      <alignment horizontal="center" vertical="center"/>
    </xf>
    <xf numFmtId="4" fontId="9" fillId="10" borderId="1" xfId="0" applyNumberFormat="1" applyFont="1" applyFill="1" applyBorder="1" applyAlignment="1">
      <alignment horizontal="center" vertical="center"/>
    </xf>
    <xf numFmtId="3" fontId="9" fillId="10" borderId="1" xfId="0" applyNumberFormat="1" applyFont="1" applyFill="1" applyBorder="1" applyAlignment="1">
      <alignment horizontal="center" vertical="center"/>
    </xf>
    <xf numFmtId="4" fontId="9" fillId="10" borderId="5" xfId="0" applyNumberFormat="1" applyFont="1" applyFill="1" applyBorder="1" applyAlignment="1">
      <alignment horizontal="center" vertical="center"/>
    </xf>
    <xf numFmtId="165" fontId="9" fillId="10" borderId="24" xfId="3" applyFont="1" applyFill="1" applyBorder="1" applyAlignment="1">
      <alignment horizontal="center" vertical="center"/>
    </xf>
    <xf numFmtId="165" fontId="9" fillId="10" borderId="1" xfId="3" applyFont="1" applyFill="1" applyBorder="1" applyAlignment="1">
      <alignment horizontal="center" vertical="center"/>
    </xf>
    <xf numFmtId="3" fontId="9" fillId="10" borderId="1" xfId="3" applyNumberFormat="1" applyFont="1" applyFill="1" applyBorder="1" applyAlignment="1">
      <alignment horizontal="center" vertical="center"/>
    </xf>
    <xf numFmtId="4" fontId="9" fillId="10" borderId="5" xfId="3" applyNumberFormat="1" applyFont="1" applyFill="1" applyBorder="1" applyAlignment="1">
      <alignment horizontal="center" vertical="center"/>
    </xf>
    <xf numFmtId="3" fontId="9" fillId="10" borderId="24" xfId="3" applyNumberFormat="1" applyFont="1" applyFill="1" applyBorder="1" applyAlignment="1">
      <alignment horizontal="center" vertical="center"/>
    </xf>
    <xf numFmtId="4" fontId="9" fillId="10" borderId="1" xfId="3" applyNumberFormat="1" applyFont="1" applyFill="1" applyBorder="1" applyAlignment="1">
      <alignment horizontal="center" vertical="center"/>
    </xf>
    <xf numFmtId="3" fontId="9" fillId="10" borderId="6" xfId="3" applyNumberFormat="1" applyFont="1" applyFill="1" applyBorder="1" applyAlignment="1">
      <alignment horizontal="center" vertical="center"/>
    </xf>
    <xf numFmtId="4" fontId="9" fillId="10" borderId="7" xfId="3" applyNumberFormat="1" applyFont="1" applyFill="1" applyBorder="1" applyAlignment="1">
      <alignment horizontal="center" vertical="center"/>
    </xf>
    <xf numFmtId="3" fontId="18" fillId="10" borderId="1" xfId="0" applyNumberFormat="1" applyFont="1" applyFill="1" applyBorder="1" applyAlignment="1">
      <alignment horizontal="center" vertical="center"/>
    </xf>
    <xf numFmtId="3" fontId="18" fillId="10" borderId="6" xfId="0" applyNumberFormat="1" applyFont="1" applyFill="1" applyBorder="1" applyAlignment="1">
      <alignment horizontal="center" vertical="center"/>
    </xf>
    <xf numFmtId="4" fontId="18" fillId="10" borderId="1" xfId="0" applyNumberFormat="1" applyFont="1" applyFill="1" applyBorder="1" applyAlignment="1">
      <alignment horizontal="center" vertical="center"/>
    </xf>
    <xf numFmtId="4" fontId="18" fillId="10" borderId="6" xfId="0" applyNumberFormat="1" applyFont="1" applyFill="1" applyBorder="1" applyAlignment="1">
      <alignment horizontal="center" vertical="center"/>
    </xf>
    <xf numFmtId="4" fontId="18" fillId="10" borderId="5" xfId="0" quotePrefix="1" applyNumberFormat="1" applyFont="1" applyFill="1" applyBorder="1" applyAlignment="1">
      <alignment horizontal="center" vertical="center"/>
    </xf>
    <xf numFmtId="4" fontId="18" fillId="10" borderId="7" xfId="0" quotePrefix="1" applyNumberFormat="1" applyFont="1" applyFill="1" applyBorder="1" applyAlignment="1">
      <alignment horizontal="center" vertical="center"/>
    </xf>
    <xf numFmtId="4" fontId="18" fillId="10" borderId="11" xfId="1" applyNumberFormat="1" applyFont="1" applyFill="1" applyBorder="1" applyAlignment="1">
      <alignment horizontal="center" vertical="center"/>
    </xf>
    <xf numFmtId="4" fontId="18" fillId="10" borderId="7" xfId="1" applyNumberFormat="1" applyFont="1" applyFill="1" applyBorder="1" applyAlignment="1">
      <alignment horizontal="center" vertical="center"/>
    </xf>
    <xf numFmtId="4" fontId="18" fillId="10" borderId="5" xfId="0" applyNumberFormat="1" applyFont="1" applyFill="1" applyBorder="1" applyAlignment="1">
      <alignment horizontal="center" vertical="center"/>
    </xf>
    <xf numFmtId="4" fontId="18" fillId="10" borderId="19" xfId="0" applyNumberFormat="1" applyFont="1" applyFill="1" applyBorder="1" applyAlignment="1">
      <alignment horizontal="center" vertical="center"/>
    </xf>
    <xf numFmtId="44" fontId="18" fillId="10" borderId="1" xfId="5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181" fontId="25" fillId="2" borderId="17" xfId="0" applyNumberFormat="1" applyFont="1" applyFill="1" applyBorder="1" applyAlignment="1">
      <alignment horizontal="center"/>
    </xf>
    <xf numFmtId="8" fontId="48" fillId="0" borderId="115" xfId="0" applyNumberFormat="1" applyFont="1" applyBorder="1" applyAlignment="1">
      <alignment horizontal="center" wrapText="1"/>
    </xf>
    <xf numFmtId="8" fontId="48" fillId="0" borderId="115" xfId="0" applyNumberFormat="1" applyFont="1" applyBorder="1" applyAlignment="1">
      <alignment horizontal="center" vertical="center" wrapText="1"/>
    </xf>
    <xf numFmtId="8" fontId="48" fillId="0" borderId="116" xfId="0" applyNumberFormat="1" applyFont="1" applyBorder="1" applyAlignment="1">
      <alignment horizontal="center" wrapText="1"/>
    </xf>
    <xf numFmtId="8" fontId="48" fillId="0" borderId="116" xfId="0" applyNumberFormat="1" applyFont="1" applyBorder="1" applyAlignment="1">
      <alignment horizontal="center" vertical="center" wrapText="1"/>
    </xf>
    <xf numFmtId="8" fontId="48" fillId="0" borderId="117" xfId="0" applyNumberFormat="1" applyFont="1" applyBorder="1" applyAlignment="1">
      <alignment horizontal="center" wrapText="1"/>
    </xf>
    <xf numFmtId="8" fontId="48" fillId="0" borderId="117" xfId="0" applyNumberFormat="1" applyFont="1" applyBorder="1" applyAlignment="1">
      <alignment horizontal="center" vertical="center" wrapText="1"/>
    </xf>
    <xf numFmtId="8" fontId="48" fillId="0" borderId="133" xfId="0" applyNumberFormat="1" applyFont="1" applyBorder="1" applyAlignment="1">
      <alignment horizontal="center" wrapText="1"/>
    </xf>
    <xf numFmtId="8" fontId="48" fillId="0" borderId="133" xfId="0" applyNumberFormat="1" applyFont="1" applyBorder="1" applyAlignment="1">
      <alignment horizontal="center" vertical="center" wrapText="1"/>
    </xf>
    <xf numFmtId="8" fontId="48" fillId="0" borderId="167" xfId="0" applyNumberFormat="1" applyFont="1" applyBorder="1" applyAlignment="1">
      <alignment horizontal="center" wrapText="1"/>
    </xf>
    <xf numFmtId="8" fontId="48" fillId="0" borderId="167" xfId="0" applyNumberFormat="1" applyFont="1" applyBorder="1" applyAlignment="1">
      <alignment horizontal="center" vertical="center" wrapText="1"/>
    </xf>
    <xf numFmtId="0" fontId="25" fillId="0" borderId="168" xfId="0" applyFont="1" applyBorder="1" applyAlignment="1">
      <alignment horizontal="center" wrapText="1"/>
    </xf>
    <xf numFmtId="0" fontId="25" fillId="0" borderId="169" xfId="0" applyFont="1" applyBorder="1" applyAlignment="1">
      <alignment horizontal="center" wrapText="1"/>
    </xf>
    <xf numFmtId="0" fontId="25" fillId="2" borderId="65" xfId="0" applyFont="1" applyFill="1" applyBorder="1" applyAlignment="1">
      <alignment horizontal="center"/>
    </xf>
    <xf numFmtId="0" fontId="18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wrapText="1"/>
    </xf>
    <xf numFmtId="44" fontId="18" fillId="0" borderId="9" xfId="5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wrapText="1"/>
    </xf>
    <xf numFmtId="44" fontId="18" fillId="0" borderId="3" xfId="5" applyFont="1" applyBorder="1" applyAlignment="1">
      <alignment horizontal="center" vertical="center"/>
    </xf>
    <xf numFmtId="0" fontId="18" fillId="0" borderId="0" xfId="0" applyFont="1"/>
    <xf numFmtId="0" fontId="18" fillId="0" borderId="170" xfId="0" applyFont="1" applyBorder="1" applyAlignment="1">
      <alignment horizontal="center" vertical="center"/>
    </xf>
    <xf numFmtId="0" fontId="18" fillId="0" borderId="170" xfId="0" applyFont="1" applyBorder="1"/>
    <xf numFmtId="0" fontId="25" fillId="2" borderId="13" xfId="0" applyFont="1" applyFill="1" applyBorder="1" applyAlignment="1">
      <alignment horizontal="right"/>
    </xf>
    <xf numFmtId="0" fontId="25" fillId="2" borderId="47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25" fillId="2" borderId="171" xfId="0" applyFont="1" applyFill="1" applyBorder="1" applyAlignment="1">
      <alignment horizontal="center" vertical="center" wrapText="1"/>
    </xf>
    <xf numFmtId="0" fontId="25" fillId="2" borderId="172" xfId="0" applyFont="1" applyFill="1" applyBorder="1" applyAlignment="1">
      <alignment horizontal="center" wrapText="1"/>
    </xf>
    <xf numFmtId="0" fontId="25" fillId="2" borderId="173" xfId="0" applyFont="1" applyFill="1" applyBorder="1" applyAlignment="1">
      <alignment horizontal="center" wrapText="1"/>
    </xf>
    <xf numFmtId="0" fontId="25" fillId="2" borderId="30" xfId="0" applyFont="1" applyFill="1" applyBorder="1" applyAlignment="1">
      <alignment horizontal="center" vertical="center" wrapText="1"/>
    </xf>
    <xf numFmtId="4" fontId="17" fillId="10" borderId="17" xfId="0" applyNumberFormat="1" applyFont="1" applyFill="1" applyBorder="1" applyAlignment="1">
      <alignment horizontal="center" vertical="center"/>
    </xf>
    <xf numFmtId="4" fontId="18" fillId="10" borderId="24" xfId="0" applyNumberFormat="1" applyFont="1" applyFill="1" applyBorder="1" applyAlignment="1">
      <alignment horizontal="center" vertical="center"/>
    </xf>
    <xf numFmtId="4" fontId="17" fillId="10" borderId="68" xfId="0" applyNumberFormat="1" applyFont="1" applyFill="1" applyBorder="1" applyAlignment="1">
      <alignment horizontal="center" vertical="center"/>
    </xf>
    <xf numFmtId="4" fontId="17" fillId="10" borderId="15" xfId="0" applyNumberFormat="1" applyFont="1" applyFill="1" applyBorder="1" applyAlignment="1">
      <alignment horizontal="center" vertical="center"/>
    </xf>
    <xf numFmtId="4" fontId="18" fillId="10" borderId="72" xfId="0" applyNumberFormat="1" applyFont="1" applyFill="1" applyBorder="1" applyAlignment="1">
      <alignment horizontal="center" vertical="center"/>
    </xf>
    <xf numFmtId="4" fontId="18" fillId="10" borderId="73" xfId="0" applyNumberFormat="1" applyFont="1" applyFill="1" applyBorder="1" applyAlignment="1">
      <alignment horizontal="center" vertical="center"/>
    </xf>
    <xf numFmtId="4" fontId="24" fillId="10" borderId="19" xfId="0" applyNumberFormat="1" applyFont="1" applyFill="1" applyBorder="1" applyAlignment="1">
      <alignment horizontal="center" vertical="center"/>
    </xf>
    <xf numFmtId="4" fontId="24" fillId="10" borderId="2" xfId="0" applyNumberFormat="1" applyFont="1" applyFill="1" applyBorder="1" applyAlignment="1">
      <alignment horizontal="center" vertical="center"/>
    </xf>
    <xf numFmtId="4" fontId="21" fillId="10" borderId="17" xfId="0" applyNumberFormat="1" applyFont="1" applyFill="1" applyBorder="1" applyAlignment="1">
      <alignment horizontal="center" vertical="center"/>
    </xf>
    <xf numFmtId="4" fontId="24" fillId="10" borderId="74" xfId="0" applyNumberFormat="1" applyFont="1" applyFill="1" applyBorder="1" applyAlignment="1">
      <alignment horizontal="center" vertical="center"/>
    </xf>
    <xf numFmtId="4" fontId="24" fillId="10" borderId="33" xfId="0" applyNumberFormat="1" applyFont="1" applyFill="1" applyBorder="1" applyAlignment="1">
      <alignment horizontal="center" vertical="center"/>
    </xf>
    <xf numFmtId="165" fontId="39" fillId="10" borderId="17" xfId="6" applyFont="1" applyFill="1" applyBorder="1" applyAlignment="1">
      <alignment horizontal="center" vertical="center"/>
    </xf>
    <xf numFmtId="165" fontId="39" fillId="10" borderId="13" xfId="6" applyFont="1" applyFill="1" applyBorder="1" applyAlignment="1">
      <alignment horizontal="center" vertical="center"/>
    </xf>
    <xf numFmtId="4" fontId="18" fillId="0" borderId="122" xfId="0" applyNumberFormat="1" applyFont="1" applyBorder="1" applyAlignment="1">
      <alignment horizontal="center" vertical="center"/>
    </xf>
    <xf numFmtId="4" fontId="17" fillId="10" borderId="111" xfId="0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center" vertical="center"/>
    </xf>
    <xf numFmtId="0" fontId="17" fillId="10" borderId="10" xfId="0" applyFont="1" applyFill="1" applyBorder="1" applyAlignment="1">
      <alignment horizontal="center" vertical="center"/>
    </xf>
    <xf numFmtId="4" fontId="17" fillId="10" borderId="1" xfId="0" applyNumberFormat="1" applyFont="1" applyFill="1" applyBorder="1" applyAlignment="1">
      <alignment vertical="center"/>
    </xf>
    <xf numFmtId="4" fontId="17" fillId="10" borderId="5" xfId="0" applyNumberFormat="1" applyFont="1" applyFill="1" applyBorder="1" applyAlignment="1">
      <alignment vertical="center"/>
    </xf>
    <xf numFmtId="4" fontId="18" fillId="10" borderId="1" xfId="0" applyNumberFormat="1" applyFont="1" applyFill="1" applyBorder="1" applyAlignment="1">
      <alignment vertical="center"/>
    </xf>
    <xf numFmtId="4" fontId="18" fillId="10" borderId="5" xfId="0" applyNumberFormat="1" applyFont="1" applyFill="1" applyBorder="1" applyAlignment="1">
      <alignment vertical="center"/>
    </xf>
    <xf numFmtId="4" fontId="17" fillId="10" borderId="6" xfId="0" applyNumberFormat="1" applyFont="1" applyFill="1" applyBorder="1" applyAlignment="1">
      <alignment vertical="center"/>
    </xf>
    <xf numFmtId="4" fontId="17" fillId="10" borderId="7" xfId="0" applyNumberFormat="1" applyFont="1" applyFill="1" applyBorder="1" applyAlignment="1">
      <alignment vertical="center"/>
    </xf>
    <xf numFmtId="0" fontId="17" fillId="10" borderId="94" xfId="0" applyFont="1" applyFill="1" applyBorder="1" applyAlignment="1">
      <alignment horizontal="center" vertical="center"/>
    </xf>
    <xf numFmtId="0" fontId="17" fillId="10" borderId="68" xfId="0" applyFont="1" applyFill="1" applyBorder="1" applyAlignment="1">
      <alignment horizontal="center" vertical="center"/>
    </xf>
    <xf numFmtId="0" fontId="17" fillId="10" borderId="17" xfId="0" applyFont="1" applyFill="1" applyBorder="1" applyAlignment="1">
      <alignment horizontal="center" vertical="center"/>
    </xf>
    <xf numFmtId="4" fontId="17" fillId="10" borderId="37" xfId="0" applyNumberFormat="1" applyFont="1" applyFill="1" applyBorder="1" applyAlignment="1">
      <alignment vertical="center"/>
    </xf>
    <xf numFmtId="4" fontId="18" fillId="10" borderId="25" xfId="0" applyNumberFormat="1" applyFont="1" applyFill="1" applyBorder="1" applyAlignment="1">
      <alignment vertical="center"/>
    </xf>
    <xf numFmtId="4" fontId="17" fillId="10" borderId="23" xfId="0" applyNumberFormat="1" applyFont="1" applyFill="1" applyBorder="1" applyAlignment="1">
      <alignment vertical="center"/>
    </xf>
    <xf numFmtId="4" fontId="17" fillId="10" borderId="25" xfId="0" applyNumberFormat="1" applyFont="1" applyFill="1" applyBorder="1" applyAlignment="1">
      <alignment vertical="center"/>
    </xf>
    <xf numFmtId="4" fontId="17" fillId="10" borderId="66" xfId="0" applyNumberFormat="1" applyFont="1" applyFill="1" applyBorder="1" applyAlignment="1">
      <alignment vertical="center"/>
    </xf>
    <xf numFmtId="4" fontId="17" fillId="10" borderId="94" xfId="0" applyNumberFormat="1" applyFont="1" applyFill="1" applyBorder="1" applyAlignment="1">
      <alignment vertical="center"/>
    </xf>
    <xf numFmtId="4" fontId="17" fillId="10" borderId="95" xfId="0" applyNumberFormat="1" applyFont="1" applyFill="1" applyBorder="1" applyAlignment="1">
      <alignment vertical="center"/>
    </xf>
    <xf numFmtId="4" fontId="17" fillId="10" borderId="17" xfId="0" applyNumberFormat="1" applyFont="1" applyFill="1" applyBorder="1" applyAlignment="1">
      <alignment vertical="center"/>
    </xf>
    <xf numFmtId="8" fontId="0" fillId="10" borderId="18" xfId="0" applyNumberFormat="1" applyFill="1" applyBorder="1" applyAlignment="1">
      <alignment horizontal="center"/>
    </xf>
    <xf numFmtId="8" fontId="0" fillId="10" borderId="23" xfId="0" applyNumberFormat="1" applyFill="1" applyBorder="1" applyAlignment="1">
      <alignment horizontal="center"/>
    </xf>
    <xf numFmtId="8" fontId="0" fillId="10" borderId="27" xfId="0" applyNumberFormat="1" applyFill="1" applyBorder="1" applyAlignment="1">
      <alignment horizontal="center"/>
    </xf>
    <xf numFmtId="8" fontId="0" fillId="10" borderId="37" xfId="0" applyNumberFormat="1" applyFill="1" applyBorder="1" applyAlignment="1">
      <alignment horizontal="center"/>
    </xf>
    <xf numFmtId="165" fontId="17" fillId="0" borderId="0" xfId="3" applyFont="1" applyAlignment="1">
      <alignment horizontal="center" vertical="center"/>
    </xf>
    <xf numFmtId="43" fontId="18" fillId="0" borderId="0" xfId="0" applyNumberFormat="1" applyFont="1" applyAlignment="1">
      <alignment vertical="center"/>
    </xf>
    <xf numFmtId="186" fontId="18" fillId="0" borderId="0" xfId="2" applyNumberFormat="1" applyFont="1" applyAlignment="1">
      <alignment vertical="center"/>
    </xf>
    <xf numFmtId="4" fontId="18" fillId="12" borderId="11" xfId="1" applyNumberFormat="1" applyFont="1" applyFill="1" applyBorder="1" applyAlignment="1">
      <alignment horizontal="center" vertical="center"/>
    </xf>
    <xf numFmtId="4" fontId="18" fillId="12" borderId="4" xfId="1" applyNumberFormat="1" applyFont="1" applyFill="1" applyBorder="1" applyAlignment="1">
      <alignment horizontal="center" vertical="center"/>
    </xf>
    <xf numFmtId="4" fontId="18" fillId="12" borderId="7" xfId="1" applyNumberFormat="1" applyFont="1" applyFill="1" applyBorder="1" applyAlignment="1">
      <alignment horizontal="center" vertical="center"/>
    </xf>
    <xf numFmtId="3" fontId="18" fillId="12" borderId="9" xfId="0" applyNumberFormat="1" applyFont="1" applyFill="1" applyBorder="1" applyAlignment="1">
      <alignment horizontal="center" vertical="center"/>
    </xf>
    <xf numFmtId="4" fontId="18" fillId="12" borderId="9" xfId="0" applyNumberFormat="1" applyFont="1" applyFill="1" applyBorder="1" applyAlignment="1">
      <alignment horizontal="center" vertical="center"/>
    </xf>
    <xf numFmtId="4" fontId="18" fillId="12" borderId="40" xfId="0" applyNumberFormat="1" applyFont="1" applyFill="1" applyBorder="1" applyAlignment="1">
      <alignment horizontal="center" vertical="center"/>
    </xf>
    <xf numFmtId="4" fontId="18" fillId="12" borderId="9" xfId="0" quotePrefix="1" applyNumberFormat="1" applyFont="1" applyFill="1" applyBorder="1" applyAlignment="1">
      <alignment horizontal="center" vertical="center"/>
    </xf>
    <xf numFmtId="4" fontId="18" fillId="12" borderId="10" xfId="0" quotePrefix="1" applyNumberFormat="1" applyFont="1" applyFill="1" applyBorder="1" applyAlignment="1">
      <alignment horizontal="center" vertical="center"/>
    </xf>
    <xf numFmtId="3" fontId="18" fillId="12" borderId="1" xfId="0" applyNumberFormat="1" applyFont="1" applyFill="1" applyBorder="1" applyAlignment="1">
      <alignment horizontal="center" vertical="center"/>
    </xf>
    <xf numFmtId="4" fontId="18" fillId="12" borderId="1" xfId="0" applyNumberFormat="1" applyFont="1" applyFill="1" applyBorder="1" applyAlignment="1">
      <alignment horizontal="center" vertical="center"/>
    </xf>
    <xf numFmtId="4" fontId="18" fillId="12" borderId="24" xfId="0" applyNumberFormat="1" applyFont="1" applyFill="1" applyBorder="1" applyAlignment="1">
      <alignment horizontal="center" vertical="center"/>
    </xf>
    <xf numFmtId="4" fontId="18" fillId="12" borderId="1" xfId="0" quotePrefix="1" applyNumberFormat="1" applyFont="1" applyFill="1" applyBorder="1" applyAlignment="1">
      <alignment horizontal="center" vertical="center"/>
    </xf>
    <xf numFmtId="4" fontId="18" fillId="12" borderId="5" xfId="0" quotePrefix="1" applyNumberFormat="1" applyFont="1" applyFill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4" fontId="18" fillId="0" borderId="9" xfId="0" applyNumberFormat="1" applyFont="1" applyBorder="1" applyAlignment="1">
      <alignment horizontal="center" vertical="center"/>
    </xf>
    <xf numFmtId="4" fontId="18" fillId="0" borderId="9" xfId="0" quotePrefix="1" applyNumberFormat="1" applyFont="1" applyBorder="1" applyAlignment="1">
      <alignment horizontal="center" vertical="center"/>
    </xf>
    <xf numFmtId="4" fontId="18" fillId="0" borderId="10" xfId="0" quotePrefix="1" applyNumberFormat="1" applyFont="1" applyBorder="1" applyAlignment="1">
      <alignment horizontal="center" vertical="center"/>
    </xf>
    <xf numFmtId="4" fontId="18" fillId="0" borderId="5" xfId="0" quotePrefix="1" applyNumberFormat="1" applyFont="1" applyBorder="1" applyAlignment="1">
      <alignment horizontal="center" vertical="center"/>
    </xf>
    <xf numFmtId="4" fontId="18" fillId="0" borderId="7" xfId="0" quotePrefix="1" applyNumberFormat="1" applyFont="1" applyBorder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0" fontId="28" fillId="0" borderId="0" xfId="0" applyFont="1"/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7" fontId="0" fillId="0" borderId="1" xfId="0" applyNumberFormat="1" applyBorder="1"/>
    <xf numFmtId="3" fontId="0" fillId="0" borderId="1" xfId="2" applyNumberFormat="1" applyFont="1" applyBorder="1"/>
    <xf numFmtId="0" fontId="0" fillId="0" borderId="1" xfId="0" applyBorder="1"/>
    <xf numFmtId="2" fontId="0" fillId="0" borderId="1" xfId="2" applyNumberFormat="1" applyFont="1" applyBorder="1"/>
    <xf numFmtId="9" fontId="0" fillId="0" borderId="1" xfId="2" applyFont="1" applyBorder="1"/>
    <xf numFmtId="0" fontId="0" fillId="13" borderId="1" xfId="0" applyFill="1" applyBorder="1" applyAlignment="1">
      <alignment horizontal="center"/>
    </xf>
    <xf numFmtId="2" fontId="0" fillId="13" borderId="1" xfId="2" applyNumberFormat="1" applyFont="1" applyFill="1" applyBorder="1"/>
    <xf numFmtId="4" fontId="0" fillId="13" borderId="1" xfId="2" applyNumberFormat="1" applyFont="1" applyFill="1" applyBorder="1"/>
    <xf numFmtId="0" fontId="0" fillId="0" borderId="1" xfId="0" applyBorder="1" applyAlignment="1">
      <alignment horizontal="center"/>
    </xf>
    <xf numFmtId="4" fontId="0" fillId="0" borderId="1" xfId="2" applyNumberFormat="1" applyFont="1" applyBorder="1"/>
    <xf numFmtId="2" fontId="0" fillId="0" borderId="1" xfId="0" applyNumberFormat="1" applyBorder="1"/>
    <xf numFmtId="187" fontId="28" fillId="0" borderId="1" xfId="2" applyNumberFormat="1" applyFont="1" applyBorder="1"/>
    <xf numFmtId="0" fontId="28" fillId="0" borderId="1" xfId="0" applyFont="1" applyBorder="1"/>
    <xf numFmtId="2" fontId="28" fillId="0" borderId="1" xfId="2" applyNumberFormat="1" applyFont="1" applyBorder="1"/>
    <xf numFmtId="9" fontId="28" fillId="0" borderId="1" xfId="2" applyFont="1" applyBorder="1"/>
    <xf numFmtId="0" fontId="0" fillId="0" borderId="0" xfId="0" applyAlignment="1">
      <alignment horizontal="right"/>
    </xf>
    <xf numFmtId="2" fontId="0" fillId="0" borderId="0" xfId="2" applyNumberFormat="1" applyFont="1"/>
    <xf numFmtId="4" fontId="28" fillId="0" borderId="1" xfId="0" applyNumberFormat="1" applyFont="1" applyBorder="1"/>
    <xf numFmtId="9" fontId="0" fillId="3" borderId="0" xfId="0" applyNumberFormat="1" applyFill="1"/>
    <xf numFmtId="0" fontId="17" fillId="0" borderId="69" xfId="1" applyFont="1" applyBorder="1" applyAlignment="1">
      <alignment horizontal="center" vertical="center" wrapText="1"/>
    </xf>
    <xf numFmtId="4" fontId="18" fillId="3" borderId="8" xfId="1" applyNumberFormat="1" applyFont="1" applyFill="1" applyBorder="1" applyAlignment="1">
      <alignment horizontal="center" vertical="center"/>
    </xf>
    <xf numFmtId="4" fontId="18" fillId="3" borderId="4" xfId="1" applyNumberFormat="1" applyFont="1" applyFill="1" applyBorder="1" applyAlignment="1">
      <alignment horizontal="center" vertical="center"/>
    </xf>
    <xf numFmtId="4" fontId="18" fillId="10" borderId="4" xfId="1" applyNumberFormat="1" applyFont="1" applyFill="1" applyBorder="1" applyAlignment="1">
      <alignment horizontal="center" vertical="center"/>
    </xf>
    <xf numFmtId="4" fontId="18" fillId="10" borderId="112" xfId="1" applyNumberFormat="1" applyFont="1" applyFill="1" applyBorder="1" applyAlignment="1">
      <alignment horizontal="center" vertical="center"/>
    </xf>
    <xf numFmtId="165" fontId="35" fillId="3" borderId="0" xfId="0" applyNumberFormat="1" applyFont="1" applyFill="1" applyAlignment="1">
      <alignment vertical="center"/>
    </xf>
    <xf numFmtId="165" fontId="38" fillId="0" borderId="1" xfId="6" applyFont="1" applyBorder="1" applyAlignment="1">
      <alignment vertical="center"/>
    </xf>
    <xf numFmtId="165" fontId="36" fillId="0" borderId="1" xfId="6" applyFont="1" applyBorder="1" applyAlignment="1">
      <alignment horizontal="center" vertical="center"/>
    </xf>
    <xf numFmtId="173" fontId="39" fillId="0" borderId="25" xfId="0" applyNumberFormat="1" applyFont="1" applyBorder="1" applyAlignment="1">
      <alignment vertical="center"/>
    </xf>
    <xf numFmtId="173" fontId="39" fillId="0" borderId="24" xfId="0" applyNumberFormat="1" applyFont="1" applyBorder="1" applyAlignment="1">
      <alignment vertical="center"/>
    </xf>
    <xf numFmtId="173" fontId="39" fillId="0" borderId="1" xfId="0" applyNumberFormat="1" applyFont="1" applyBorder="1" applyAlignment="1">
      <alignment horizontal="center" vertical="center"/>
    </xf>
    <xf numFmtId="173" fontId="39" fillId="0" borderId="25" xfId="0" applyNumberFormat="1" applyFont="1" applyBorder="1" applyAlignment="1">
      <alignment horizontal="center" vertical="center"/>
    </xf>
    <xf numFmtId="165" fontId="39" fillId="0" borderId="1" xfId="6" applyFont="1" applyBorder="1" applyAlignment="1">
      <alignment horizontal="center" vertical="center"/>
    </xf>
    <xf numFmtId="173" fontId="36" fillId="8" borderId="1" xfId="0" applyNumberFormat="1" applyFont="1" applyFill="1" applyBorder="1" applyAlignment="1">
      <alignment horizontal="center" vertical="center"/>
    </xf>
    <xf numFmtId="173" fontId="36" fillId="8" borderId="1" xfId="0" applyNumberFormat="1" applyFont="1" applyFill="1" applyBorder="1" applyAlignment="1">
      <alignment vertical="center"/>
    </xf>
    <xf numFmtId="175" fontId="39" fillId="8" borderId="25" xfId="7" applyNumberFormat="1" applyFont="1" applyFill="1" applyBorder="1" applyAlignment="1">
      <alignment vertical="center"/>
    </xf>
    <xf numFmtId="165" fontId="36" fillId="8" borderId="1" xfId="3" applyFont="1" applyFill="1" applyBorder="1" applyAlignment="1">
      <alignment horizontal="center" vertical="center"/>
    </xf>
    <xf numFmtId="0" fontId="0" fillId="8" borderId="0" xfId="0" applyFill="1"/>
    <xf numFmtId="173" fontId="36" fillId="14" borderId="1" xfId="0" applyNumberFormat="1" applyFont="1" applyFill="1" applyBorder="1" applyAlignment="1">
      <alignment horizontal="center" vertical="center"/>
    </xf>
    <xf numFmtId="173" fontId="36" fillId="14" borderId="1" xfId="0" applyNumberFormat="1" applyFont="1" applyFill="1" applyBorder="1" applyAlignment="1">
      <alignment vertical="center"/>
    </xf>
    <xf numFmtId="175" fontId="39" fillId="14" borderId="25" xfId="7" applyNumberFormat="1" applyFont="1" applyFill="1" applyBorder="1" applyAlignment="1">
      <alignment vertical="center"/>
    </xf>
    <xf numFmtId="165" fontId="36" fillId="14" borderId="1" xfId="3" applyFont="1" applyFill="1" applyBorder="1" applyAlignment="1">
      <alignment horizontal="center" vertical="center"/>
    </xf>
    <xf numFmtId="0" fontId="0" fillId="14" borderId="0" xfId="0" applyFill="1"/>
    <xf numFmtId="173" fontId="39" fillId="8" borderId="1" xfId="0" applyNumberFormat="1" applyFont="1" applyFill="1" applyBorder="1" applyAlignment="1">
      <alignment horizontal="center" vertical="center"/>
    </xf>
    <xf numFmtId="173" fontId="41" fillId="8" borderId="1" xfId="0" applyNumberFormat="1" applyFont="1" applyFill="1" applyBorder="1" applyAlignment="1">
      <alignment vertical="center"/>
    </xf>
    <xf numFmtId="173" fontId="39" fillId="8" borderId="1" xfId="0" applyNumberFormat="1" applyFont="1" applyFill="1" applyBorder="1" applyAlignment="1">
      <alignment vertical="center"/>
    </xf>
    <xf numFmtId="175" fontId="39" fillId="8" borderId="25" xfId="0" applyNumberFormat="1" applyFont="1" applyFill="1" applyBorder="1" applyAlignment="1">
      <alignment vertical="center"/>
    </xf>
    <xf numFmtId="173" fontId="39" fillId="14" borderId="1" xfId="0" applyNumberFormat="1" applyFont="1" applyFill="1" applyBorder="1" applyAlignment="1">
      <alignment horizontal="center" vertical="center"/>
    </xf>
    <xf numFmtId="173" fontId="41" fillId="14" borderId="1" xfId="0" applyNumberFormat="1" applyFont="1" applyFill="1" applyBorder="1" applyAlignment="1">
      <alignment vertical="center"/>
    </xf>
    <xf numFmtId="173" fontId="39" fillId="14" borderId="1" xfId="0" applyNumberFormat="1" applyFont="1" applyFill="1" applyBorder="1" applyAlignment="1">
      <alignment vertical="center"/>
    </xf>
    <xf numFmtId="175" fontId="39" fillId="14" borderId="25" xfId="0" applyNumberFormat="1" applyFont="1" applyFill="1" applyBorder="1" applyAlignment="1">
      <alignment vertical="center"/>
    </xf>
    <xf numFmtId="173" fontId="36" fillId="0" borderId="1" xfId="0" applyNumberFormat="1" applyFont="1" applyBorder="1" applyAlignment="1">
      <alignment vertical="center"/>
    </xf>
    <xf numFmtId="182" fontId="36" fillId="8" borderId="1" xfId="3" applyNumberFormat="1" applyFont="1" applyFill="1" applyBorder="1" applyAlignment="1">
      <alignment horizontal="right" vertical="center"/>
    </xf>
    <xf numFmtId="182" fontId="36" fillId="8" borderId="25" xfId="3" applyNumberFormat="1" applyFont="1" applyFill="1" applyBorder="1" applyAlignment="1">
      <alignment horizontal="right" vertical="center"/>
    </xf>
    <xf numFmtId="182" fontId="36" fillId="14" borderId="1" xfId="3" applyNumberFormat="1" applyFont="1" applyFill="1" applyBorder="1" applyAlignment="1">
      <alignment horizontal="right" vertical="center"/>
    </xf>
    <xf numFmtId="182" fontId="36" fillId="14" borderId="25" xfId="3" applyNumberFormat="1" applyFont="1" applyFill="1" applyBorder="1" applyAlignment="1">
      <alignment horizontal="right" vertical="center"/>
    </xf>
    <xf numFmtId="165" fontId="41" fillId="8" borderId="1" xfId="3" applyFont="1" applyFill="1" applyBorder="1" applyAlignment="1">
      <alignment vertical="center"/>
    </xf>
    <xf numFmtId="182" fontId="39" fillId="8" borderId="1" xfId="0" applyNumberFormat="1" applyFont="1" applyFill="1" applyBorder="1" applyAlignment="1">
      <alignment horizontal="right" vertical="center"/>
    </xf>
    <xf numFmtId="165" fontId="41" fillId="14" borderId="1" xfId="3" applyFont="1" applyFill="1" applyBorder="1" applyAlignment="1">
      <alignment vertical="center"/>
    </xf>
    <xf numFmtId="182" fontId="39" fillId="14" borderId="1" xfId="0" applyNumberFormat="1" applyFont="1" applyFill="1" applyBorder="1" applyAlignment="1">
      <alignment horizontal="right" vertical="center"/>
    </xf>
    <xf numFmtId="169" fontId="36" fillId="8" borderId="1" xfId="6" applyNumberFormat="1" applyFont="1" applyFill="1" applyBorder="1" applyAlignment="1">
      <alignment horizontal="center" vertical="center"/>
    </xf>
    <xf numFmtId="165" fontId="37" fillId="8" borderId="1" xfId="3" applyFont="1" applyFill="1" applyBorder="1" applyAlignment="1">
      <alignment horizontal="center" vertical="center"/>
    </xf>
    <xf numFmtId="169" fontId="36" fillId="14" borderId="1" xfId="6" applyNumberFormat="1" applyFont="1" applyFill="1" applyBorder="1" applyAlignment="1">
      <alignment horizontal="center" vertical="center"/>
    </xf>
    <xf numFmtId="165" fontId="37" fillId="14" borderId="1" xfId="3" applyFont="1" applyFill="1" applyBorder="1" applyAlignment="1">
      <alignment horizontal="center" vertical="center"/>
    </xf>
    <xf numFmtId="182" fontId="39" fillId="14" borderId="25" xfId="7" applyNumberFormat="1" applyFont="1" applyFill="1" applyBorder="1" applyAlignment="1">
      <alignment vertical="center"/>
    </xf>
    <xf numFmtId="1" fontId="39" fillId="0" borderId="1" xfId="0" applyNumberFormat="1" applyFont="1" applyBorder="1" applyAlignment="1">
      <alignment horizontal="left" vertical="center"/>
    </xf>
    <xf numFmtId="165" fontId="36" fillId="8" borderId="1" xfId="3" applyFont="1" applyFill="1" applyBorder="1" applyAlignment="1">
      <alignment vertical="center"/>
    </xf>
    <xf numFmtId="182" fontId="36" fillId="8" borderId="1" xfId="0" applyNumberFormat="1" applyFont="1" applyFill="1" applyBorder="1" applyAlignment="1">
      <alignment horizontal="right" vertical="center"/>
    </xf>
    <xf numFmtId="182" fontId="39" fillId="8" borderId="1" xfId="7" applyNumberFormat="1" applyFont="1" applyFill="1" applyBorder="1" applyAlignment="1">
      <alignment horizontal="right" vertical="center"/>
    </xf>
    <xf numFmtId="165" fontId="36" fillId="14" borderId="1" xfId="3" applyFont="1" applyFill="1" applyBorder="1" applyAlignment="1">
      <alignment vertical="center"/>
    </xf>
    <xf numFmtId="182" fontId="36" fillId="14" borderId="1" xfId="0" applyNumberFormat="1" applyFont="1" applyFill="1" applyBorder="1" applyAlignment="1">
      <alignment horizontal="right" vertical="center"/>
    </xf>
    <xf numFmtId="182" fontId="39" fillId="14" borderId="1" xfId="7" applyNumberFormat="1" applyFont="1" applyFill="1" applyBorder="1" applyAlignment="1">
      <alignment horizontal="right" vertical="center"/>
    </xf>
    <xf numFmtId="169" fontId="36" fillId="0" borderId="1" xfId="6" applyNumberFormat="1" applyFont="1" applyBorder="1" applyAlignment="1">
      <alignment vertical="center"/>
    </xf>
    <xf numFmtId="165" fontId="36" fillId="0" borderId="0" xfId="3" applyFont="1" applyAlignment="1">
      <alignment vertical="center"/>
    </xf>
    <xf numFmtId="182" fontId="39" fillId="8" borderId="25" xfId="3" applyNumberFormat="1" applyFont="1" applyFill="1" applyBorder="1" applyAlignment="1">
      <alignment horizontal="right" vertical="center"/>
    </xf>
    <xf numFmtId="182" fontId="39" fillId="14" borderId="25" xfId="3" applyNumberFormat="1" applyFont="1" applyFill="1" applyBorder="1" applyAlignment="1">
      <alignment horizontal="right" vertical="center"/>
    </xf>
    <xf numFmtId="0" fontId="28" fillId="8" borderId="0" xfId="0" applyFont="1" applyFill="1"/>
    <xf numFmtId="0" fontId="28" fillId="14" borderId="0" xfId="0" applyFont="1" applyFill="1"/>
    <xf numFmtId="182" fontId="39" fillId="8" borderId="1" xfId="0" applyNumberFormat="1" applyFont="1" applyFill="1" applyBorder="1" applyAlignment="1">
      <alignment vertical="center"/>
    </xf>
    <xf numFmtId="182" fontId="39" fillId="8" borderId="1" xfId="3" applyNumberFormat="1" applyFont="1" applyFill="1" applyBorder="1" applyAlignment="1">
      <alignment horizontal="right" vertical="center"/>
    </xf>
    <xf numFmtId="182" fontId="36" fillId="14" borderId="1" xfId="3" applyNumberFormat="1" applyFont="1" applyFill="1" applyBorder="1" applyAlignment="1">
      <alignment horizontal="center" vertical="center"/>
    </xf>
    <xf numFmtId="182" fontId="39" fillId="14" borderId="1" xfId="3" applyNumberFormat="1" applyFont="1" applyFill="1" applyBorder="1" applyAlignment="1">
      <alignment horizontal="right" vertical="center"/>
    </xf>
    <xf numFmtId="165" fontId="37" fillId="0" borderId="0" xfId="3" applyFont="1" applyAlignment="1">
      <alignment horizontal="center" vertical="center"/>
    </xf>
    <xf numFmtId="182" fontId="36" fillId="0" borderId="0" xfId="3" applyNumberFormat="1" applyFont="1" applyAlignment="1">
      <alignment horizontal="center" vertical="center"/>
    </xf>
    <xf numFmtId="182" fontId="39" fillId="0" borderId="0" xfId="3" applyNumberFormat="1" applyFont="1" applyAlignment="1">
      <alignment horizontal="right" vertical="center"/>
    </xf>
    <xf numFmtId="182" fontId="36" fillId="8" borderId="1" xfId="0" applyNumberFormat="1" applyFont="1" applyFill="1" applyBorder="1" applyAlignment="1">
      <alignment vertical="center"/>
    </xf>
    <xf numFmtId="182" fontId="36" fillId="0" borderId="0" xfId="3" applyNumberFormat="1" applyFont="1" applyAlignment="1">
      <alignment horizontal="right" vertical="center"/>
    </xf>
    <xf numFmtId="173" fontId="37" fillId="14" borderId="1" xfId="0" applyNumberFormat="1" applyFont="1" applyFill="1" applyBorder="1" applyAlignment="1">
      <alignment vertical="center"/>
    </xf>
    <xf numFmtId="173" fontId="36" fillId="8" borderId="0" xfId="0" applyNumberFormat="1" applyFont="1" applyFill="1" applyAlignment="1">
      <alignment vertical="center"/>
    </xf>
    <xf numFmtId="173" fontId="36" fillId="8" borderId="0" xfId="0" applyNumberFormat="1" applyFont="1" applyFill="1" applyAlignment="1">
      <alignment horizontal="center" vertical="center"/>
    </xf>
    <xf numFmtId="173" fontId="37" fillId="8" borderId="0" xfId="0" applyNumberFormat="1" applyFont="1" applyFill="1" applyAlignment="1">
      <alignment vertical="center"/>
    </xf>
    <xf numFmtId="182" fontId="39" fillId="8" borderId="1" xfId="7" applyNumberFormat="1" applyFont="1" applyFill="1" applyBorder="1" applyAlignment="1">
      <alignment vertical="center"/>
    </xf>
    <xf numFmtId="173" fontId="36" fillId="14" borderId="0" xfId="0" applyNumberFormat="1" applyFont="1" applyFill="1" applyAlignment="1">
      <alignment vertical="center"/>
    </xf>
    <xf numFmtId="173" fontId="36" fillId="14" borderId="0" xfId="0" applyNumberFormat="1" applyFont="1" applyFill="1" applyAlignment="1">
      <alignment horizontal="center" vertical="center"/>
    </xf>
    <xf numFmtId="173" fontId="37" fillId="14" borderId="0" xfId="0" applyNumberFormat="1" applyFont="1" applyFill="1" applyAlignment="1">
      <alignment vertical="center"/>
    </xf>
    <xf numFmtId="182" fontId="39" fillId="14" borderId="1" xfId="7" applyNumberFormat="1" applyFont="1" applyFill="1" applyBorder="1" applyAlignment="1">
      <alignment vertical="center"/>
    </xf>
    <xf numFmtId="10" fontId="60" fillId="0" borderId="0" xfId="2" applyNumberFormat="1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0" fontId="61" fillId="0" borderId="0" xfId="2" applyNumberFormat="1" applyFont="1" applyAlignment="1">
      <alignment vertical="center"/>
    </xf>
    <xf numFmtId="9" fontId="62" fillId="0" borderId="0" xfId="2" applyFont="1" applyAlignment="1">
      <alignment vertical="center"/>
    </xf>
    <xf numFmtId="170" fontId="30" fillId="0" borderId="0" xfId="0" applyNumberFormat="1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3" fillId="0" borderId="0" xfId="0" applyFont="1"/>
    <xf numFmtId="0" fontId="63" fillId="0" borderId="0" xfId="0" applyFont="1" applyAlignment="1">
      <alignment horizontal="right"/>
    </xf>
    <xf numFmtId="10" fontId="63" fillId="0" borderId="0" xfId="0" applyNumberFormat="1" applyFont="1"/>
    <xf numFmtId="0" fontId="64" fillId="16" borderId="16" xfId="0" applyFont="1" applyFill="1" applyBorder="1" applyAlignment="1">
      <alignment horizontal="center" vertical="center"/>
    </xf>
    <xf numFmtId="0" fontId="64" fillId="17" borderId="111" xfId="0" applyFont="1" applyFill="1" applyBorder="1" applyAlignment="1">
      <alignment horizontal="center" vertical="center"/>
    </xf>
    <xf numFmtId="0" fontId="64" fillId="17" borderId="17" xfId="0" applyFont="1" applyFill="1" applyBorder="1" applyAlignment="1">
      <alignment horizontal="center" vertical="center"/>
    </xf>
    <xf numFmtId="0" fontId="64" fillId="17" borderId="15" xfId="0" applyFont="1" applyFill="1" applyBorder="1" applyAlignment="1">
      <alignment horizontal="center" vertical="center"/>
    </xf>
    <xf numFmtId="0" fontId="65" fillId="0" borderId="16" xfId="0" applyFont="1" applyBorder="1" applyAlignment="1">
      <alignment horizontal="center" vertical="center"/>
    </xf>
    <xf numFmtId="0" fontId="65" fillId="0" borderId="111" xfId="0" applyFont="1" applyBorder="1" applyAlignment="1">
      <alignment horizontal="center" vertical="center"/>
    </xf>
    <xf numFmtId="2" fontId="65" fillId="0" borderId="111" xfId="0" applyNumberFormat="1" applyFont="1" applyBorder="1" applyAlignment="1">
      <alignment horizontal="right" vertical="center"/>
    </xf>
    <xf numFmtId="2" fontId="65" fillId="0" borderId="16" xfId="0" applyNumberFormat="1" applyFont="1" applyBorder="1" applyAlignment="1">
      <alignment horizontal="right" vertical="center"/>
    </xf>
    <xf numFmtId="4" fontId="60" fillId="10" borderId="1" xfId="0" applyNumberFormat="1" applyFont="1" applyFill="1" applyBorder="1" applyAlignment="1">
      <alignment vertical="center"/>
    </xf>
    <xf numFmtId="4" fontId="60" fillId="10" borderId="5" xfId="0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0" fontId="60" fillId="0" borderId="4" xfId="0" applyFont="1" applyBorder="1" applyAlignment="1">
      <alignment vertical="center"/>
    </xf>
    <xf numFmtId="4" fontId="60" fillId="0" borderId="40" xfId="0" applyNumberFormat="1" applyFont="1" applyBorder="1" applyAlignment="1">
      <alignment horizontal="center" vertical="center"/>
    </xf>
    <xf numFmtId="4" fontId="60" fillId="3" borderId="9" xfId="0" applyNumberFormat="1" applyFont="1" applyFill="1" applyBorder="1" applyAlignment="1">
      <alignment horizontal="center" vertical="center"/>
    </xf>
    <xf numFmtId="4" fontId="60" fillId="3" borderId="10" xfId="0" applyNumberFormat="1" applyFont="1" applyFill="1" applyBorder="1" applyAlignment="1">
      <alignment horizontal="center" vertical="center"/>
    </xf>
    <xf numFmtId="4" fontId="60" fillId="3" borderId="24" xfId="0" applyNumberFormat="1" applyFont="1" applyFill="1" applyBorder="1" applyAlignment="1">
      <alignment horizontal="center" vertical="center"/>
    </xf>
    <xf numFmtId="4" fontId="60" fillId="3" borderId="1" xfId="0" applyNumberFormat="1" applyFont="1" applyFill="1" applyBorder="1" applyAlignment="1">
      <alignment horizontal="center" vertical="center"/>
    </xf>
    <xf numFmtId="4" fontId="60" fillId="3" borderId="5" xfId="0" applyNumberFormat="1" applyFont="1" applyFill="1" applyBorder="1" applyAlignment="1">
      <alignment horizontal="center" vertical="center"/>
    </xf>
    <xf numFmtId="4" fontId="60" fillId="10" borderId="24" xfId="0" applyNumberFormat="1" applyFont="1" applyFill="1" applyBorder="1" applyAlignment="1">
      <alignment horizontal="center" vertical="center"/>
    </xf>
    <xf numFmtId="4" fontId="60" fillId="10" borderId="1" xfId="0" applyNumberFormat="1" applyFont="1" applyFill="1" applyBorder="1" applyAlignment="1">
      <alignment horizontal="center" vertical="center"/>
    </xf>
    <xf numFmtId="4" fontId="60" fillId="10" borderId="5" xfId="0" applyNumberFormat="1" applyFont="1" applyFill="1" applyBorder="1" applyAlignment="1">
      <alignment horizontal="center" vertical="center"/>
    </xf>
    <xf numFmtId="165" fontId="61" fillId="0" borderId="0" xfId="3" applyFont="1" applyAlignment="1">
      <alignment horizontal="left" vertical="center"/>
    </xf>
    <xf numFmtId="4" fontId="60" fillId="3" borderId="1" xfId="0" applyNumberFormat="1" applyFont="1" applyFill="1" applyBorder="1" applyAlignment="1">
      <alignment vertical="center"/>
    </xf>
    <xf numFmtId="4" fontId="66" fillId="3" borderId="1" xfId="0" applyNumberFormat="1" applyFont="1" applyFill="1" applyBorder="1" applyAlignment="1">
      <alignment vertical="center"/>
    </xf>
    <xf numFmtId="4" fontId="67" fillId="3" borderId="1" xfId="0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26" fillId="0" borderId="4" xfId="0" applyFont="1" applyBorder="1" applyAlignment="1">
      <alignment vertical="center"/>
    </xf>
    <xf numFmtId="4" fontId="68" fillId="10" borderId="24" xfId="0" applyNumberFormat="1" applyFont="1" applyFill="1" applyBorder="1" applyAlignment="1">
      <alignment horizontal="center" vertical="center"/>
    </xf>
    <xf numFmtId="165" fontId="69" fillId="0" borderId="0" xfId="3" applyFont="1" applyAlignment="1">
      <alignment horizontal="left" vertical="center"/>
    </xf>
    <xf numFmtId="188" fontId="5" fillId="0" borderId="0" xfId="2" applyNumberFormat="1" applyFont="1" applyAlignment="1">
      <alignment vertical="center"/>
    </xf>
    <xf numFmtId="165" fontId="70" fillId="8" borderId="1" xfId="3" applyFont="1" applyFill="1" applyBorder="1" applyAlignment="1">
      <alignment horizontal="center" vertical="center"/>
    </xf>
    <xf numFmtId="173" fontId="73" fillId="0" borderId="0" xfId="0" applyNumberFormat="1" applyFont="1" applyAlignment="1">
      <alignment vertical="center"/>
    </xf>
    <xf numFmtId="4" fontId="74" fillId="0" borderId="0" xfId="0" applyNumberFormat="1" applyFont="1"/>
    <xf numFmtId="189" fontId="36" fillId="0" borderId="0" xfId="0" applyNumberFormat="1" applyFont="1" applyAlignment="1">
      <alignment vertical="center"/>
    </xf>
    <xf numFmtId="0" fontId="75" fillId="19" borderId="111" xfId="0" applyFont="1" applyFill="1" applyBorder="1" applyAlignment="1">
      <alignment horizontal="center" vertical="center"/>
    </xf>
    <xf numFmtId="10" fontId="63" fillId="3" borderId="0" xfId="0" applyNumberFormat="1" applyFont="1" applyFill="1"/>
    <xf numFmtId="0" fontId="93" fillId="0" borderId="0" xfId="0" applyFont="1" applyAlignment="1">
      <alignment vertical="center"/>
    </xf>
    <xf numFmtId="0" fontId="94" fillId="0" borderId="0" xfId="0" applyFont="1" applyAlignment="1">
      <alignment horizontal="center" vertical="center"/>
    </xf>
    <xf numFmtId="164" fontId="75" fillId="19" borderId="131" xfId="0" applyNumberFormat="1" applyFont="1" applyFill="1" applyBorder="1" applyAlignment="1">
      <alignment horizontal="center" vertical="center"/>
    </xf>
    <xf numFmtId="0" fontId="74" fillId="19" borderId="172" xfId="0" applyFont="1" applyFill="1" applyBorder="1" applyAlignment="1">
      <alignment vertical="center"/>
    </xf>
    <xf numFmtId="0" fontId="74" fillId="19" borderId="65" xfId="0" applyFont="1" applyFill="1" applyBorder="1" applyAlignment="1">
      <alignment horizontal="center" vertical="center"/>
    </xf>
    <xf numFmtId="0" fontId="75" fillId="19" borderId="185" xfId="0" applyFont="1" applyFill="1" applyBorder="1" applyAlignment="1">
      <alignment vertical="center" wrapText="1"/>
    </xf>
    <xf numFmtId="0" fontId="74" fillId="19" borderId="111" xfId="0" applyFont="1" applyFill="1" applyBorder="1" applyAlignment="1">
      <alignment vertical="center"/>
    </xf>
    <xf numFmtId="0" fontId="74" fillId="19" borderId="185" xfId="0" applyFont="1" applyFill="1" applyBorder="1" applyAlignment="1">
      <alignment vertical="center"/>
    </xf>
    <xf numFmtId="0" fontId="74" fillId="42" borderId="70" xfId="0" applyFont="1" applyFill="1" applyBorder="1" applyAlignment="1">
      <alignment horizontal="center" vertical="center"/>
    </xf>
    <xf numFmtId="0" fontId="75" fillId="19" borderId="131" xfId="0" applyFont="1" applyFill="1" applyBorder="1" applyAlignment="1">
      <alignment vertical="center"/>
    </xf>
    <xf numFmtId="0" fontId="74" fillId="42" borderId="16" xfId="0" applyFont="1" applyFill="1" applyBorder="1" applyAlignment="1">
      <alignment horizontal="center" vertical="center"/>
    </xf>
    <xf numFmtId="0" fontId="74" fillId="19" borderId="111" xfId="0" applyFont="1" applyFill="1" applyBorder="1" applyAlignment="1">
      <alignment vertical="center" wrapText="1"/>
    </xf>
    <xf numFmtId="0" fontId="75" fillId="19" borderId="111" xfId="0" applyFont="1" applyFill="1" applyBorder="1" applyAlignment="1">
      <alignment vertical="center"/>
    </xf>
    <xf numFmtId="164" fontId="75" fillId="19" borderId="111" xfId="0" applyNumberFormat="1" applyFont="1" applyFill="1" applyBorder="1" applyAlignment="1">
      <alignment horizontal="center" vertical="center"/>
    </xf>
    <xf numFmtId="0" fontId="75" fillId="19" borderId="111" xfId="0" applyFont="1" applyFill="1" applyBorder="1" applyAlignment="1">
      <alignment vertical="center" wrapText="1"/>
    </xf>
    <xf numFmtId="0" fontId="75" fillId="19" borderId="16" xfId="0" applyFont="1" applyFill="1" applyBorder="1" applyAlignment="1">
      <alignment horizontal="center" vertical="center"/>
    </xf>
    <xf numFmtId="0" fontId="74" fillId="19" borderId="16" xfId="0" applyFont="1" applyFill="1" applyBorder="1" applyAlignment="1">
      <alignment horizontal="center" vertical="center"/>
    </xf>
    <xf numFmtId="2" fontId="36" fillId="0" borderId="0" xfId="0" applyNumberFormat="1" applyFont="1" applyAlignment="1">
      <alignment vertical="center"/>
    </xf>
    <xf numFmtId="4" fontId="74" fillId="43" borderId="186" xfId="0" applyNumberFormat="1" applyFont="1" applyFill="1" applyBorder="1" applyAlignment="1">
      <alignment horizontal="center" vertical="center" wrapText="1"/>
    </xf>
    <xf numFmtId="0" fontId="74" fillId="18" borderId="174" xfId="0" applyFont="1" applyFill="1" applyBorder="1" applyAlignment="1">
      <alignment horizontal="center" vertical="center" wrapText="1"/>
    </xf>
    <xf numFmtId="0" fontId="74" fillId="0" borderId="174" xfId="0" applyFont="1" applyBorder="1" applyAlignment="1">
      <alignment horizontal="center" vertical="center" wrapText="1"/>
    </xf>
    <xf numFmtId="4" fontId="74" fillId="18" borderId="174" xfId="0" applyNumberFormat="1" applyFont="1" applyFill="1" applyBorder="1" applyAlignment="1">
      <alignment horizontal="center" vertical="center" wrapText="1"/>
    </xf>
    <xf numFmtId="4" fontId="74" fillId="0" borderId="174" xfId="0" applyNumberFormat="1" applyFont="1" applyBorder="1" applyAlignment="1">
      <alignment horizontal="center" vertical="center" wrapText="1"/>
    </xf>
    <xf numFmtId="0" fontId="74" fillId="18" borderId="174" xfId="0" applyFont="1" applyFill="1" applyBorder="1" applyAlignment="1">
      <alignment horizontal="right" vertical="center" wrapText="1"/>
    </xf>
    <xf numFmtId="4" fontId="74" fillId="43" borderId="186" xfId="0" applyNumberFormat="1" applyFont="1" applyFill="1" applyBorder="1" applyAlignment="1">
      <alignment horizontal="center" vertical="center"/>
    </xf>
    <xf numFmtId="4" fontId="74" fillId="18" borderId="174" xfId="0" applyNumberFormat="1" applyFont="1" applyFill="1" applyBorder="1" applyAlignment="1">
      <alignment horizontal="center" vertical="center"/>
    </xf>
    <xf numFmtId="4" fontId="74" fillId="0" borderId="174" xfId="0" applyNumberFormat="1" applyFont="1" applyBorder="1" applyAlignment="1">
      <alignment horizontal="center" vertical="center"/>
    </xf>
    <xf numFmtId="0" fontId="64" fillId="17" borderId="16" xfId="0" applyFont="1" applyFill="1" applyBorder="1" applyAlignment="1">
      <alignment horizontal="center" vertical="center"/>
    </xf>
    <xf numFmtId="10" fontId="0" fillId="0" borderId="0" xfId="2" applyNumberFormat="1" applyFont="1"/>
    <xf numFmtId="0" fontId="75" fillId="19" borderId="0" xfId="0" applyFont="1" applyFill="1" applyAlignment="1">
      <alignment vertical="center"/>
    </xf>
    <xf numFmtId="0" fontId="74" fillId="19" borderId="106" xfId="0" applyFont="1" applyFill="1" applyBorder="1" applyAlignment="1">
      <alignment horizontal="center" vertical="center"/>
    </xf>
    <xf numFmtId="164" fontId="75" fillId="19" borderId="0" xfId="0" applyNumberFormat="1" applyFont="1" applyFill="1" applyAlignment="1">
      <alignment horizontal="center" vertical="center"/>
    </xf>
    <xf numFmtId="0" fontId="74" fillId="19" borderId="38" xfId="0" applyFont="1" applyFill="1" applyBorder="1" applyAlignment="1">
      <alignment horizontal="center" vertical="center"/>
    </xf>
    <xf numFmtId="164" fontId="75" fillId="19" borderId="38" xfId="0" applyNumberFormat="1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17" fontId="0" fillId="0" borderId="0" xfId="0" applyNumberFormat="1"/>
    <xf numFmtId="190" fontId="0" fillId="0" borderId="1" xfId="0" applyNumberFormat="1" applyBorder="1"/>
    <xf numFmtId="0" fontId="20" fillId="0" borderId="0" xfId="0" applyFont="1"/>
    <xf numFmtId="4" fontId="0" fillId="0" borderId="1" xfId="0" applyNumberFormat="1" applyBorder="1"/>
    <xf numFmtId="185" fontId="0" fillId="0" borderId="1" xfId="0" applyNumberFormat="1" applyBorder="1"/>
    <xf numFmtId="0" fontId="2" fillId="0" borderId="1" xfId="0" applyFont="1" applyBorder="1"/>
    <xf numFmtId="10" fontId="0" fillId="0" borderId="1" xfId="2" applyNumberFormat="1" applyFont="1" applyBorder="1"/>
    <xf numFmtId="0" fontId="20" fillId="0" borderId="1" xfId="0" applyFont="1" applyBorder="1"/>
    <xf numFmtId="0" fontId="20" fillId="0" borderId="1" xfId="0" applyFont="1" applyBorder="1" applyAlignment="1">
      <alignment horizontal="center"/>
    </xf>
    <xf numFmtId="10" fontId="0" fillId="0" borderId="1" xfId="2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190" fontId="0" fillId="0" borderId="0" xfId="0" applyNumberFormat="1" applyAlignment="1">
      <alignment horizontal="center"/>
    </xf>
    <xf numFmtId="4" fontId="18" fillId="0" borderId="4" xfId="1" applyNumberFormat="1" applyFont="1" applyBorder="1" applyAlignment="1">
      <alignment horizontal="center" vertical="center"/>
    </xf>
    <xf numFmtId="165" fontId="18" fillId="0" borderId="1" xfId="3" applyFont="1" applyFill="1" applyBorder="1" applyAlignment="1">
      <alignment horizontal="center" vertical="center"/>
    </xf>
    <xf numFmtId="165" fontId="18" fillId="0" borderId="11" xfId="3" applyFont="1" applyFill="1" applyBorder="1" applyAlignment="1">
      <alignment horizontal="center" vertical="center"/>
    </xf>
    <xf numFmtId="4" fontId="18" fillId="3" borderId="7" xfId="1" applyNumberFormat="1" applyFont="1" applyFill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4" fontId="60" fillId="0" borderId="1" xfId="0" applyNumberFormat="1" applyFont="1" applyBorder="1" applyAlignment="1">
      <alignment vertical="center"/>
    </xf>
    <xf numFmtId="4" fontId="17" fillId="0" borderId="1" xfId="0" applyNumberFormat="1" applyFont="1" applyBorder="1" applyAlignment="1">
      <alignment vertical="center"/>
    </xf>
    <xf numFmtId="4" fontId="17" fillId="0" borderId="5" xfId="0" applyNumberFormat="1" applyFont="1" applyBorder="1" applyAlignment="1">
      <alignment vertical="center"/>
    </xf>
    <xf numFmtId="4" fontId="18" fillId="0" borderId="1" xfId="0" applyNumberFormat="1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10" fontId="18" fillId="0" borderId="0" xfId="2" applyNumberFormat="1" applyFont="1" applyFill="1" applyAlignment="1">
      <alignment vertical="center"/>
    </xf>
    <xf numFmtId="4" fontId="60" fillId="0" borderId="5" xfId="0" applyNumberFormat="1" applyFont="1" applyBorder="1" applyAlignment="1">
      <alignment vertical="center"/>
    </xf>
    <xf numFmtId="165" fontId="18" fillId="0" borderId="0" xfId="3" applyFont="1" applyFill="1" applyAlignment="1">
      <alignment vertical="center"/>
    </xf>
    <xf numFmtId="4" fontId="17" fillId="0" borderId="6" xfId="0" applyNumberFormat="1" applyFont="1" applyBorder="1" applyAlignment="1">
      <alignment vertical="center"/>
    </xf>
    <xf numFmtId="4" fontId="17" fillId="0" borderId="7" xfId="0" applyNumberFormat="1" applyFont="1" applyBorder="1" applyAlignment="1">
      <alignment vertical="center"/>
    </xf>
    <xf numFmtId="0" fontId="26" fillId="0" borderId="4" xfId="0" applyFont="1" applyBorder="1" applyAlignment="1">
      <alignment horizontal="left" vertical="center" indent="1"/>
    </xf>
    <xf numFmtId="4" fontId="26" fillId="0" borderId="1" xfId="0" applyNumberFormat="1" applyFont="1" applyBorder="1" applyAlignment="1">
      <alignment vertical="center"/>
    </xf>
    <xf numFmtId="0" fontId="60" fillId="0" borderId="4" xfId="0" applyFont="1" applyBorder="1" applyAlignment="1">
      <alignment horizontal="left" vertical="center" indent="1"/>
    </xf>
    <xf numFmtId="10" fontId="60" fillId="0" borderId="0" xfId="2" applyNumberFormat="1" applyFont="1" applyFill="1" applyAlignment="1">
      <alignment vertical="center"/>
    </xf>
    <xf numFmtId="0" fontId="17" fillId="0" borderId="94" xfId="0" applyFont="1" applyBorder="1" applyAlignment="1">
      <alignment horizontal="center" vertical="center"/>
    </xf>
    <xf numFmtId="0" fontId="17" fillId="0" borderId="68" xfId="0" applyFont="1" applyBorder="1" applyAlignment="1">
      <alignment horizontal="center" vertical="center"/>
    </xf>
    <xf numFmtId="4" fontId="17" fillId="0" borderId="2" xfId="0" applyNumberFormat="1" applyFont="1" applyBorder="1" applyAlignment="1">
      <alignment vertical="center"/>
    </xf>
    <xf numFmtId="4" fontId="17" fillId="0" borderId="25" xfId="0" applyNumberFormat="1" applyFont="1" applyBorder="1" applyAlignment="1">
      <alignment vertical="center"/>
    </xf>
    <xf numFmtId="4" fontId="17" fillId="0" borderId="37" xfId="0" applyNumberFormat="1" applyFont="1" applyBorder="1" applyAlignment="1">
      <alignment vertical="center"/>
    </xf>
    <xf numFmtId="4" fontId="18" fillId="0" borderId="25" xfId="0" applyNumberFormat="1" applyFont="1" applyBorder="1" applyAlignment="1">
      <alignment vertical="center"/>
    </xf>
    <xf numFmtId="4" fontId="17" fillId="0" borderId="23" xfId="0" applyNumberFormat="1" applyFont="1" applyBorder="1" applyAlignment="1">
      <alignment vertical="center"/>
    </xf>
    <xf numFmtId="4" fontId="17" fillId="0" borderId="66" xfId="0" applyNumberFormat="1" applyFont="1" applyBorder="1" applyAlignment="1">
      <alignment vertical="center"/>
    </xf>
    <xf numFmtId="4" fontId="17" fillId="0" borderId="94" xfId="0" applyNumberFormat="1" applyFont="1" applyBorder="1" applyAlignment="1">
      <alignment vertical="center"/>
    </xf>
    <xf numFmtId="4" fontId="17" fillId="0" borderId="95" xfId="0" applyNumberFormat="1" applyFont="1" applyBorder="1" applyAlignment="1">
      <alignment vertical="center"/>
    </xf>
    <xf numFmtId="4" fontId="17" fillId="0" borderId="17" xfId="0" applyNumberFormat="1" applyFont="1" applyBorder="1" applyAlignment="1">
      <alignment vertical="center"/>
    </xf>
    <xf numFmtId="0" fontId="96" fillId="0" borderId="0" xfId="0" applyFont="1" applyAlignment="1">
      <alignment vertical="center"/>
    </xf>
    <xf numFmtId="10" fontId="18" fillId="0" borderId="0" xfId="0" applyNumberFormat="1" applyFont="1" applyAlignment="1">
      <alignment vertical="center"/>
    </xf>
    <xf numFmtId="0" fontId="96" fillId="0" borderId="0" xfId="0" applyFont="1" applyAlignment="1">
      <alignment horizontal="center" vertical="center"/>
    </xf>
    <xf numFmtId="10" fontId="97" fillId="0" borderId="0" xfId="2" applyNumberFormat="1" applyFont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165" fontId="2" fillId="0" borderId="0" xfId="3" applyFill="1" applyAlignment="1">
      <alignment vertical="center"/>
    </xf>
    <xf numFmtId="191" fontId="18" fillId="0" borderId="0" xfId="0" applyNumberFormat="1" applyFont="1" applyAlignment="1">
      <alignment horizontal="right" vertical="center"/>
    </xf>
    <xf numFmtId="190" fontId="2" fillId="0" borderId="0" xfId="0" applyNumberFormat="1" applyFont="1" applyAlignment="1">
      <alignment horizontal="center"/>
    </xf>
    <xf numFmtId="2" fontId="20" fillId="0" borderId="1" xfId="0" applyNumberFormat="1" applyFont="1" applyBorder="1" applyAlignment="1">
      <alignment horizontal="center"/>
    </xf>
    <xf numFmtId="4" fontId="0" fillId="0" borderId="0" xfId="0" applyNumberFormat="1"/>
    <xf numFmtId="4" fontId="20" fillId="0" borderId="1" xfId="0" applyNumberFormat="1" applyFont="1" applyBorder="1"/>
    <xf numFmtId="17" fontId="20" fillId="0" borderId="1" xfId="0" applyNumberFormat="1" applyFont="1" applyBorder="1" applyAlignment="1">
      <alignment horizontal="center"/>
    </xf>
    <xf numFmtId="0" fontId="20" fillId="0" borderId="46" xfId="0" applyFont="1" applyBorder="1"/>
    <xf numFmtId="17" fontId="0" fillId="0" borderId="46" xfId="0" applyNumberFormat="1" applyBorder="1"/>
    <xf numFmtId="0" fontId="0" fillId="0" borderId="46" xfId="0" applyBorder="1"/>
    <xf numFmtId="4" fontId="20" fillId="0" borderId="1" xfId="0" applyNumberFormat="1" applyFont="1" applyBorder="1" applyAlignment="1">
      <alignment horizontal="center" vertical="center"/>
    </xf>
    <xf numFmtId="17" fontId="20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Border="1" applyAlignment="1">
      <alignment horizontal="center" vertical="center" wrapText="1"/>
    </xf>
    <xf numFmtId="3" fontId="0" fillId="0" borderId="1" xfId="0" applyNumberFormat="1" applyBorder="1"/>
    <xf numFmtId="1" fontId="20" fillId="0" borderId="1" xfId="0" quotePrefix="1" applyNumberFormat="1" applyFont="1" applyBorder="1" applyAlignment="1">
      <alignment horizontal="center"/>
    </xf>
    <xf numFmtId="192" fontId="0" fillId="0" borderId="1" xfId="0" applyNumberFormat="1" applyBorder="1"/>
    <xf numFmtId="2" fontId="0" fillId="0" borderId="0" xfId="0" applyNumberFormat="1"/>
    <xf numFmtId="0" fontId="26" fillId="0" borderId="4" xfId="0" quotePrefix="1" applyFont="1" applyBorder="1" applyAlignment="1">
      <alignment horizontal="left" vertical="center"/>
    </xf>
    <xf numFmtId="0" fontId="26" fillId="0" borderId="4" xfId="0" quotePrefix="1" applyFont="1" applyBorder="1" applyAlignment="1">
      <alignment horizontal="center" vertical="center"/>
    </xf>
    <xf numFmtId="0" fontId="2" fillId="0" borderId="25" xfId="0" applyFont="1" applyBorder="1"/>
    <xf numFmtId="0" fontId="2" fillId="0" borderId="1" xfId="0" applyFont="1" applyBorder="1" applyAlignment="1">
      <alignment horizontal="center" wrapText="1"/>
    </xf>
    <xf numFmtId="2" fontId="20" fillId="0" borderId="0" xfId="0" applyNumberFormat="1" applyFont="1"/>
    <xf numFmtId="0" fontId="0" fillId="0" borderId="1" xfId="0" applyBorder="1" applyAlignment="1">
      <alignment vertical="center"/>
    </xf>
    <xf numFmtId="3" fontId="2" fillId="0" borderId="1" xfId="0" applyNumberFormat="1" applyFont="1" applyBorder="1"/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192" fontId="20" fillId="0" borderId="1" xfId="0" applyNumberFormat="1" applyFont="1" applyBorder="1"/>
    <xf numFmtId="165" fontId="32" fillId="0" borderId="0" xfId="0" applyNumberFormat="1" applyFont="1" applyAlignment="1">
      <alignment vertical="center"/>
    </xf>
    <xf numFmtId="165" fontId="32" fillId="44" borderId="0" xfId="0" applyNumberFormat="1" applyFont="1" applyFill="1" applyAlignment="1">
      <alignment vertical="center"/>
    </xf>
    <xf numFmtId="165" fontId="36" fillId="0" borderId="0" xfId="6" applyFont="1" applyFill="1" applyAlignment="1">
      <alignment vertical="center"/>
    </xf>
    <xf numFmtId="165" fontId="38" fillId="0" borderId="13" xfId="6" applyFont="1" applyFill="1" applyBorder="1" applyAlignment="1">
      <alignment vertical="center"/>
    </xf>
    <xf numFmtId="165" fontId="36" fillId="0" borderId="14" xfId="6" applyFont="1" applyFill="1" applyBorder="1" applyAlignment="1">
      <alignment horizontal="center" vertical="center"/>
    </xf>
    <xf numFmtId="165" fontId="36" fillId="0" borderId="15" xfId="6" applyFont="1" applyFill="1" applyBorder="1" applyAlignment="1">
      <alignment horizontal="center" vertical="center"/>
    </xf>
    <xf numFmtId="165" fontId="38" fillId="0" borderId="14" xfId="6" applyFont="1" applyFill="1" applyBorder="1" applyAlignment="1">
      <alignment vertical="center"/>
    </xf>
    <xf numFmtId="165" fontId="39" fillId="0" borderId="13" xfId="6" applyFont="1" applyFill="1" applyBorder="1" applyAlignment="1">
      <alignment horizontal="center" vertical="center"/>
    </xf>
    <xf numFmtId="165" fontId="39" fillId="0" borderId="17" xfId="6" applyFont="1" applyFill="1" applyBorder="1" applyAlignment="1">
      <alignment horizontal="center" vertical="center"/>
    </xf>
    <xf numFmtId="173" fontId="39" fillId="0" borderId="38" xfId="0" applyNumberFormat="1" applyFont="1" applyBorder="1" applyAlignment="1">
      <alignment horizontal="center" vertical="center"/>
    </xf>
    <xf numFmtId="173" fontId="39" fillId="0" borderId="75" xfId="0" applyNumberFormat="1" applyFont="1" applyBorder="1" applyAlignment="1">
      <alignment horizontal="center" vertical="center"/>
    </xf>
    <xf numFmtId="175" fontId="39" fillId="0" borderId="17" xfId="7" applyNumberFormat="1" applyFont="1" applyFill="1" applyBorder="1" applyAlignment="1">
      <alignment vertical="center"/>
    </xf>
    <xf numFmtId="175" fontId="39" fillId="0" borderId="0" xfId="7" applyNumberFormat="1" applyFont="1" applyFill="1" applyBorder="1" applyAlignment="1">
      <alignment vertical="center"/>
    </xf>
    <xf numFmtId="165" fontId="39" fillId="3" borderId="17" xfId="7" applyNumberFormat="1" applyFont="1" applyFill="1" applyBorder="1" applyAlignment="1">
      <alignment vertical="center"/>
    </xf>
    <xf numFmtId="165" fontId="39" fillId="10" borderId="17" xfId="7" applyNumberFormat="1" applyFont="1" applyFill="1" applyBorder="1" applyAlignment="1">
      <alignment vertical="center"/>
    </xf>
    <xf numFmtId="165" fontId="73" fillId="3" borderId="12" xfId="0" applyNumberFormat="1" applyFont="1" applyFill="1" applyBorder="1" applyAlignment="1">
      <alignment vertical="center"/>
    </xf>
    <xf numFmtId="165" fontId="73" fillId="3" borderId="17" xfId="7" applyNumberFormat="1" applyFont="1" applyFill="1" applyBorder="1" applyAlignment="1">
      <alignment vertical="center"/>
    </xf>
    <xf numFmtId="165" fontId="39" fillId="0" borderId="17" xfId="7" applyNumberFormat="1" applyFont="1" applyFill="1" applyBorder="1" applyAlignment="1">
      <alignment vertical="center"/>
    </xf>
    <xf numFmtId="182" fontId="39" fillId="0" borderId="0" xfId="3" applyNumberFormat="1" applyFont="1" applyFill="1" applyAlignment="1">
      <alignment vertical="center"/>
    </xf>
    <xf numFmtId="175" fontId="39" fillId="0" borderId="0" xfId="0" applyNumberFormat="1" applyFont="1" applyAlignment="1">
      <alignment vertical="center"/>
    </xf>
    <xf numFmtId="165" fontId="39" fillId="3" borderId="12" xfId="0" applyNumberFormat="1" applyFont="1" applyFill="1" applyBorder="1" applyAlignment="1">
      <alignment vertical="center"/>
    </xf>
    <xf numFmtId="165" fontId="39" fillId="10" borderId="12" xfId="0" applyNumberFormat="1" applyFont="1" applyFill="1" applyBorder="1" applyAlignment="1">
      <alignment vertical="center"/>
    </xf>
    <xf numFmtId="165" fontId="39" fillId="0" borderId="12" xfId="0" applyNumberFormat="1" applyFont="1" applyBorder="1" applyAlignment="1">
      <alignment vertical="center"/>
    </xf>
    <xf numFmtId="169" fontId="36" fillId="0" borderId="57" xfId="6" applyNumberFormat="1" applyFont="1" applyFill="1" applyBorder="1" applyAlignment="1">
      <alignment horizontal="center" vertical="center"/>
    </xf>
    <xf numFmtId="165" fontId="37" fillId="0" borderId="57" xfId="3" applyFont="1" applyFill="1" applyBorder="1" applyAlignment="1">
      <alignment horizontal="center" vertical="center"/>
    </xf>
    <xf numFmtId="182" fontId="36" fillId="0" borderId="105" xfId="3" applyNumberFormat="1" applyFont="1" applyFill="1" applyBorder="1" applyAlignment="1">
      <alignment horizontal="right" vertical="center"/>
    </xf>
    <xf numFmtId="182" fontId="36" fillId="0" borderId="12" xfId="3" applyNumberFormat="1" applyFont="1" applyFill="1" applyBorder="1" applyAlignment="1">
      <alignment horizontal="right" vertical="center"/>
    </xf>
    <xf numFmtId="176" fontId="36" fillId="0" borderId="0" xfId="3" applyNumberFormat="1" applyFont="1" applyFill="1" applyBorder="1" applyAlignment="1">
      <alignment horizontal="center" vertical="center"/>
    </xf>
    <xf numFmtId="165" fontId="36" fillId="3" borderId="8" xfId="6" applyFont="1" applyFill="1" applyBorder="1" applyAlignment="1">
      <alignment vertical="center"/>
    </xf>
    <xf numFmtId="165" fontId="36" fillId="3" borderId="9" xfId="6" applyFont="1" applyFill="1" applyBorder="1" applyAlignment="1">
      <alignment vertical="center"/>
    </xf>
    <xf numFmtId="165" fontId="36" fillId="10" borderId="9" xfId="6" applyFont="1" applyFill="1" applyBorder="1" applyAlignment="1">
      <alignment horizontal="center" vertical="center"/>
    </xf>
    <xf numFmtId="165" fontId="36" fillId="3" borderId="9" xfId="6" applyFont="1" applyFill="1" applyBorder="1" applyAlignment="1">
      <alignment horizontal="center" vertical="center"/>
    </xf>
    <xf numFmtId="165" fontId="36" fillId="10" borderId="9" xfId="6" applyFont="1" applyFill="1" applyBorder="1" applyAlignment="1">
      <alignment vertical="center"/>
    </xf>
    <xf numFmtId="165" fontId="36" fillId="0" borderId="9" xfId="6" applyFont="1" applyFill="1" applyBorder="1" applyAlignment="1">
      <alignment vertical="center"/>
    </xf>
    <xf numFmtId="165" fontId="36" fillId="0" borderId="10" xfId="6" applyFont="1" applyFill="1" applyBorder="1" applyAlignment="1">
      <alignment vertical="center"/>
    </xf>
    <xf numFmtId="169" fontId="36" fillId="0" borderId="1" xfId="6" applyNumberFormat="1" applyFont="1" applyFill="1" applyBorder="1" applyAlignment="1">
      <alignment horizontal="center" vertical="center"/>
    </xf>
    <xf numFmtId="165" fontId="37" fillId="0" borderId="1" xfId="3" applyFont="1" applyFill="1" applyBorder="1" applyAlignment="1">
      <alignment horizontal="center" vertical="center"/>
    </xf>
    <xf numFmtId="182" fontId="36" fillId="0" borderId="25" xfId="3" applyNumberFormat="1" applyFont="1" applyFill="1" applyBorder="1" applyAlignment="1">
      <alignment horizontal="right" vertical="center"/>
    </xf>
    <xf numFmtId="182" fontId="36" fillId="0" borderId="23" xfId="3" applyNumberFormat="1" applyFont="1" applyFill="1" applyBorder="1" applyAlignment="1">
      <alignment horizontal="right" vertical="center"/>
    </xf>
    <xf numFmtId="176" fontId="36" fillId="0" borderId="118" xfId="3" applyNumberFormat="1" applyFont="1" applyFill="1" applyBorder="1" applyAlignment="1">
      <alignment horizontal="center" vertical="center"/>
    </xf>
    <xf numFmtId="165" fontId="36" fillId="3" borderId="4" xfId="6" applyFont="1" applyFill="1" applyBorder="1" applyAlignment="1">
      <alignment vertical="center"/>
    </xf>
    <xf numFmtId="165" fontId="36" fillId="3" borderId="1" xfId="6" applyFont="1" applyFill="1" applyBorder="1" applyAlignment="1">
      <alignment vertical="center"/>
    </xf>
    <xf numFmtId="165" fontId="36" fillId="10" borderId="1" xfId="6" applyFont="1" applyFill="1" applyBorder="1" applyAlignment="1">
      <alignment vertical="center"/>
    </xf>
    <xf numFmtId="165" fontId="36" fillId="0" borderId="1" xfId="6" applyFont="1" applyFill="1" applyBorder="1" applyAlignment="1">
      <alignment vertical="center"/>
    </xf>
    <xf numFmtId="165" fontId="36" fillId="0" borderId="5" xfId="6" applyFont="1" applyFill="1" applyBorder="1" applyAlignment="1">
      <alignment vertical="center"/>
    </xf>
    <xf numFmtId="169" fontId="36" fillId="0" borderId="59" xfId="6" applyNumberFormat="1" applyFont="1" applyFill="1" applyBorder="1" applyAlignment="1">
      <alignment horizontal="center" vertical="center"/>
    </xf>
    <xf numFmtId="165" fontId="37" fillId="0" borderId="59" xfId="3" applyFont="1" applyFill="1" applyBorder="1" applyAlignment="1">
      <alignment horizontal="center" vertical="center"/>
    </xf>
    <xf numFmtId="182" fontId="36" fillId="0" borderId="84" xfId="3" applyNumberFormat="1" applyFont="1" applyFill="1" applyBorder="1" applyAlignment="1">
      <alignment horizontal="right" vertical="center"/>
    </xf>
    <xf numFmtId="182" fontId="36" fillId="0" borderId="16" xfId="3" applyNumberFormat="1" applyFont="1" applyFill="1" applyBorder="1" applyAlignment="1">
      <alignment horizontal="right" vertical="center"/>
    </xf>
    <xf numFmtId="165" fontId="36" fillId="3" borderId="112" xfId="6" applyFont="1" applyFill="1" applyBorder="1" applyAlignment="1">
      <alignment vertical="center"/>
    </xf>
    <xf numFmtId="165" fontId="36" fillId="3" borderId="6" xfId="6" applyFont="1" applyFill="1" applyBorder="1" applyAlignment="1">
      <alignment vertical="center"/>
    </xf>
    <xf numFmtId="165" fontId="36" fillId="10" borderId="6" xfId="6" applyFont="1" applyFill="1" applyBorder="1" applyAlignment="1">
      <alignment vertical="center"/>
    </xf>
    <xf numFmtId="165" fontId="36" fillId="0" borderId="6" xfId="6" applyFont="1" applyFill="1" applyBorder="1" applyAlignment="1">
      <alignment vertical="center"/>
    </xf>
    <xf numFmtId="165" fontId="36" fillId="0" borderId="7" xfId="6" applyFont="1" applyFill="1" applyBorder="1" applyAlignment="1">
      <alignment vertical="center"/>
    </xf>
    <xf numFmtId="165" fontId="37" fillId="0" borderId="0" xfId="3" applyFont="1" applyFill="1" applyBorder="1" applyAlignment="1">
      <alignment vertical="center"/>
    </xf>
    <xf numFmtId="165" fontId="36" fillId="0" borderId="0" xfId="6" applyFont="1" applyFill="1" applyAlignment="1">
      <alignment horizontal="center" vertical="center"/>
    </xf>
    <xf numFmtId="165" fontId="36" fillId="3" borderId="0" xfId="6" applyFont="1" applyFill="1" applyAlignment="1">
      <alignment horizontal="center" vertical="center"/>
    </xf>
    <xf numFmtId="165" fontId="41" fillId="0" borderId="14" xfId="3" applyFont="1" applyFill="1" applyBorder="1" applyAlignment="1">
      <alignment vertical="center"/>
    </xf>
    <xf numFmtId="165" fontId="39" fillId="3" borderId="17" xfId="6" applyFont="1" applyFill="1" applyBorder="1" applyAlignment="1">
      <alignment vertical="center"/>
    </xf>
    <xf numFmtId="165" fontId="39" fillId="10" borderId="17" xfId="6" applyFont="1" applyFill="1" applyBorder="1" applyAlignment="1">
      <alignment vertical="center"/>
    </xf>
    <xf numFmtId="165" fontId="39" fillId="0" borderId="17" xfId="6" applyFont="1" applyFill="1" applyBorder="1" applyAlignment="1">
      <alignment vertical="center"/>
    </xf>
    <xf numFmtId="169" fontId="36" fillId="0" borderId="91" xfId="6" applyNumberFormat="1" applyFont="1" applyFill="1" applyBorder="1" applyAlignment="1">
      <alignment horizontal="center" vertical="center"/>
    </xf>
    <xf numFmtId="165" fontId="37" fillId="0" borderId="91" xfId="3" applyFont="1" applyFill="1" applyBorder="1" applyAlignment="1">
      <alignment horizontal="center" vertical="center"/>
    </xf>
    <xf numFmtId="182" fontId="36" fillId="0" borderId="92" xfId="3" applyNumberFormat="1" applyFont="1" applyFill="1" applyBorder="1" applyAlignment="1">
      <alignment horizontal="right" vertical="center"/>
    </xf>
    <xf numFmtId="165" fontId="36" fillId="3" borderId="187" xfId="6" applyFont="1" applyFill="1" applyBorder="1" applyAlignment="1">
      <alignment vertical="center"/>
    </xf>
    <xf numFmtId="165" fontId="36" fillId="3" borderId="188" xfId="6" applyFont="1" applyFill="1" applyBorder="1" applyAlignment="1">
      <alignment vertical="center"/>
    </xf>
    <xf numFmtId="165" fontId="36" fillId="10" borderId="188" xfId="6" applyFont="1" applyFill="1" applyBorder="1" applyAlignment="1">
      <alignment vertical="center"/>
    </xf>
    <xf numFmtId="165" fontId="36" fillId="0" borderId="188" xfId="6" applyFont="1" applyFill="1" applyBorder="1" applyAlignment="1">
      <alignment vertical="center"/>
    </xf>
    <xf numFmtId="165" fontId="36" fillId="0" borderId="189" xfId="6" applyFont="1" applyFill="1" applyBorder="1" applyAlignment="1">
      <alignment vertical="center"/>
    </xf>
    <xf numFmtId="165" fontId="41" fillId="0" borderId="94" xfId="3" applyFont="1" applyFill="1" applyBorder="1" applyAlignment="1">
      <alignment vertical="center"/>
    </xf>
    <xf numFmtId="165" fontId="39" fillId="3" borderId="17" xfId="0" applyNumberFormat="1" applyFont="1" applyFill="1" applyBorder="1" applyAlignment="1">
      <alignment vertical="center"/>
    </xf>
    <xf numFmtId="165" fontId="39" fillId="10" borderId="17" xfId="0" applyNumberFormat="1" applyFont="1" applyFill="1" applyBorder="1" applyAlignment="1">
      <alignment vertical="center"/>
    </xf>
    <xf numFmtId="165" fontId="39" fillId="0" borderId="17" xfId="0" applyNumberFormat="1" applyFont="1" applyBorder="1" applyAlignment="1">
      <alignment vertical="center"/>
    </xf>
    <xf numFmtId="169" fontId="36" fillId="0" borderId="55" xfId="6" applyNumberFormat="1" applyFont="1" applyFill="1" applyBorder="1" applyAlignment="1">
      <alignment horizontal="center" vertical="center"/>
    </xf>
    <xf numFmtId="165" fontId="37" fillId="0" borderId="55" xfId="3" applyFont="1" applyFill="1" applyBorder="1" applyAlignment="1">
      <alignment horizontal="center" vertical="center"/>
    </xf>
    <xf numFmtId="182" fontId="36" fillId="0" borderId="100" xfId="3" applyNumberFormat="1" applyFont="1" applyFill="1" applyBorder="1" applyAlignment="1">
      <alignment horizontal="right" vertical="center"/>
    </xf>
    <xf numFmtId="165" fontId="36" fillId="3" borderId="56" xfId="6" applyFont="1" applyFill="1" applyBorder="1" applyAlignment="1">
      <alignment vertical="center"/>
    </xf>
    <xf numFmtId="165" fontId="36" fillId="3" borderId="57" xfId="6" applyFont="1" applyFill="1" applyBorder="1" applyAlignment="1">
      <alignment vertical="center"/>
    </xf>
    <xf numFmtId="165" fontId="36" fillId="10" borderId="57" xfId="6" applyFont="1" applyFill="1" applyBorder="1" applyAlignment="1">
      <alignment vertical="center"/>
    </xf>
    <xf numFmtId="165" fontId="36" fillId="0" borderId="57" xfId="6" applyFont="1" applyFill="1" applyBorder="1" applyAlignment="1">
      <alignment vertical="center"/>
    </xf>
    <xf numFmtId="165" fontId="36" fillId="0" borderId="190" xfId="6" applyFont="1" applyFill="1" applyBorder="1" applyAlignment="1">
      <alignment vertical="center"/>
    </xf>
    <xf numFmtId="169" fontId="36" fillId="0" borderId="6" xfId="6" applyNumberFormat="1" applyFont="1" applyFill="1" applyBorder="1" applyAlignment="1">
      <alignment horizontal="center" vertical="center"/>
    </xf>
    <xf numFmtId="165" fontId="37" fillId="0" borderId="6" xfId="3" applyFont="1" applyFill="1" applyBorder="1" applyAlignment="1">
      <alignment horizontal="center" vertical="center"/>
    </xf>
    <xf numFmtId="182" fontId="36" fillId="0" borderId="29" xfId="3" applyNumberFormat="1" applyFont="1" applyFill="1" applyBorder="1" applyAlignment="1">
      <alignment horizontal="right" vertical="center"/>
    </xf>
    <xf numFmtId="182" fontId="36" fillId="0" borderId="27" xfId="3" applyNumberFormat="1" applyFont="1" applyFill="1" applyBorder="1" applyAlignment="1">
      <alignment horizontal="right" vertical="center"/>
    </xf>
    <xf numFmtId="165" fontId="36" fillId="3" borderId="106" xfId="6" applyFont="1" applyFill="1" applyBorder="1" applyAlignment="1">
      <alignment vertical="center"/>
    </xf>
    <xf numFmtId="165" fontId="36" fillId="3" borderId="26" xfId="6" applyFont="1" applyFill="1" applyBorder="1" applyAlignment="1">
      <alignment vertical="center"/>
    </xf>
    <xf numFmtId="169" fontId="36" fillId="0" borderId="0" xfId="0" applyNumberFormat="1" applyFont="1" applyAlignment="1">
      <alignment vertical="center"/>
    </xf>
    <xf numFmtId="165" fontId="36" fillId="0" borderId="14" xfId="3" applyFont="1" applyFill="1" applyBorder="1" applyAlignment="1">
      <alignment vertical="center"/>
    </xf>
    <xf numFmtId="182" fontId="39" fillId="0" borderId="17" xfId="7" applyNumberFormat="1" applyFont="1" applyFill="1" applyBorder="1" applyAlignment="1">
      <alignment horizontal="right" vertical="center"/>
    </xf>
    <xf numFmtId="165" fontId="9" fillId="3" borderId="9" xfId="3" applyFont="1" applyFill="1" applyBorder="1" applyAlignment="1">
      <alignment horizontal="center" vertical="center"/>
    </xf>
    <xf numFmtId="165" fontId="9" fillId="10" borderId="9" xfId="3" applyFont="1" applyFill="1" applyBorder="1" applyAlignment="1">
      <alignment horizontal="center" vertical="center"/>
    </xf>
    <xf numFmtId="165" fontId="36" fillId="10" borderId="9" xfId="3" applyFont="1" applyFill="1" applyBorder="1" applyAlignment="1">
      <alignment horizontal="center" vertical="center"/>
    </xf>
    <xf numFmtId="165" fontId="36" fillId="3" borderId="9" xfId="3" applyFont="1" applyFill="1" applyBorder="1" applyAlignment="1">
      <alignment horizontal="center" vertical="center"/>
    </xf>
    <xf numFmtId="165" fontId="36" fillId="0" borderId="9" xfId="3" applyFont="1" applyFill="1" applyBorder="1" applyAlignment="1">
      <alignment horizontal="center" vertical="center"/>
    </xf>
    <xf numFmtId="165" fontId="36" fillId="0" borderId="10" xfId="3" applyFont="1" applyFill="1" applyBorder="1" applyAlignment="1">
      <alignment horizontal="center" vertical="center"/>
    </xf>
    <xf numFmtId="169" fontId="36" fillId="0" borderId="25" xfId="6" applyNumberFormat="1" applyFont="1" applyFill="1" applyBorder="1" applyAlignment="1">
      <alignment horizontal="center" vertical="center"/>
    </xf>
    <xf numFmtId="182" fontId="36" fillId="0" borderId="5" xfId="3" applyNumberFormat="1" applyFont="1" applyFill="1" applyBorder="1" applyAlignment="1">
      <alignment horizontal="right" vertical="center"/>
    </xf>
    <xf numFmtId="176" fontId="36" fillId="0" borderId="65" xfId="3" applyNumberFormat="1" applyFont="1" applyFill="1" applyBorder="1" applyAlignment="1">
      <alignment horizontal="center" vertical="center"/>
    </xf>
    <xf numFmtId="165" fontId="36" fillId="3" borderId="106" xfId="3" applyFont="1" applyFill="1" applyBorder="1" applyAlignment="1">
      <alignment horizontal="center" vertical="center"/>
    </xf>
    <xf numFmtId="165" fontId="36" fillId="3" borderId="55" xfId="3" applyFont="1" applyFill="1" applyBorder="1" applyAlignment="1">
      <alignment horizontal="center" vertical="center"/>
    </xf>
    <xf numFmtId="165" fontId="36" fillId="10" borderId="55" xfId="3" applyFont="1" applyFill="1" applyBorder="1" applyAlignment="1">
      <alignment horizontal="center" vertical="center"/>
    </xf>
    <xf numFmtId="165" fontId="36" fillId="0" borderId="55" xfId="3" applyFont="1" applyFill="1" applyBorder="1" applyAlignment="1">
      <alignment horizontal="center" vertical="center"/>
    </xf>
    <xf numFmtId="165" fontId="36" fillId="0" borderId="101" xfId="3" applyFont="1" applyFill="1" applyBorder="1" applyAlignment="1">
      <alignment horizontal="center" vertical="center"/>
    </xf>
    <xf numFmtId="169" fontId="36" fillId="0" borderId="29" xfId="6" applyNumberFormat="1" applyFont="1" applyFill="1" applyBorder="1" applyAlignment="1">
      <alignment horizontal="center" vertical="center"/>
    </xf>
    <xf numFmtId="182" fontId="36" fillId="0" borderId="7" xfId="3" applyNumberFormat="1" applyFont="1" applyFill="1" applyBorder="1" applyAlignment="1">
      <alignment horizontal="right" vertical="center"/>
    </xf>
    <xf numFmtId="176" fontId="36" fillId="0" borderId="23" xfId="3" applyNumberFormat="1" applyFont="1" applyFill="1" applyBorder="1" applyAlignment="1">
      <alignment horizontal="center" vertical="center"/>
    </xf>
    <xf numFmtId="165" fontId="36" fillId="3" borderId="30" xfId="3" applyFont="1" applyFill="1" applyBorder="1" applyAlignment="1">
      <alignment horizontal="center" vertical="center"/>
    </xf>
    <xf numFmtId="165" fontId="36" fillId="3" borderId="6" xfId="3" applyFont="1" applyFill="1" applyBorder="1" applyAlignment="1">
      <alignment horizontal="center" vertical="center"/>
    </xf>
    <xf numFmtId="165" fontId="36" fillId="10" borderId="6" xfId="3" applyFont="1" applyFill="1" applyBorder="1" applyAlignment="1">
      <alignment horizontal="center" vertical="center"/>
    </xf>
    <xf numFmtId="165" fontId="36" fillId="0" borderId="6" xfId="3" applyFont="1" applyFill="1" applyBorder="1" applyAlignment="1">
      <alignment horizontal="center" vertical="center"/>
    </xf>
    <xf numFmtId="165" fontId="36" fillId="0" borderId="7" xfId="3" applyFont="1" applyFill="1" applyBorder="1" applyAlignment="1">
      <alignment horizontal="center" vertical="center"/>
    </xf>
    <xf numFmtId="165" fontId="41" fillId="0" borderId="57" xfId="3" applyFont="1" applyFill="1" applyBorder="1" applyAlignment="1">
      <alignment vertical="center"/>
    </xf>
    <xf numFmtId="169" fontId="36" fillId="0" borderId="105" xfId="6" applyNumberFormat="1" applyFont="1" applyFill="1" applyBorder="1" applyAlignment="1">
      <alignment horizontal="center" vertical="center"/>
    </xf>
    <xf numFmtId="182" fontId="36" fillId="0" borderId="75" xfId="3" applyNumberFormat="1" applyFont="1" applyFill="1" applyBorder="1" applyAlignment="1">
      <alignment horizontal="right" vertical="center"/>
    </xf>
    <xf numFmtId="182" fontId="36" fillId="0" borderId="65" xfId="3" applyNumberFormat="1" applyFont="1" applyFill="1" applyBorder="1" applyAlignment="1">
      <alignment horizontal="right" vertical="center"/>
    </xf>
    <xf numFmtId="182" fontId="36" fillId="0" borderId="34" xfId="3" applyNumberFormat="1" applyFont="1" applyFill="1" applyBorder="1" applyAlignment="1">
      <alignment horizontal="right" vertical="center"/>
    </xf>
    <xf numFmtId="165" fontId="36" fillId="3" borderId="55" xfId="6" applyFont="1" applyFill="1" applyBorder="1" applyAlignment="1">
      <alignment vertical="center"/>
    </xf>
    <xf numFmtId="165" fontId="36" fillId="3" borderId="0" xfId="6" applyFont="1" applyFill="1" applyBorder="1" applyAlignment="1">
      <alignment vertical="center"/>
    </xf>
    <xf numFmtId="165" fontId="36" fillId="10" borderId="0" xfId="6" applyFont="1" applyFill="1" applyBorder="1" applyAlignment="1">
      <alignment vertical="center"/>
    </xf>
    <xf numFmtId="165" fontId="36" fillId="10" borderId="55" xfId="6" applyFont="1" applyFill="1" applyBorder="1" applyAlignment="1">
      <alignment vertical="center"/>
    </xf>
    <xf numFmtId="165" fontId="36" fillId="0" borderId="55" xfId="6" applyFont="1" applyFill="1" applyBorder="1" applyAlignment="1">
      <alignment vertical="center"/>
    </xf>
    <xf numFmtId="165" fontId="36" fillId="0" borderId="101" xfId="6" applyFont="1" applyFill="1" applyBorder="1" applyAlignment="1">
      <alignment vertical="center"/>
    </xf>
    <xf numFmtId="165" fontId="36" fillId="3" borderId="1" xfId="6" quotePrefix="1" applyFont="1" applyFill="1" applyBorder="1" applyAlignment="1">
      <alignment vertical="center"/>
    </xf>
    <xf numFmtId="169" fontId="36" fillId="0" borderId="92" xfId="6" applyNumberFormat="1" applyFont="1" applyFill="1" applyBorder="1" applyAlignment="1">
      <alignment horizontal="center" vertical="center"/>
    </xf>
    <xf numFmtId="165" fontId="36" fillId="0" borderId="59" xfId="3" applyFont="1" applyFill="1" applyBorder="1" applyAlignment="1">
      <alignment horizontal="center" vertical="center"/>
    </xf>
    <xf numFmtId="182" fontId="36" fillId="0" borderId="107" xfId="3" applyNumberFormat="1" applyFont="1" applyFill="1" applyBorder="1" applyAlignment="1">
      <alignment horizontal="right" vertical="center"/>
    </xf>
    <xf numFmtId="165" fontId="36" fillId="3" borderId="191" xfId="6" applyFont="1" applyFill="1" applyBorder="1" applyAlignment="1">
      <alignment vertical="center"/>
    </xf>
    <xf numFmtId="165" fontId="41" fillId="0" borderId="39" xfId="3" applyFont="1" applyFill="1" applyBorder="1" applyAlignment="1">
      <alignment vertical="center"/>
    </xf>
    <xf numFmtId="165" fontId="39" fillId="3" borderId="16" xfId="0" applyNumberFormat="1" applyFont="1" applyFill="1" applyBorder="1" applyAlignment="1">
      <alignment vertical="center"/>
    </xf>
    <xf numFmtId="165" fontId="39" fillId="10" borderId="16" xfId="0" applyNumberFormat="1" applyFont="1" applyFill="1" applyBorder="1" applyAlignment="1">
      <alignment vertical="center"/>
    </xf>
    <xf numFmtId="165" fontId="39" fillId="0" borderId="16" xfId="0" applyNumberFormat="1" applyFont="1" applyBorder="1" applyAlignment="1">
      <alignment vertical="center"/>
    </xf>
    <xf numFmtId="169" fontId="36" fillId="0" borderId="88" xfId="6" applyNumberFormat="1" applyFont="1" applyFill="1" applyBorder="1" applyAlignment="1">
      <alignment horizontal="center" vertical="center"/>
    </xf>
    <xf numFmtId="165" fontId="37" fillId="0" borderId="87" xfId="3" applyFont="1" applyFill="1" applyBorder="1" applyAlignment="1">
      <alignment horizontal="center" vertical="center"/>
    </xf>
    <xf numFmtId="182" fontId="36" fillId="0" borderId="108" xfId="3" applyNumberFormat="1" applyFont="1" applyFill="1" applyBorder="1" applyAlignment="1">
      <alignment horizontal="right" vertical="center"/>
    </xf>
    <xf numFmtId="182" fontId="36" fillId="0" borderId="96" xfId="3" applyNumberFormat="1" applyFont="1" applyFill="1" applyBorder="1" applyAlignment="1">
      <alignment horizontal="right" vertical="center"/>
    </xf>
    <xf numFmtId="182" fontId="36" fillId="0" borderId="109" xfId="3" applyNumberFormat="1" applyFont="1" applyFill="1" applyBorder="1" applyAlignment="1">
      <alignment horizontal="right" vertical="center"/>
    </xf>
    <xf numFmtId="182" fontId="36" fillId="0" borderId="102" xfId="6" applyNumberFormat="1" applyFont="1" applyFill="1" applyBorder="1" applyAlignment="1">
      <alignment horizontal="right" vertical="center"/>
    </xf>
    <xf numFmtId="169" fontId="36" fillId="0" borderId="0" xfId="6" applyNumberFormat="1" applyFont="1" applyFill="1" applyBorder="1" applyAlignment="1">
      <alignment horizontal="center" vertical="center"/>
    </xf>
    <xf numFmtId="165" fontId="36" fillId="3" borderId="58" xfId="6" applyFont="1" applyFill="1" applyBorder="1" applyAlignment="1">
      <alignment vertical="center"/>
    </xf>
    <xf numFmtId="165" fontId="36" fillId="3" borderId="59" xfId="6" applyFont="1" applyFill="1" applyBorder="1" applyAlignment="1">
      <alignment vertical="center"/>
    </xf>
    <xf numFmtId="165" fontId="36" fillId="10" borderId="59" xfId="6" applyFont="1" applyFill="1" applyBorder="1" applyAlignment="1">
      <alignment vertical="center"/>
    </xf>
    <xf numFmtId="165" fontId="39" fillId="0" borderId="67" xfId="6" applyFont="1" applyBorder="1" applyAlignment="1">
      <alignment vertical="center"/>
    </xf>
    <xf numFmtId="165" fontId="39" fillId="0" borderId="94" xfId="6" applyFont="1" applyBorder="1" applyAlignment="1">
      <alignment vertical="center"/>
    </xf>
    <xf numFmtId="165" fontId="39" fillId="0" borderId="94" xfId="6" applyFont="1" applyFill="1" applyBorder="1" applyAlignment="1">
      <alignment vertical="center"/>
    </xf>
    <xf numFmtId="165" fontId="39" fillId="0" borderId="95" xfId="6" applyFont="1" applyFill="1" applyBorder="1" applyAlignment="1">
      <alignment vertical="center"/>
    </xf>
    <xf numFmtId="169" fontId="36" fillId="0" borderId="87" xfId="6" applyNumberFormat="1" applyFont="1" applyFill="1" applyBorder="1" applyAlignment="1">
      <alignment horizontal="center" vertical="center"/>
    </xf>
    <xf numFmtId="165" fontId="36" fillId="0" borderId="87" xfId="3" applyFont="1" applyFill="1" applyBorder="1" applyAlignment="1">
      <alignment horizontal="center" vertical="center"/>
    </xf>
    <xf numFmtId="182" fontId="36" fillId="0" borderId="88" xfId="3" applyNumberFormat="1" applyFont="1" applyFill="1" applyBorder="1" applyAlignment="1">
      <alignment horizontal="center" vertical="center"/>
    </xf>
    <xf numFmtId="165" fontId="36" fillId="0" borderId="89" xfId="6" applyFont="1" applyFill="1" applyBorder="1" applyAlignment="1">
      <alignment vertical="center"/>
    </xf>
    <xf numFmtId="165" fontId="36" fillId="0" borderId="192" xfId="6" applyFont="1" applyFill="1" applyBorder="1" applyAlignment="1">
      <alignment vertical="center"/>
    </xf>
    <xf numFmtId="165" fontId="36" fillId="0" borderId="193" xfId="6" applyFont="1" applyFill="1" applyBorder="1" applyAlignment="1">
      <alignment vertical="center"/>
    </xf>
    <xf numFmtId="169" fontId="36" fillId="0" borderId="90" xfId="6" applyNumberFormat="1" applyFont="1" applyFill="1" applyBorder="1" applyAlignment="1">
      <alignment horizontal="center" vertical="center"/>
    </xf>
    <xf numFmtId="165" fontId="37" fillId="0" borderId="90" xfId="3" applyFont="1" applyFill="1" applyBorder="1" applyAlignment="1">
      <alignment horizontal="center" vertical="center"/>
    </xf>
    <xf numFmtId="182" fontId="36" fillId="0" borderId="80" xfId="3" applyNumberFormat="1" applyFont="1" applyFill="1" applyBorder="1" applyAlignment="1">
      <alignment horizontal="center" vertical="center"/>
    </xf>
    <xf numFmtId="165" fontId="36" fillId="0" borderId="194" xfId="6" applyFont="1" applyFill="1" applyBorder="1" applyAlignment="1">
      <alignment vertical="center"/>
    </xf>
    <xf numFmtId="165" fontId="36" fillId="0" borderId="195" xfId="6" applyFont="1" applyFill="1" applyBorder="1" applyAlignment="1">
      <alignment vertical="center"/>
    </xf>
    <xf numFmtId="165" fontId="36" fillId="0" borderId="196" xfId="6" applyFont="1" applyFill="1" applyBorder="1" applyAlignment="1">
      <alignment vertical="center"/>
    </xf>
    <xf numFmtId="182" fontId="36" fillId="0" borderId="84" xfId="3" applyNumberFormat="1" applyFont="1" applyFill="1" applyBorder="1" applyAlignment="1">
      <alignment horizontal="center" vertical="center"/>
    </xf>
    <xf numFmtId="175" fontId="36" fillId="0" borderId="0" xfId="0" applyNumberFormat="1" applyFont="1" applyAlignment="1">
      <alignment horizontal="right" vertical="center"/>
    </xf>
    <xf numFmtId="165" fontId="36" fillId="0" borderId="58" xfId="6" applyFont="1" applyFill="1" applyBorder="1" applyAlignment="1">
      <alignment vertical="center"/>
    </xf>
    <xf numFmtId="165" fontId="36" fillId="0" borderId="59" xfId="6" applyFont="1" applyFill="1" applyBorder="1" applyAlignment="1">
      <alignment vertical="center"/>
    </xf>
    <xf numFmtId="165" fontId="36" fillId="0" borderId="85" xfId="6" applyFont="1" applyFill="1" applyBorder="1" applyAlignment="1">
      <alignment vertical="center"/>
    </xf>
    <xf numFmtId="165" fontId="39" fillId="0" borderId="17" xfId="6" applyFont="1" applyBorder="1" applyAlignment="1">
      <alignment vertical="center"/>
    </xf>
    <xf numFmtId="165" fontId="36" fillId="3" borderId="192" xfId="6" applyFont="1" applyFill="1" applyBorder="1" applyAlignment="1">
      <alignment vertical="center"/>
    </xf>
    <xf numFmtId="182" fontId="36" fillId="0" borderId="81" xfId="3" applyNumberFormat="1" applyFont="1" applyFill="1" applyBorder="1" applyAlignment="1">
      <alignment horizontal="right" vertical="center"/>
    </xf>
    <xf numFmtId="165" fontId="36" fillId="3" borderId="195" xfId="6" applyFont="1" applyFill="1" applyBorder="1" applyAlignment="1">
      <alignment vertical="center"/>
    </xf>
    <xf numFmtId="182" fontId="39" fillId="0" borderId="97" xfId="7" applyNumberFormat="1" applyFont="1" applyFill="1" applyBorder="1" applyAlignment="1">
      <alignment horizontal="right" vertical="center"/>
    </xf>
    <xf numFmtId="165" fontId="73" fillId="3" borderId="16" xfId="0" applyNumberFormat="1" applyFont="1" applyFill="1" applyBorder="1" applyAlignment="1">
      <alignment vertical="center"/>
    </xf>
    <xf numFmtId="182" fontId="36" fillId="0" borderId="110" xfId="3" applyNumberFormat="1" applyFont="1" applyFill="1" applyBorder="1" applyAlignment="1">
      <alignment horizontal="right" vertical="center"/>
    </xf>
    <xf numFmtId="182" fontId="36" fillId="0" borderId="92" xfId="3" applyNumberFormat="1" applyFont="1" applyFill="1" applyBorder="1" applyAlignment="1">
      <alignment horizontal="center" vertical="center"/>
    </xf>
    <xf numFmtId="165" fontId="36" fillId="0" borderId="187" xfId="6" applyFont="1" applyFill="1" applyBorder="1" applyAlignment="1">
      <alignment vertical="center"/>
    </xf>
    <xf numFmtId="175" fontId="36" fillId="0" borderId="0" xfId="0" applyNumberFormat="1" applyFont="1" applyAlignment="1">
      <alignment vertical="center"/>
    </xf>
    <xf numFmtId="165" fontId="36" fillId="0" borderId="0" xfId="0" applyNumberFormat="1" applyFont="1" applyAlignment="1">
      <alignment vertical="center"/>
    </xf>
    <xf numFmtId="165" fontId="36" fillId="0" borderId="0" xfId="3" applyFont="1" applyFill="1" applyAlignment="1">
      <alignment horizontal="center" vertical="center"/>
    </xf>
    <xf numFmtId="182" fontId="36" fillId="0" borderId="17" xfId="7" applyNumberFormat="1" applyFont="1" applyFill="1" applyBorder="1" applyAlignment="1">
      <alignment vertical="center"/>
    </xf>
    <xf numFmtId="175" fontId="36" fillId="0" borderId="17" xfId="7" applyNumberFormat="1" applyFont="1" applyFill="1" applyBorder="1" applyAlignment="1">
      <alignment vertical="center"/>
    </xf>
    <xf numFmtId="165" fontId="36" fillId="0" borderId="17" xfId="7" applyNumberFormat="1" applyFont="1" applyFill="1" applyBorder="1" applyAlignment="1">
      <alignment vertical="center"/>
    </xf>
    <xf numFmtId="182" fontId="39" fillId="0" borderId="17" xfId="7" applyNumberFormat="1" applyFont="1" applyFill="1" applyBorder="1" applyAlignment="1">
      <alignment vertical="center"/>
    </xf>
    <xf numFmtId="165" fontId="36" fillId="0" borderId="1" xfId="6" applyFont="1" applyBorder="1" applyAlignment="1">
      <alignment vertical="center"/>
    </xf>
    <xf numFmtId="0" fontId="36" fillId="0" borderId="1" xfId="6" applyNumberFormat="1" applyFont="1" applyBorder="1" applyAlignment="1">
      <alignment vertical="center"/>
    </xf>
    <xf numFmtId="0" fontId="48" fillId="0" borderId="4" xfId="0" quotePrefix="1" applyFont="1" applyBorder="1" applyAlignment="1">
      <alignment horizontal="left" vertical="center"/>
    </xf>
    <xf numFmtId="4" fontId="2" fillId="0" borderId="1" xfId="0" applyNumberFormat="1" applyFont="1" applyBorder="1"/>
    <xf numFmtId="0" fontId="0" fillId="0" borderId="0" xfId="0" applyAlignment="1">
      <alignment horizontal="left" vertical="center"/>
    </xf>
    <xf numFmtId="0" fontId="0" fillId="45" borderId="0" xfId="0" applyFill="1" applyAlignment="1">
      <alignment horizontal="left" vertical="center"/>
    </xf>
    <xf numFmtId="0" fontId="0" fillId="45" borderId="0" xfId="0" applyFill="1" applyAlignment="1">
      <alignment vertical="center"/>
    </xf>
    <xf numFmtId="0" fontId="98" fillId="45" borderId="0" xfId="0" applyFont="1" applyFill="1" applyAlignment="1">
      <alignment horizontal="left" vertical="center"/>
    </xf>
    <xf numFmtId="0" fontId="98" fillId="45" borderId="0" xfId="0" applyFont="1" applyFill="1" applyAlignment="1">
      <alignment vertical="center"/>
    </xf>
    <xf numFmtId="0" fontId="99" fillId="45" borderId="0" xfId="0" applyFont="1" applyFill="1" applyAlignment="1">
      <alignment horizontal="left" vertical="center"/>
    </xf>
    <xf numFmtId="0" fontId="99" fillId="45" borderId="0" xfId="0" applyFont="1" applyFill="1" applyAlignment="1">
      <alignment vertical="center"/>
    </xf>
    <xf numFmtId="0" fontId="100" fillId="45" borderId="0" xfId="0" applyFont="1" applyFill="1" applyAlignment="1">
      <alignment horizontal="left" vertical="center"/>
    </xf>
    <xf numFmtId="0" fontId="100" fillId="45" borderId="0" xfId="0" applyFont="1" applyFill="1" applyAlignment="1">
      <alignment vertical="center"/>
    </xf>
    <xf numFmtId="0" fontId="102" fillId="46" borderId="197" xfId="92" applyFill="1" applyBorder="1" applyAlignment="1">
      <alignment horizontal="center" vertical="center"/>
    </xf>
    <xf numFmtId="3" fontId="70" fillId="5" borderId="1" xfId="9" applyNumberFormat="1" applyFont="1" applyFill="1" applyBorder="1" applyAlignment="1">
      <alignment horizontal="center" vertical="center"/>
    </xf>
    <xf numFmtId="193" fontId="36" fillId="0" borderId="1" xfId="6" applyNumberFormat="1" applyFont="1" applyFill="1" applyBorder="1" applyAlignment="1">
      <alignment vertical="center"/>
    </xf>
    <xf numFmtId="194" fontId="36" fillId="0" borderId="1" xfId="6" applyNumberFormat="1" applyFont="1" applyFill="1" applyBorder="1" applyAlignment="1">
      <alignment vertical="center"/>
    </xf>
    <xf numFmtId="185" fontId="0" fillId="0" borderId="0" xfId="0" applyNumberFormat="1"/>
    <xf numFmtId="10" fontId="2" fillId="0" borderId="1" xfId="0" applyNumberFormat="1" applyFont="1" applyBorder="1" applyAlignment="1">
      <alignment horizontal="center" vertical="center"/>
    </xf>
    <xf numFmtId="10" fontId="2" fillId="0" borderId="24" xfId="0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/>
    </xf>
    <xf numFmtId="186" fontId="0" fillId="0" borderId="1" xfId="2" applyNumberFormat="1" applyFont="1" applyBorder="1" applyAlignment="1">
      <alignment horizontal="center"/>
    </xf>
    <xf numFmtId="190" fontId="0" fillId="0" borderId="24" xfId="0" applyNumberFormat="1" applyBorder="1"/>
    <xf numFmtId="1" fontId="2" fillId="0" borderId="1" xfId="0" quotePrefix="1" applyNumberFormat="1" applyFont="1" applyBorder="1" applyAlignment="1">
      <alignment horizontal="center"/>
    </xf>
    <xf numFmtId="187" fontId="0" fillId="0" borderId="1" xfId="0" applyNumberFormat="1" applyBorder="1"/>
    <xf numFmtId="0" fontId="20" fillId="0" borderId="2" xfId="0" applyFont="1" applyBorder="1" applyAlignment="1">
      <alignment horizontal="center" vertical="center"/>
    </xf>
    <xf numFmtId="165" fontId="32" fillId="0" borderId="39" xfId="0" applyNumberFormat="1" applyFont="1" applyBorder="1" applyAlignment="1">
      <alignment horizontal="center" vertical="center"/>
    </xf>
    <xf numFmtId="190" fontId="20" fillId="0" borderId="1" xfId="0" applyNumberFormat="1" applyFont="1" applyBorder="1"/>
    <xf numFmtId="195" fontId="20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Border="1"/>
    <xf numFmtId="190" fontId="2" fillId="0" borderId="1" xfId="0" applyNumberFormat="1" applyFont="1" applyBorder="1"/>
    <xf numFmtId="0" fontId="24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right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4" xfId="0" applyFont="1" applyBorder="1" applyAlignment="1">
      <alignment vertical="center"/>
    </xf>
    <xf numFmtId="4" fontId="21" fillId="0" borderId="1" xfId="0" applyNumberFormat="1" applyFont="1" applyBorder="1" applyAlignment="1">
      <alignment vertical="center"/>
    </xf>
    <xf numFmtId="4" fontId="104" fillId="0" borderId="1" xfId="0" applyNumberFormat="1" applyFont="1" applyBorder="1" applyAlignment="1">
      <alignment vertical="center"/>
    </xf>
    <xf numFmtId="4" fontId="21" fillId="0" borderId="5" xfId="0" applyNumberFormat="1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4" fontId="24" fillId="0" borderId="1" xfId="0" applyNumberFormat="1" applyFont="1" applyBorder="1" applyAlignment="1">
      <alignment vertical="center"/>
    </xf>
    <xf numFmtId="4" fontId="105" fillId="0" borderId="1" xfId="0" applyNumberFormat="1" applyFont="1" applyBorder="1" applyAlignment="1">
      <alignment vertical="center"/>
    </xf>
    <xf numFmtId="4" fontId="21" fillId="0" borderId="0" xfId="0" applyNumberFormat="1" applyFont="1" applyAlignment="1">
      <alignment vertical="center"/>
    </xf>
    <xf numFmtId="0" fontId="24" fillId="0" borderId="4" xfId="0" applyFont="1" applyBorder="1" applyAlignment="1">
      <alignment horizontal="left" vertical="center" indent="1"/>
    </xf>
    <xf numFmtId="4" fontId="24" fillId="0" borderId="5" xfId="0" applyNumberFormat="1" applyFont="1" applyBorder="1" applyAlignment="1">
      <alignment vertical="center"/>
    </xf>
    <xf numFmtId="10" fontId="24" fillId="0" borderId="0" xfId="2" applyNumberFormat="1" applyFont="1" applyFill="1" applyAlignment="1">
      <alignment vertical="center"/>
    </xf>
    <xf numFmtId="165" fontId="24" fillId="0" borderId="0" xfId="3" applyFont="1" applyFill="1" applyAlignment="1">
      <alignment vertical="center"/>
    </xf>
    <xf numFmtId="0" fontId="104" fillId="0" borderId="0" xfId="0" applyFont="1" applyAlignment="1">
      <alignment vertical="center"/>
    </xf>
    <xf numFmtId="0" fontId="104" fillId="0" borderId="4" xfId="0" applyFont="1" applyBorder="1" applyAlignment="1">
      <alignment vertical="center"/>
    </xf>
    <xf numFmtId="4" fontId="104" fillId="0" borderId="5" xfId="0" applyNumberFormat="1" applyFont="1" applyBorder="1" applyAlignment="1">
      <alignment vertical="center"/>
    </xf>
    <xf numFmtId="0" fontId="21" fillId="0" borderId="112" xfId="0" applyFont="1" applyBorder="1" applyAlignment="1">
      <alignment vertical="center"/>
    </xf>
    <xf numFmtId="4" fontId="21" fillId="0" borderId="6" xfId="0" applyNumberFormat="1" applyFont="1" applyBorder="1" applyAlignment="1">
      <alignment vertical="center"/>
    </xf>
    <xf numFmtId="4" fontId="21" fillId="0" borderId="7" xfId="0" applyNumberFormat="1" applyFont="1" applyBorder="1" applyAlignment="1">
      <alignment vertical="center"/>
    </xf>
    <xf numFmtId="165" fontId="24" fillId="0" borderId="0" xfId="3" applyFont="1" applyAlignment="1">
      <alignment vertical="center"/>
    </xf>
    <xf numFmtId="10" fontId="24" fillId="0" borderId="0" xfId="2" applyNumberFormat="1" applyFont="1" applyAlignment="1">
      <alignment vertical="center"/>
    </xf>
    <xf numFmtId="0" fontId="24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1" fillId="0" borderId="67" xfId="0" applyFont="1" applyBorder="1" applyAlignment="1">
      <alignment horizontal="center" vertical="center"/>
    </xf>
    <xf numFmtId="0" fontId="21" fillId="0" borderId="94" xfId="0" applyFont="1" applyBorder="1" applyAlignment="1">
      <alignment horizontal="center" vertical="center"/>
    </xf>
    <xf numFmtId="0" fontId="21" fillId="0" borderId="68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74" xfId="0" applyFont="1" applyBorder="1" applyAlignment="1">
      <alignment vertical="center"/>
    </xf>
    <xf numFmtId="4" fontId="21" fillId="0" borderId="2" xfId="0" applyNumberFormat="1" applyFont="1" applyBorder="1" applyAlignment="1">
      <alignment vertical="center"/>
    </xf>
    <xf numFmtId="4" fontId="21" fillId="0" borderId="37" xfId="0" applyNumberFormat="1" applyFont="1" applyBorder="1" applyAlignment="1">
      <alignment vertical="center"/>
    </xf>
    <xf numFmtId="4" fontId="24" fillId="0" borderId="25" xfId="0" applyNumberFormat="1" applyFont="1" applyBorder="1" applyAlignment="1">
      <alignment vertical="center"/>
    </xf>
    <xf numFmtId="4" fontId="21" fillId="0" borderId="23" xfId="0" applyNumberFormat="1" applyFont="1" applyBorder="1" applyAlignment="1">
      <alignment vertical="center"/>
    </xf>
    <xf numFmtId="4" fontId="21" fillId="0" borderId="25" xfId="0" applyNumberFormat="1" applyFont="1" applyBorder="1" applyAlignment="1">
      <alignment vertical="center"/>
    </xf>
    <xf numFmtId="0" fontId="105" fillId="0" borderId="4" xfId="0" quotePrefix="1" applyFont="1" applyBorder="1" applyAlignment="1">
      <alignment horizontal="left" vertical="center"/>
    </xf>
    <xf numFmtId="0" fontId="24" fillId="0" borderId="121" xfId="0" applyFont="1" applyBorder="1" applyAlignment="1">
      <alignment horizontal="left" vertical="center" indent="2"/>
    </xf>
    <xf numFmtId="4" fontId="21" fillId="0" borderId="66" xfId="0" applyNumberFormat="1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4" fontId="21" fillId="0" borderId="94" xfId="0" applyNumberFormat="1" applyFont="1" applyBorder="1" applyAlignment="1">
      <alignment vertical="center"/>
    </xf>
    <xf numFmtId="4" fontId="21" fillId="0" borderId="95" xfId="0" applyNumberFormat="1" applyFont="1" applyBorder="1" applyAlignment="1">
      <alignment vertical="center"/>
    </xf>
    <xf numFmtId="4" fontId="21" fillId="0" borderId="17" xfId="0" applyNumberFormat="1" applyFont="1" applyBorder="1" applyAlignment="1">
      <alignment vertical="center"/>
    </xf>
    <xf numFmtId="10" fontId="106" fillId="0" borderId="95" xfId="2" applyNumberFormat="1" applyFont="1" applyBorder="1" applyAlignment="1">
      <alignment vertical="center"/>
    </xf>
    <xf numFmtId="4" fontId="24" fillId="0" borderId="0" xfId="0" applyNumberFormat="1" applyFont="1" applyAlignment="1">
      <alignment vertical="center"/>
    </xf>
    <xf numFmtId="4" fontId="63" fillId="0" borderId="1" xfId="0" applyNumberFormat="1" applyFont="1" applyBorder="1"/>
    <xf numFmtId="4" fontId="107" fillId="0" borderId="1" xfId="0" applyNumberFormat="1" applyFont="1" applyBorder="1"/>
    <xf numFmtId="1" fontId="63" fillId="0" borderId="1" xfId="0" quotePrefix="1" applyNumberFormat="1" applyFont="1" applyBorder="1" applyAlignment="1">
      <alignment horizontal="center" vertical="center" wrapText="1"/>
    </xf>
    <xf numFmtId="1" fontId="107" fillId="0" borderId="1" xfId="0" quotePrefix="1" applyNumberFormat="1" applyFont="1" applyBorder="1" applyAlignment="1">
      <alignment horizontal="center" vertical="center" wrapText="1"/>
    </xf>
    <xf numFmtId="0" fontId="108" fillId="0" borderId="0" xfId="0" applyFont="1" applyAlignment="1">
      <alignment vertical="center"/>
    </xf>
    <xf numFmtId="4" fontId="60" fillId="0" borderId="23" xfId="0" applyNumberFormat="1" applyFont="1" applyBorder="1" applyAlignment="1">
      <alignment vertical="center"/>
    </xf>
    <xf numFmtId="3" fontId="0" fillId="0" borderId="1" xfId="0" applyNumberFormat="1" applyBorder="1" applyAlignment="1">
      <alignment horizont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4" fontId="109" fillId="0" borderId="1" xfId="0" applyNumberFormat="1" applyFont="1" applyBorder="1"/>
    <xf numFmtId="165" fontId="110" fillId="0" borderId="0" xfId="6" applyFont="1" applyFill="1" applyAlignment="1">
      <alignment vertical="center"/>
    </xf>
    <xf numFmtId="165" fontId="70" fillId="0" borderId="0" xfId="6" applyFont="1" applyAlignment="1">
      <alignment vertical="center"/>
    </xf>
    <xf numFmtId="165" fontId="70" fillId="0" borderId="0" xfId="6" applyFont="1" applyFill="1" applyAlignment="1">
      <alignment vertical="center"/>
    </xf>
    <xf numFmtId="0" fontId="62" fillId="0" borderId="0" xfId="0" applyFont="1" applyAlignment="1">
      <alignment vertical="center"/>
    </xf>
    <xf numFmtId="0" fontId="99" fillId="45" borderId="0" xfId="0" applyFont="1" applyFill="1" applyAlignment="1">
      <alignment horizontal="center" vertical="center"/>
    </xf>
    <xf numFmtId="0" fontId="101" fillId="45" borderId="0" xfId="0" applyFont="1" applyFill="1" applyAlignment="1">
      <alignment horizontal="center" vertical="center"/>
    </xf>
    <xf numFmtId="0" fontId="102" fillId="47" borderId="199" xfId="92" applyFill="1" applyBorder="1" applyAlignment="1">
      <alignment horizontal="center" vertical="center"/>
    </xf>
    <xf numFmtId="0" fontId="102" fillId="47" borderId="200" xfId="92" applyFill="1" applyBorder="1" applyAlignment="1">
      <alignment horizontal="center" vertical="center"/>
    </xf>
    <xf numFmtId="0" fontId="102" fillId="47" borderId="201" xfId="92" applyFill="1" applyBorder="1" applyAlignment="1">
      <alignment horizontal="center" vertical="center"/>
    </xf>
    <xf numFmtId="0" fontId="102" fillId="47" borderId="202" xfId="92" applyFill="1" applyBorder="1" applyAlignment="1">
      <alignment horizontal="center" vertical="center"/>
    </xf>
    <xf numFmtId="0" fontId="102" fillId="47" borderId="0" xfId="92" applyFill="1" applyBorder="1" applyAlignment="1">
      <alignment horizontal="center" vertical="center"/>
    </xf>
    <xf numFmtId="0" fontId="102" fillId="47" borderId="203" xfId="92" applyFill="1" applyBorder="1" applyAlignment="1">
      <alignment horizontal="center" vertical="center"/>
    </xf>
    <xf numFmtId="0" fontId="102" fillId="47" borderId="204" xfId="92" applyFill="1" applyBorder="1" applyAlignment="1">
      <alignment horizontal="center" vertical="center"/>
    </xf>
    <xf numFmtId="0" fontId="102" fillId="47" borderId="198" xfId="92" applyFill="1" applyBorder="1" applyAlignment="1">
      <alignment horizontal="center" vertical="center"/>
    </xf>
    <xf numFmtId="0" fontId="102" fillId="47" borderId="205" xfId="92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 wrapText="1"/>
    </xf>
    <xf numFmtId="0" fontId="2" fillId="0" borderId="118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10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0" fontId="2" fillId="0" borderId="3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0" fontId="0" fillId="0" borderId="1" xfId="2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0" borderId="0" xfId="1" applyFont="1" applyAlignment="1">
      <alignment horizontal="left" vertical="center"/>
    </xf>
    <xf numFmtId="0" fontId="17" fillId="0" borderId="35" xfId="1" applyFont="1" applyBorder="1" applyAlignment="1">
      <alignment horizontal="center" vertical="center"/>
    </xf>
    <xf numFmtId="0" fontId="17" fillId="0" borderId="36" xfId="1" applyFont="1" applyBorder="1" applyAlignment="1">
      <alignment horizontal="center" vertical="center"/>
    </xf>
    <xf numFmtId="0" fontId="17" fillId="0" borderId="13" xfId="1" applyFont="1" applyBorder="1" applyAlignment="1">
      <alignment horizontal="center" vertical="center" wrapText="1"/>
    </xf>
    <xf numFmtId="0" fontId="17" fillId="0" borderId="15" xfId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20" fillId="0" borderId="3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17" fontId="20" fillId="0" borderId="1" xfId="0" applyNumberFormat="1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5" fontId="39" fillId="10" borderId="13" xfId="6" applyFont="1" applyFill="1" applyBorder="1" applyAlignment="1">
      <alignment horizontal="center" vertical="center"/>
    </xf>
    <xf numFmtId="165" fontId="39" fillId="10" borderId="15" xfId="6" applyFont="1" applyFill="1" applyBorder="1" applyAlignment="1">
      <alignment horizontal="center" vertical="center"/>
    </xf>
    <xf numFmtId="165" fontId="32" fillId="0" borderId="3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0" xfId="91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64" fillId="15" borderId="13" xfId="0" applyFont="1" applyFill="1" applyBorder="1" applyAlignment="1">
      <alignment horizontal="center" vertical="center"/>
    </xf>
    <xf numFmtId="0" fontId="64" fillId="15" borderId="14" xfId="0" applyFont="1" applyFill="1" applyBorder="1" applyAlignment="1">
      <alignment horizontal="center" vertical="center"/>
    </xf>
    <xf numFmtId="0" fontId="64" fillId="15" borderId="15" xfId="0" applyFont="1" applyFill="1" applyBorder="1" applyAlignment="1">
      <alignment horizontal="center" vertical="center"/>
    </xf>
    <xf numFmtId="0" fontId="74" fillId="42" borderId="13" xfId="0" applyFont="1" applyFill="1" applyBorder="1" applyAlignment="1">
      <alignment horizontal="center" vertical="center"/>
    </xf>
    <xf numFmtId="0" fontId="74" fillId="42" borderId="14" xfId="0" applyFont="1" applyFill="1" applyBorder="1" applyAlignment="1">
      <alignment horizontal="center" vertical="center"/>
    </xf>
    <xf numFmtId="0" fontId="74" fillId="42" borderId="184" xfId="0" applyFont="1" applyFill="1" applyBorder="1" applyAlignment="1">
      <alignment horizontal="center" vertical="center"/>
    </xf>
    <xf numFmtId="0" fontId="74" fillId="19" borderId="13" xfId="0" applyFont="1" applyFill="1" applyBorder="1" applyAlignment="1">
      <alignment vertical="center"/>
    </xf>
    <xf numFmtId="0" fontId="74" fillId="19" borderId="184" xfId="0" applyFont="1" applyFill="1" applyBorder="1" applyAlignment="1">
      <alignment vertical="center"/>
    </xf>
    <xf numFmtId="0" fontId="74" fillId="42" borderId="13" xfId="0" applyFont="1" applyFill="1" applyBorder="1" applyAlignment="1">
      <alignment vertical="center" wrapText="1"/>
    </xf>
    <xf numFmtId="0" fontId="74" fillId="42" borderId="184" xfId="0" applyFont="1" applyFill="1" applyBorder="1" applyAlignment="1">
      <alignment vertical="center" wrapText="1"/>
    </xf>
    <xf numFmtId="0" fontId="74" fillId="19" borderId="13" xfId="0" applyFont="1" applyFill="1" applyBorder="1" applyAlignment="1">
      <alignment vertical="center" wrapText="1"/>
    </xf>
    <xf numFmtId="0" fontId="74" fillId="19" borderId="184" xfId="0" applyFont="1" applyFill="1" applyBorder="1" applyAlignment="1">
      <alignment vertical="center" wrapText="1"/>
    </xf>
    <xf numFmtId="0" fontId="75" fillId="19" borderId="13" xfId="0" applyFont="1" applyFill="1" applyBorder="1" applyAlignment="1">
      <alignment horizontal="left" vertical="center"/>
    </xf>
    <xf numFmtId="0" fontId="75" fillId="19" borderId="15" xfId="0" applyFont="1" applyFill="1" applyBorder="1" applyAlignment="1">
      <alignment horizontal="left" vertical="center"/>
    </xf>
    <xf numFmtId="0" fontId="95" fillId="19" borderId="39" xfId="0" applyFont="1" applyFill="1" applyBorder="1" applyAlignment="1">
      <alignment horizontal="center" vertical="center"/>
    </xf>
    <xf numFmtId="0" fontId="95" fillId="19" borderId="0" xfId="0" applyFont="1" applyFill="1" applyAlignment="1">
      <alignment horizontal="center" vertical="center"/>
    </xf>
    <xf numFmtId="0" fontId="95" fillId="19" borderId="38" xfId="0" applyFont="1" applyFill="1" applyBorder="1" applyAlignment="1">
      <alignment horizontal="center" vertical="center"/>
    </xf>
    <xf numFmtId="0" fontId="94" fillId="19" borderId="0" xfId="0" applyFont="1" applyFill="1" applyAlignment="1">
      <alignment horizontal="center" vertical="center"/>
    </xf>
    <xf numFmtId="0" fontId="74" fillId="19" borderId="39" xfId="0" applyFont="1" applyFill="1" applyBorder="1" applyAlignment="1">
      <alignment horizontal="center" vertical="center"/>
    </xf>
    <xf numFmtId="4" fontId="60" fillId="0" borderId="0" xfId="0" applyNumberFormat="1" applyFont="1" applyAlignment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25" fillId="0" borderId="3" xfId="0" applyFont="1" applyBorder="1" applyAlignment="1" applyProtection="1">
      <alignment horizontal="center" vertical="center" wrapText="1"/>
      <protection hidden="1"/>
    </xf>
    <xf numFmtId="0" fontId="25" fillId="0" borderId="2" xfId="0" applyFont="1" applyBorder="1" applyAlignment="1" applyProtection="1">
      <alignment horizontal="center" vertical="center" wrapText="1"/>
      <protection hidden="1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28" fillId="0" borderId="3" xfId="0" applyFont="1" applyBorder="1" applyAlignment="1" applyProtection="1">
      <alignment horizontal="center" vertical="center" wrapText="1"/>
      <protection hidden="1"/>
    </xf>
    <xf numFmtId="0" fontId="28" fillId="0" borderId="2" xfId="0" applyFont="1" applyBorder="1" applyAlignment="1" applyProtection="1">
      <alignment horizontal="center" vertical="center" wrapText="1"/>
      <protection hidden="1"/>
    </xf>
    <xf numFmtId="0" fontId="17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28" fillId="0" borderId="1" xfId="0" applyFont="1" applyBorder="1" applyAlignment="1" applyProtection="1">
      <alignment horizontal="center" vertical="center" wrapText="1"/>
      <protection hidden="1"/>
    </xf>
    <xf numFmtId="0" fontId="28" fillId="0" borderId="55" xfId="0" applyFont="1" applyBorder="1" applyAlignment="1" applyProtection="1">
      <alignment horizontal="center" vertical="center" wrapText="1"/>
      <protection hidden="1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8" fillId="0" borderId="56" xfId="0" applyFont="1" applyBorder="1" applyAlignment="1" applyProtection="1">
      <alignment horizontal="center" vertical="center" wrapText="1"/>
      <protection hidden="1"/>
    </xf>
    <xf numFmtId="0" fontId="28" fillId="0" borderId="58" xfId="0" applyFont="1" applyBorder="1" applyAlignment="1" applyProtection="1">
      <alignment horizontal="center" vertical="center" wrapText="1"/>
      <protection hidden="1"/>
    </xf>
    <xf numFmtId="0" fontId="28" fillId="0" borderId="57" xfId="0" applyFont="1" applyBorder="1" applyAlignment="1" applyProtection="1">
      <alignment horizontal="center" vertical="center" wrapText="1"/>
      <protection hidden="1"/>
    </xf>
    <xf numFmtId="0" fontId="28" fillId="0" borderId="59" xfId="0" applyFont="1" applyBorder="1" applyAlignment="1" applyProtection="1">
      <alignment horizontal="center" vertical="center" wrapText="1"/>
      <protection hidden="1"/>
    </xf>
    <xf numFmtId="0" fontId="7" fillId="0" borderId="41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2" fontId="17" fillId="6" borderId="1" xfId="0" applyNumberFormat="1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0" fontId="25" fillId="2" borderId="12" xfId="0" applyFont="1" applyFill="1" applyBorder="1" applyAlignment="1">
      <alignment horizontal="center" vertical="center" wrapText="1"/>
    </xf>
    <xf numFmtId="0" fontId="25" fillId="2" borderId="65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/>
    </xf>
    <xf numFmtId="0" fontId="28" fillId="2" borderId="15" xfId="0" applyFont="1" applyFill="1" applyBorder="1" applyAlignment="1">
      <alignment horizontal="center"/>
    </xf>
    <xf numFmtId="0" fontId="25" fillId="2" borderId="13" xfId="0" applyFont="1" applyFill="1" applyBorder="1" applyAlignment="1">
      <alignment horizontal="center"/>
    </xf>
    <xf numFmtId="0" fontId="25" fillId="2" borderId="15" xfId="0" applyFont="1" applyFill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2" borderId="14" xfId="0" applyFont="1" applyFill="1" applyBorder="1" applyAlignment="1">
      <alignment horizontal="center"/>
    </xf>
    <xf numFmtId="0" fontId="17" fillId="0" borderId="39" xfId="0" applyFont="1" applyBorder="1" applyAlignment="1">
      <alignment horizontal="center" vertical="center"/>
    </xf>
    <xf numFmtId="0" fontId="0" fillId="2" borderId="13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25" fillId="4" borderId="67" xfId="0" applyFont="1" applyFill="1" applyBorder="1" applyAlignment="1">
      <alignment horizontal="center" vertical="center"/>
    </xf>
    <xf numFmtId="0" fontId="25" fillId="4" borderId="94" xfId="0" applyFont="1" applyFill="1" applyBorder="1" applyAlignment="1">
      <alignment horizontal="center" vertical="center"/>
    </xf>
    <xf numFmtId="0" fontId="25" fillId="4" borderId="95" xfId="0" applyFont="1" applyFill="1" applyBorder="1" applyAlignment="1">
      <alignment horizontal="center" vertical="center"/>
    </xf>
    <xf numFmtId="0" fontId="25" fillId="4" borderId="13" xfId="0" applyFont="1" applyFill="1" applyBorder="1" applyAlignment="1">
      <alignment horizontal="center" vertical="center"/>
    </xf>
    <xf numFmtId="0" fontId="25" fillId="4" borderId="14" xfId="0" applyFont="1" applyFill="1" applyBorder="1" applyAlignment="1">
      <alignment horizontal="center" vertical="center"/>
    </xf>
    <xf numFmtId="0" fontId="25" fillId="4" borderId="15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17" fillId="0" borderId="69" xfId="0" applyFont="1" applyBorder="1" applyAlignment="1">
      <alignment horizontal="center" vertical="center" wrapText="1"/>
    </xf>
    <xf numFmtId="0" fontId="17" fillId="0" borderId="70" xfId="0" applyFont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20" fillId="0" borderId="21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1" fontId="39" fillId="0" borderId="3" xfId="0" applyNumberFormat="1" applyFont="1" applyBorder="1" applyAlignment="1">
      <alignment horizontal="center" vertical="center"/>
    </xf>
    <xf numFmtId="1" fontId="39" fillId="0" borderId="2" xfId="0" applyNumberFormat="1" applyFont="1" applyBorder="1" applyAlignment="1">
      <alignment horizontal="center" vertical="center"/>
    </xf>
    <xf numFmtId="37" fontId="40" fillId="0" borderId="3" xfId="0" applyNumberFormat="1" applyFont="1" applyBorder="1" applyAlignment="1">
      <alignment horizontal="center" vertical="center"/>
    </xf>
    <xf numFmtId="37" fontId="40" fillId="0" borderId="2" xfId="0" applyNumberFormat="1" applyFont="1" applyBorder="1" applyAlignment="1">
      <alignment horizontal="center" vertical="center"/>
    </xf>
    <xf numFmtId="173" fontId="39" fillId="0" borderId="3" xfId="0" applyNumberFormat="1" applyFont="1" applyBorder="1" applyAlignment="1">
      <alignment horizontal="center" vertical="center"/>
    </xf>
    <xf numFmtId="173" fontId="39" fillId="0" borderId="2" xfId="0" applyNumberFormat="1" applyFont="1" applyBorder="1" applyAlignment="1">
      <alignment horizontal="center" vertical="center"/>
    </xf>
    <xf numFmtId="173" fontId="36" fillId="0" borderId="3" xfId="0" applyNumberFormat="1" applyFont="1" applyBorder="1" applyAlignment="1">
      <alignment horizontal="center" vertical="center" wrapText="1"/>
    </xf>
    <xf numFmtId="173" fontId="36" fillId="0" borderId="2" xfId="0" applyNumberFormat="1" applyFont="1" applyBorder="1" applyAlignment="1">
      <alignment horizontal="center" vertical="center" wrapText="1"/>
    </xf>
    <xf numFmtId="169" fontId="36" fillId="0" borderId="3" xfId="6" applyNumberFormat="1" applyFont="1" applyBorder="1" applyAlignment="1">
      <alignment horizontal="center" vertical="center"/>
    </xf>
    <xf numFmtId="169" fontId="36" fillId="0" borderId="2" xfId="6" applyNumberFormat="1" applyFont="1" applyBorder="1" applyAlignment="1">
      <alignment horizontal="center" vertical="center"/>
    </xf>
    <xf numFmtId="165" fontId="37" fillId="0" borderId="3" xfId="3" applyFont="1" applyBorder="1" applyAlignment="1">
      <alignment horizontal="center" vertical="center"/>
    </xf>
    <xf numFmtId="165" fontId="37" fillId="0" borderId="2" xfId="3" applyFont="1" applyBorder="1" applyAlignment="1">
      <alignment horizontal="center" vertical="center"/>
    </xf>
    <xf numFmtId="165" fontId="36" fillId="0" borderId="3" xfId="3" applyFont="1" applyBorder="1" applyAlignment="1">
      <alignment horizontal="center" vertical="center"/>
    </xf>
    <xf numFmtId="165" fontId="36" fillId="0" borderId="2" xfId="3" applyFont="1" applyBorder="1" applyAlignment="1">
      <alignment horizontal="center" vertical="center"/>
    </xf>
    <xf numFmtId="173" fontId="36" fillId="0" borderId="3" xfId="0" applyNumberFormat="1" applyFont="1" applyBorder="1" applyAlignment="1">
      <alignment horizontal="center" vertical="center"/>
    </xf>
    <xf numFmtId="173" fontId="36" fillId="0" borderId="2" xfId="0" applyNumberFormat="1" applyFont="1" applyBorder="1" applyAlignment="1">
      <alignment horizontal="center" vertical="center"/>
    </xf>
    <xf numFmtId="4" fontId="43" fillId="0" borderId="3" xfId="8" applyNumberFormat="1" applyFont="1" applyBorder="1" applyAlignment="1">
      <alignment horizontal="center" vertical="center" wrapText="1"/>
    </xf>
    <xf numFmtId="4" fontId="43" fillId="0" borderId="2" xfId="8" applyNumberFormat="1" applyFont="1" applyBorder="1" applyAlignment="1">
      <alignment horizontal="center" vertical="center" wrapText="1"/>
    </xf>
    <xf numFmtId="173" fontId="31" fillId="0" borderId="3" xfId="0" applyNumberFormat="1" applyFont="1" applyBorder="1" applyAlignment="1">
      <alignment horizontal="center" vertical="center" wrapText="1"/>
    </xf>
    <xf numFmtId="173" fontId="31" fillId="0" borderId="2" xfId="0" applyNumberFormat="1" applyFont="1" applyBorder="1" applyAlignment="1">
      <alignment horizontal="center" vertical="center" wrapText="1"/>
    </xf>
    <xf numFmtId="173" fontId="53" fillId="0" borderId="39" xfId="0" applyNumberFormat="1" applyFont="1" applyBorder="1" applyAlignment="1">
      <alignment vertical="center"/>
    </xf>
    <xf numFmtId="165" fontId="53" fillId="0" borderId="13" xfId="6" applyFont="1" applyBorder="1" applyAlignment="1">
      <alignment vertical="center"/>
    </xf>
    <xf numFmtId="165" fontId="53" fillId="0" borderId="14" xfId="6" applyFont="1" applyBorder="1" applyAlignment="1">
      <alignment vertical="center"/>
    </xf>
    <xf numFmtId="165" fontId="53" fillId="0" borderId="15" xfId="6" applyFont="1" applyBorder="1" applyAlignment="1">
      <alignment vertical="center"/>
    </xf>
    <xf numFmtId="173" fontId="53" fillId="0" borderId="14" xfId="0" applyNumberFormat="1" applyFont="1" applyBorder="1" applyAlignment="1">
      <alignment vertical="center"/>
    </xf>
    <xf numFmtId="173" fontId="53" fillId="0" borderId="15" xfId="0" applyNumberFormat="1" applyFont="1" applyBorder="1" applyAlignment="1">
      <alignment vertical="center"/>
    </xf>
    <xf numFmtId="0" fontId="49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5" fillId="0" borderId="0" xfId="0" applyFont="1" applyAlignment="1">
      <alignment horizontal="left" vertical="center"/>
    </xf>
    <xf numFmtId="0" fontId="56" fillId="0" borderId="118" xfId="0" applyFont="1" applyBorder="1" applyAlignment="1">
      <alignment horizontal="center" vertical="center" wrapText="1"/>
    </xf>
    <xf numFmtId="0" fontId="56" fillId="0" borderId="24" xfId="0" applyFont="1" applyBorder="1" applyAlignment="1">
      <alignment horizontal="center" vertical="center" wrapText="1"/>
    </xf>
    <xf numFmtId="0" fontId="56" fillId="0" borderId="166" xfId="0" applyFont="1" applyBorder="1" applyAlignment="1">
      <alignment horizontal="center" vertical="center"/>
    </xf>
    <xf numFmtId="0" fontId="56" fillId="0" borderId="155" xfId="0" applyFont="1" applyBorder="1" applyAlignment="1">
      <alignment horizontal="center" vertical="center"/>
    </xf>
    <xf numFmtId="0" fontId="56" fillId="0" borderId="160" xfId="0" applyFont="1" applyBorder="1" applyAlignment="1">
      <alignment horizontal="center" vertical="center"/>
    </xf>
    <xf numFmtId="0" fontId="56" fillId="0" borderId="154" xfId="0" applyFont="1" applyBorder="1" applyAlignment="1">
      <alignment horizontal="center" vertical="center"/>
    </xf>
    <xf numFmtId="0" fontId="56" fillId="0" borderId="161" xfId="0" applyFont="1" applyBorder="1" applyAlignment="1">
      <alignment horizontal="center" vertical="center"/>
    </xf>
    <xf numFmtId="0" fontId="56" fillId="0" borderId="162" xfId="0" applyFont="1" applyBorder="1" applyAlignment="1">
      <alignment horizontal="center" vertical="center"/>
    </xf>
  </cellXfs>
  <cellStyles count="93">
    <cellStyle name="20% - Accent1" xfId="11" xr:uid="{00000000-0005-0000-0000-000000000000}"/>
    <cellStyle name="20% - Accent2" xfId="12" xr:uid="{00000000-0005-0000-0000-000001000000}"/>
    <cellStyle name="20% - Accent3" xfId="13" xr:uid="{00000000-0005-0000-0000-000002000000}"/>
    <cellStyle name="20% - Accent4" xfId="14" xr:uid="{00000000-0005-0000-0000-000003000000}"/>
    <cellStyle name="20% - Accent5" xfId="15" xr:uid="{00000000-0005-0000-0000-000004000000}"/>
    <cellStyle name="20% - Accent6" xfId="16" xr:uid="{00000000-0005-0000-0000-000005000000}"/>
    <cellStyle name="20% - Ênfase1 2" xfId="17" xr:uid="{00000000-0005-0000-0000-000006000000}"/>
    <cellStyle name="20% - Ênfase2 2" xfId="18" xr:uid="{00000000-0005-0000-0000-000007000000}"/>
    <cellStyle name="20% - Ênfase3 2" xfId="19" xr:uid="{00000000-0005-0000-0000-000008000000}"/>
    <cellStyle name="20% - Ênfase4 2" xfId="20" xr:uid="{00000000-0005-0000-0000-000009000000}"/>
    <cellStyle name="20% - Ênfase5 2" xfId="21" xr:uid="{00000000-0005-0000-0000-00000A000000}"/>
    <cellStyle name="20% - Ênfase6 2" xfId="22" xr:uid="{00000000-0005-0000-0000-00000B000000}"/>
    <cellStyle name="40% - Accent1" xfId="23" xr:uid="{00000000-0005-0000-0000-00000C000000}"/>
    <cellStyle name="40% - Accent2" xfId="24" xr:uid="{00000000-0005-0000-0000-00000D000000}"/>
    <cellStyle name="40% - Accent3" xfId="25" xr:uid="{00000000-0005-0000-0000-00000E000000}"/>
    <cellStyle name="40% - Accent4" xfId="26" xr:uid="{00000000-0005-0000-0000-00000F000000}"/>
    <cellStyle name="40% - Accent5" xfId="27" xr:uid="{00000000-0005-0000-0000-000010000000}"/>
    <cellStyle name="40% - Accent6" xfId="28" xr:uid="{00000000-0005-0000-0000-000011000000}"/>
    <cellStyle name="40% - Ênfase1 2" xfId="29" xr:uid="{00000000-0005-0000-0000-000012000000}"/>
    <cellStyle name="40% - Ênfase2 2" xfId="30" xr:uid="{00000000-0005-0000-0000-000013000000}"/>
    <cellStyle name="40% - Ênfase3 2" xfId="31" xr:uid="{00000000-0005-0000-0000-000014000000}"/>
    <cellStyle name="40% - Ênfase4 2" xfId="32" xr:uid="{00000000-0005-0000-0000-000015000000}"/>
    <cellStyle name="40% - Ênfase5 2" xfId="33" xr:uid="{00000000-0005-0000-0000-000016000000}"/>
    <cellStyle name="40% - Ênfase6 2" xfId="34" xr:uid="{00000000-0005-0000-0000-000017000000}"/>
    <cellStyle name="60% - Accent1" xfId="35" xr:uid="{00000000-0005-0000-0000-000018000000}"/>
    <cellStyle name="60% - Accent2" xfId="36" xr:uid="{00000000-0005-0000-0000-000019000000}"/>
    <cellStyle name="60% - Accent3" xfId="37" xr:uid="{00000000-0005-0000-0000-00001A000000}"/>
    <cellStyle name="60% - Accent4" xfId="38" xr:uid="{00000000-0005-0000-0000-00001B000000}"/>
    <cellStyle name="60% - Accent5" xfId="39" xr:uid="{00000000-0005-0000-0000-00001C000000}"/>
    <cellStyle name="60% - Accent6" xfId="40" xr:uid="{00000000-0005-0000-0000-00001D000000}"/>
    <cellStyle name="60% - Ênfase1 2" xfId="41" xr:uid="{00000000-0005-0000-0000-00001E000000}"/>
    <cellStyle name="60% - Ênfase2 2" xfId="42" xr:uid="{00000000-0005-0000-0000-00001F000000}"/>
    <cellStyle name="60% - Ênfase3 2" xfId="43" xr:uid="{00000000-0005-0000-0000-000020000000}"/>
    <cellStyle name="60% - Ênfase4 2" xfId="44" xr:uid="{00000000-0005-0000-0000-000021000000}"/>
    <cellStyle name="60% - Ênfase5 2" xfId="45" xr:uid="{00000000-0005-0000-0000-000022000000}"/>
    <cellStyle name="60% - Ênfase6 2" xfId="46" xr:uid="{00000000-0005-0000-0000-000023000000}"/>
    <cellStyle name="Accent1" xfId="47" xr:uid="{00000000-0005-0000-0000-000024000000}"/>
    <cellStyle name="Accent2" xfId="48" xr:uid="{00000000-0005-0000-0000-000025000000}"/>
    <cellStyle name="Accent3" xfId="49" xr:uid="{00000000-0005-0000-0000-000026000000}"/>
    <cellStyle name="Accent4" xfId="50" xr:uid="{00000000-0005-0000-0000-000027000000}"/>
    <cellStyle name="Accent5" xfId="51" xr:uid="{00000000-0005-0000-0000-000028000000}"/>
    <cellStyle name="Accent6" xfId="52" xr:uid="{00000000-0005-0000-0000-000029000000}"/>
    <cellStyle name="Bad" xfId="53" xr:uid="{00000000-0005-0000-0000-00002A000000}"/>
    <cellStyle name="Bom 2" xfId="54" xr:uid="{00000000-0005-0000-0000-00002B000000}"/>
    <cellStyle name="Calculation" xfId="55" xr:uid="{00000000-0005-0000-0000-00002C000000}"/>
    <cellStyle name="Cálculo 2" xfId="56" xr:uid="{00000000-0005-0000-0000-00002D000000}"/>
    <cellStyle name="Célula de Verificação 2" xfId="57" xr:uid="{00000000-0005-0000-0000-00002E000000}"/>
    <cellStyle name="Célula Vinculada 2" xfId="58" xr:uid="{00000000-0005-0000-0000-00002F000000}"/>
    <cellStyle name="Check Cell" xfId="59" xr:uid="{00000000-0005-0000-0000-000030000000}"/>
    <cellStyle name="Ênfase1 2" xfId="60" xr:uid="{00000000-0005-0000-0000-000031000000}"/>
    <cellStyle name="Ênfase2 2" xfId="61" xr:uid="{00000000-0005-0000-0000-000032000000}"/>
    <cellStyle name="Ênfase3 2" xfId="62" xr:uid="{00000000-0005-0000-0000-000033000000}"/>
    <cellStyle name="Ênfase4 2" xfId="63" xr:uid="{00000000-0005-0000-0000-000034000000}"/>
    <cellStyle name="Ênfase5 2" xfId="64" xr:uid="{00000000-0005-0000-0000-000035000000}"/>
    <cellStyle name="Ênfase6 2" xfId="65" xr:uid="{00000000-0005-0000-0000-000036000000}"/>
    <cellStyle name="Entrada 2" xfId="66" xr:uid="{00000000-0005-0000-0000-000037000000}"/>
    <cellStyle name="Explanatory Text" xfId="67" xr:uid="{00000000-0005-0000-0000-000038000000}"/>
    <cellStyle name="Good" xfId="68" xr:uid="{00000000-0005-0000-0000-000039000000}"/>
    <cellStyle name="Heading 1" xfId="69" xr:uid="{00000000-0005-0000-0000-00003A000000}"/>
    <cellStyle name="Heading 2" xfId="70" xr:uid="{00000000-0005-0000-0000-00003B000000}"/>
    <cellStyle name="Heading 3" xfId="71" xr:uid="{00000000-0005-0000-0000-00003C000000}"/>
    <cellStyle name="Heading 4" xfId="72" xr:uid="{00000000-0005-0000-0000-00003D000000}"/>
    <cellStyle name="Hiperlink" xfId="92" builtinId="8"/>
    <cellStyle name="Input" xfId="73" xr:uid="{00000000-0005-0000-0000-00003E000000}"/>
    <cellStyle name="Linked Cell" xfId="74" xr:uid="{00000000-0005-0000-0000-00003F000000}"/>
    <cellStyle name="Moeda" xfId="5" builtinId="4"/>
    <cellStyle name="Moeda 5 2" xfId="7" xr:uid="{00000000-0005-0000-0000-000041000000}"/>
    <cellStyle name="Neutral" xfId="75" xr:uid="{00000000-0005-0000-0000-000042000000}"/>
    <cellStyle name="Normal" xfId="0" builtinId="0"/>
    <cellStyle name="Normal 10 2" xfId="8" xr:uid="{00000000-0005-0000-0000-000044000000}"/>
    <cellStyle name="Normal 2" xfId="1" xr:uid="{00000000-0005-0000-0000-000045000000}"/>
    <cellStyle name="Normal 3" xfId="90" xr:uid="{98E9EC6E-43BC-441D-9029-15723A4C404B}"/>
    <cellStyle name="Normal 9" xfId="4" xr:uid="{00000000-0005-0000-0000-000046000000}"/>
    <cellStyle name="Normal_TIR20_20anos" xfId="9" xr:uid="{00000000-0005-0000-0000-000048000000}"/>
    <cellStyle name="Nota 2" xfId="76" xr:uid="{00000000-0005-0000-0000-000049000000}"/>
    <cellStyle name="Note" xfId="77" xr:uid="{00000000-0005-0000-0000-00004A000000}"/>
    <cellStyle name="Output" xfId="78" xr:uid="{00000000-0005-0000-0000-00004B000000}"/>
    <cellStyle name="Porcentagem" xfId="2" builtinId="5"/>
    <cellStyle name="Porcentagem 2" xfId="91" xr:uid="{6AC05F86-D5FB-4CC0-AC8D-C10298260F19}"/>
    <cellStyle name="Saída 2" xfId="79" xr:uid="{00000000-0005-0000-0000-00004D000000}"/>
    <cellStyle name="Separador de milhares 2" xfId="6" xr:uid="{00000000-0005-0000-0000-00004E000000}"/>
    <cellStyle name="Texto de Aviso 2" xfId="80" xr:uid="{00000000-0005-0000-0000-00004F000000}"/>
    <cellStyle name="Texto Explicativo 2" xfId="81" xr:uid="{00000000-0005-0000-0000-000050000000}"/>
    <cellStyle name="Title" xfId="82" xr:uid="{00000000-0005-0000-0000-000051000000}"/>
    <cellStyle name="Título 1 2" xfId="84" xr:uid="{00000000-0005-0000-0000-000052000000}"/>
    <cellStyle name="Título 2 2" xfId="85" xr:uid="{00000000-0005-0000-0000-000053000000}"/>
    <cellStyle name="Título 3 2" xfId="86" xr:uid="{00000000-0005-0000-0000-000054000000}"/>
    <cellStyle name="Título 4 2" xfId="87" xr:uid="{00000000-0005-0000-0000-000055000000}"/>
    <cellStyle name="Título 5" xfId="83" xr:uid="{00000000-0005-0000-0000-000056000000}"/>
    <cellStyle name="Total 2" xfId="88" xr:uid="{00000000-0005-0000-0000-000057000000}"/>
    <cellStyle name="Vírgula" xfId="3" builtinId="3"/>
    <cellStyle name="Vírgula 3" xfId="10" xr:uid="{00000000-0005-0000-0000-000059000000}"/>
    <cellStyle name="Warning Text" xfId="89" xr:uid="{00000000-0005-0000-0000-00005A000000}"/>
  </cellStyles>
  <dxfs count="31"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</dxfs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Energia Elétrica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R$/kWh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0.69324279675982359</c:v>
              </c:pt>
              <c:pt idx="1">
                <c:v>0.68561771250015202</c:v>
              </c:pt>
              <c:pt idx="2">
                <c:v>0.6255857759808876</c:v>
              </c:pt>
              <c:pt idx="3">
                <c:v>0.66358892489515819</c:v>
              </c:pt>
              <c:pt idx="4">
                <c:v>0.66393189428292543</c:v>
              </c:pt>
              <c:pt idx="5">
                <c:v>0.64945384707718157</c:v>
              </c:pt>
              <c:pt idx="6">
                <c:v>0.63804683008414775</c:v>
              </c:pt>
              <c:pt idx="7">
                <c:v>0.63717844537968005</c:v>
              </c:pt>
              <c:pt idx="8">
                <c:v>0.6433757266519432</c:v>
              </c:pt>
              <c:pt idx="9">
                <c:v>0.66226944285985934</c:v>
              </c:pt>
              <c:pt idx="10">
                <c:v>0.64692823016202738</c:v>
              </c:pt>
              <c:pt idx="11">
                <c:v>0.64923424281167541</c:v>
              </c:pt>
              <c:pt idx="12">
                <c:v>0.72021042004304048</c:v>
              </c:pt>
              <c:pt idx="13">
                <c:v>0.7246042374097279</c:v>
              </c:pt>
              <c:pt idx="14">
                <c:v>0.72934961886506489</c:v>
              </c:pt>
              <c:pt idx="15">
                <c:v>0.68732022874293708</c:v>
              </c:pt>
              <c:pt idx="16">
                <c:v>0.72392131688752348</c:v>
              </c:pt>
              <c:pt idx="17">
                <c:v>0.85779662073695373</c:v>
              </c:pt>
              <c:pt idx="18">
                <c:v>0.69872267953448763</c:v>
              </c:pt>
              <c:pt idx="19">
                <c:v>0.69298547025328883</c:v>
              </c:pt>
              <c:pt idx="20">
                <c:v>0.67473513431113141</c:v>
              </c:pt>
              <c:pt idx="21">
                <c:v>0.71413791500046497</c:v>
              </c:pt>
              <c:pt idx="22">
                <c:v>0.73373187899128323</c:v>
              </c:pt>
              <c:pt idx="23">
                <c:v>0.74945901338712639</c:v>
              </c:pt>
              <c:pt idx="24">
                <c:v>0.777615848529011</c:v>
              </c:pt>
              <c:pt idx="25">
                <c:v>0.82521175252941303</c:v>
              </c:pt>
              <c:pt idx="26">
                <c:v>0.89278571832099884</c:v>
              </c:pt>
              <c:pt idx="27">
                <c:v>0.88828064675986218</c:v>
              </c:pt>
              <c:pt idx="28">
                <c:v>0.9101652373980339</c:v>
              </c:pt>
              <c:pt idx="29">
                <c:v>0.92011648200008123</c:v>
              </c:pt>
              <c:pt idx="30">
                <c:v>0.87365270834288855</c:v>
              </c:pt>
              <c:pt idx="31">
                <c:v>0.97696060820285791</c:v>
              </c:pt>
              <c:pt idx="32">
                <c:v>0.95561401924032341</c:v>
              </c:pt>
              <c:pt idx="33">
                <c:v>0.82099269623684556</c:v>
              </c:pt>
              <c:pt idx="34">
                <c:v>0.74526877567501137</c:v>
              </c:pt>
              <c:pt idx="35">
                <c:v>0.7507432290081697</c:v>
              </c:pt>
              <c:pt idx="36">
                <c:v>0.74799277398635089</c:v>
              </c:pt>
              <c:pt idx="37">
                <c:v>0.78771542200618649</c:v>
              </c:pt>
              <c:pt idx="38">
                <c:v>0.82872423398328687</c:v>
              </c:pt>
              <c:pt idx="39">
                <c:v>0.81561011046300447</c:v>
              </c:pt>
              <c:pt idx="40">
                <c:v>0.86301031852848809</c:v>
              </c:pt>
              <c:pt idx="41">
                <c:v>0.87137742207245161</c:v>
              </c:pt>
              <c:pt idx="42">
                <c:v>0.88966476067026956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2D00-48E7-8A72-5C8E1B17B32D}"/>
            </c:ext>
          </c:extLst>
        </c:ser>
        <c:ser>
          <c:idx val="1"/>
          <c:order val="1"/>
          <c:tx>
            <c:v>kWh/m3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1.1001604371913465</c:v>
              </c:pt>
              <c:pt idx="1">
                <c:v>1.0618544722164842</c:v>
              </c:pt>
              <c:pt idx="2">
                <c:v>1.0984607620489528</c:v>
              </c:pt>
              <c:pt idx="3">
                <c:v>1.0210446926015133</c:v>
              </c:pt>
              <c:pt idx="4">
                <c:v>0.99046651654591733</c:v>
              </c:pt>
              <c:pt idx="5">
                <c:v>1.0215693247170483</c:v>
              </c:pt>
              <c:pt idx="6">
                <c:v>0.96798755422890603</c:v>
              </c:pt>
              <c:pt idx="7">
                <c:v>1.0549811909819076</c:v>
              </c:pt>
              <c:pt idx="8">
                <c:v>0.98672444455576991</c:v>
              </c:pt>
              <c:pt idx="9">
                <c:v>1.0892568188584966</c:v>
              </c:pt>
              <c:pt idx="10">
                <c:v>1.0330333552393343</c:v>
              </c:pt>
              <c:pt idx="11">
                <c:v>1.0095708891177479</c:v>
              </c:pt>
              <c:pt idx="12">
                <c:v>0.95213882775543246</c:v>
              </c:pt>
              <c:pt idx="13">
                <c:v>1.0453062703878218</c:v>
              </c:pt>
              <c:pt idx="14">
                <c:v>1.0800804053972726</c:v>
              </c:pt>
              <c:pt idx="15">
                <c:v>1.0631927572493987</c:v>
              </c:pt>
              <c:pt idx="16">
                <c:v>1.0695404835466626</c:v>
              </c:pt>
              <c:pt idx="17">
                <c:v>0.99569168880832359</c:v>
              </c:pt>
              <c:pt idx="18">
                <c:v>1.0923489067209069</c:v>
              </c:pt>
              <c:pt idx="19">
                <c:v>1.028888888888889</c:v>
              </c:pt>
              <c:pt idx="20">
                <c:v>1.1418784502909434</c:v>
              </c:pt>
              <c:pt idx="21">
                <c:v>1.1297838249586298</c:v>
              </c:pt>
              <c:pt idx="22">
                <c:v>1.1114874989325449</c:v>
              </c:pt>
              <c:pt idx="23">
                <c:v>1.1062647082690904</c:v>
              </c:pt>
              <c:pt idx="24">
                <c:v>1.1264013452914798</c:v>
              </c:pt>
              <c:pt idx="25">
                <c:v>1.2449183517841647</c:v>
              </c:pt>
              <c:pt idx="26">
                <c:v>1.1763963101789086</c:v>
              </c:pt>
              <c:pt idx="27">
                <c:v>1.1793704297713867</c:v>
              </c:pt>
              <c:pt idx="28">
                <c:v>1.0959591457280033</c:v>
              </c:pt>
              <c:pt idx="29">
                <c:v>1.218892612884475</c:v>
              </c:pt>
              <c:pt idx="30">
                <c:v>1.1061336309674801</c:v>
              </c:pt>
              <c:pt idx="31">
                <c:v>1.0183159261226176</c:v>
              </c:pt>
              <c:pt idx="32">
                <c:v>1.1239371557653748</c:v>
              </c:pt>
              <c:pt idx="33">
                <c:v>1.1230806046344675</c:v>
              </c:pt>
              <c:pt idx="34">
                <c:v>1.1911918470911347</c:v>
              </c:pt>
              <c:pt idx="35">
                <c:v>1.1608897101784039</c:v>
              </c:pt>
              <c:pt idx="36">
                <c:v>1.1853908077883968</c:v>
              </c:pt>
              <c:pt idx="37">
                <c:v>1.2033873519362943</c:v>
              </c:pt>
              <c:pt idx="38">
                <c:v>1.172344427608548</c:v>
              </c:pt>
              <c:pt idx="39">
                <c:v>1.2422661942110922</c:v>
              </c:pt>
              <c:pt idx="40">
                <c:v>1.1519379844961239</c:v>
              </c:pt>
              <c:pt idx="41">
                <c:v>1.2068067152134405</c:v>
              </c:pt>
              <c:pt idx="42">
                <c:v>1.2436525786196226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D00-48E7-8A72-5C8E1B17B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6941968"/>
        <c:axId val="1666939568"/>
      </c:scatterChart>
      <c:valAx>
        <c:axId val="1666941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6939568"/>
        <c:crosses val="autoZero"/>
        <c:crossBetween val="midCat"/>
      </c:valAx>
      <c:valAx>
        <c:axId val="166693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6941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Consumo de Cloro (mg/L)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'E4 CLORO'!$A$22:$A$30</c:f>
              <c:strCache>
                <c:ptCount val="9"/>
                <c:pt idx="0">
                  <c:v>2S2019</c:v>
                </c:pt>
                <c:pt idx="1">
                  <c:v>1S2020</c:v>
                </c:pt>
                <c:pt idx="2">
                  <c:v>Base-line</c:v>
                </c:pt>
                <c:pt idx="3">
                  <c:v>2S2020</c:v>
                </c:pt>
                <c:pt idx="4">
                  <c:v>1S2021</c:v>
                </c:pt>
                <c:pt idx="5">
                  <c:v>2S2021</c:v>
                </c:pt>
                <c:pt idx="6">
                  <c:v>1S2022</c:v>
                </c:pt>
                <c:pt idx="7">
                  <c:v>2S2022</c:v>
                </c:pt>
                <c:pt idx="8">
                  <c:v>1S2023</c:v>
                </c:pt>
              </c:strCache>
            </c:strRef>
          </c:cat>
          <c:val>
            <c:numRef>
              <c:f>'E4 CLORO'!$C$22:$C$30</c:f>
              <c:numCache>
                <c:formatCode>0.0</c:formatCode>
                <c:ptCount val="9"/>
                <c:pt idx="0">
                  <c:v>24.1</c:v>
                </c:pt>
                <c:pt idx="1">
                  <c:v>25.615189701205722</c:v>
                </c:pt>
                <c:pt idx="2">
                  <c:v>24.857594850602862</c:v>
                </c:pt>
                <c:pt idx="3">
                  <c:v>37.6925837520239</c:v>
                </c:pt>
                <c:pt idx="4">
                  <c:v>32.901282757110287</c:v>
                </c:pt>
                <c:pt idx="5">
                  <c:v>46.433980829399346</c:v>
                </c:pt>
                <c:pt idx="6">
                  <c:v>31.902539867540654</c:v>
                </c:pt>
                <c:pt idx="7">
                  <c:v>40.218081167800854</c:v>
                </c:pt>
                <c:pt idx="8">
                  <c:v>45.3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F7-4DC7-8640-B8049D80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238416"/>
        <c:axId val="416239376"/>
      </c:barChart>
      <c:catAx>
        <c:axId val="41623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6239376"/>
        <c:crosses val="autoZero"/>
        <c:auto val="1"/>
        <c:lblAlgn val="ctr"/>
        <c:lblOffset val="100"/>
        <c:noMultiLvlLbl val="0"/>
      </c:catAx>
      <c:valAx>
        <c:axId val="41623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623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Inadimlência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4"/>
              <c:pt idx="0">
                <c:v>0.11317274308128174</c:v>
              </c:pt>
              <c:pt idx="1">
                <c:v>-3.375185554143717E-2</c:v>
              </c:pt>
              <c:pt idx="2">
                <c:v>-1.5062983822726313E-2</c:v>
              </c:pt>
              <c:pt idx="3">
                <c:v>7.1499847031070582E-2</c:v>
              </c:pt>
              <c:pt idx="4">
                <c:v>-1.928744528783816E-2</c:v>
              </c:pt>
              <c:pt idx="5">
                <c:v>-5.487866285057031E-2</c:v>
              </c:pt>
              <c:pt idx="6">
                <c:v>0.16956695367688085</c:v>
              </c:pt>
              <c:pt idx="7">
                <c:v>-6.5922934224612565E-4</c:v>
              </c:pt>
              <c:pt idx="8">
                <c:v>-4.9475929821110607E-3</c:v>
              </c:pt>
              <c:pt idx="9">
                <c:v>0.17261286839114645</c:v>
              </c:pt>
              <c:pt idx="10">
                <c:v>-0.12377509144256608</c:v>
              </c:pt>
              <c:pt idx="11">
                <c:v>-5.5382283898733273E-2</c:v>
              </c:pt>
              <c:pt idx="12">
                <c:v>-0.10455532059949434</c:v>
              </c:pt>
              <c:pt idx="13">
                <c:v>1.7838210640503085E-2</c:v>
              </c:pt>
              <c:pt idx="14">
                <c:v>3.983577342953841E-2</c:v>
              </c:pt>
              <c:pt idx="15">
                <c:v>-3.5865607456903613E-2</c:v>
              </c:pt>
              <c:pt idx="16">
                <c:v>9.9555274711474365E-2</c:v>
              </c:pt>
              <c:pt idx="17">
                <c:v>5.4425523650124118E-2</c:v>
              </c:pt>
              <c:pt idx="18">
                <c:v>8.7485460702892426E-2</c:v>
              </c:pt>
              <c:pt idx="19">
                <c:v>-0.16112956305523829</c:v>
              </c:pt>
              <c:pt idx="20">
                <c:v>3.8670488472546435E-2</c:v>
              </c:pt>
              <c:pt idx="21">
                <c:v>-2.3940284915523614E-2</c:v>
              </c:pt>
              <c:pt idx="22">
                <c:v>8.7586990862608695E-4</c:v>
              </c:pt>
              <c:pt idx="23">
                <c:v>9.4196399193341454E-2</c:v>
              </c:pt>
              <c:pt idx="24">
                <c:v>-6.9093366926519226E-2</c:v>
              </c:pt>
              <c:pt idx="25">
                <c:v>-8.8153026975140145E-2</c:v>
              </c:pt>
              <c:pt idx="26">
                <c:v>0.13319757564586418</c:v>
              </c:pt>
              <c:pt idx="27">
                <c:v>-8.1759442042143526E-2</c:v>
              </c:pt>
              <c:pt idx="28">
                <c:v>-3.3609639077422308E-2</c:v>
              </c:pt>
              <c:pt idx="29">
                <c:v>0.12270198848847978</c:v>
              </c:pt>
              <c:pt idx="30">
                <c:v>0.1097403690459675</c:v>
              </c:pt>
              <c:pt idx="31">
                <c:v>-6.9976133310176186E-2</c:v>
              </c:pt>
              <c:pt idx="32">
                <c:v>4.7837337669587712E-2</c:v>
              </c:pt>
              <c:pt idx="33">
                <c:v>-0.20633961047785992</c:v>
              </c:pt>
              <c:pt idx="34">
                <c:v>-1.8916948925485462E-2</c:v>
              </c:pt>
              <c:pt idx="35">
                <c:v>0.11344265622787375</c:v>
              </c:pt>
              <c:pt idx="36">
                <c:v>-8.0789968624886549E-2</c:v>
              </c:pt>
              <c:pt idx="37">
                <c:v>1.5773187695509561E-2</c:v>
              </c:pt>
              <c:pt idx="38">
                <c:v>-5.2444199722793905E-2</c:v>
              </c:pt>
              <c:pt idx="39">
                <c:v>0.18570932865544573</c:v>
              </c:pt>
              <c:pt idx="40">
                <c:v>9.316343294423661E-2</c:v>
              </c:pt>
              <c:pt idx="41">
                <c:v>-7.4354959034714882E-2</c:v>
              </c:pt>
              <c:pt idx="42">
                <c:v>0.1290548228925589</c:v>
              </c:pt>
              <c:pt idx="43">
                <c:v>-4.4829141060826562E-2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E4D-4879-8AB4-8CF50B94A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224496"/>
        <c:axId val="416217296"/>
      </c:scatterChart>
      <c:valAx>
        <c:axId val="41622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6217296"/>
        <c:crosses val="autoZero"/>
        <c:crossBetween val="midCat"/>
      </c:valAx>
      <c:valAx>
        <c:axId val="41621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622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Receita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Residencia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215153.08</c:v>
              </c:pt>
              <c:pt idx="1">
                <c:v>224096.99</c:v>
              </c:pt>
              <c:pt idx="2">
                <c:v>231153.68</c:v>
              </c:pt>
              <c:pt idx="3">
                <c:v>242112.18</c:v>
              </c:pt>
              <c:pt idx="4">
                <c:v>264826.2</c:v>
              </c:pt>
              <c:pt idx="5">
                <c:v>289063.06</c:v>
              </c:pt>
              <c:pt idx="6">
                <c:v>276968.49</c:v>
              </c:pt>
              <c:pt idx="7">
                <c:v>265739.93</c:v>
              </c:pt>
              <c:pt idx="8">
                <c:v>271629.40000000002</c:v>
              </c:pt>
              <c:pt idx="9">
                <c:v>277663.68</c:v>
              </c:pt>
              <c:pt idx="10">
                <c:v>261283.93</c:v>
              </c:pt>
              <c:pt idx="11">
                <c:v>250246.39999999999</c:v>
              </c:pt>
              <c:pt idx="12">
                <c:v>278604.34000000003</c:v>
              </c:pt>
              <c:pt idx="13">
                <c:v>283226.44</c:v>
              </c:pt>
              <c:pt idx="14">
                <c:v>290982.03999999998</c:v>
              </c:pt>
              <c:pt idx="15">
                <c:v>279469.5</c:v>
              </c:pt>
              <c:pt idx="16">
                <c:v>319011.59000000003</c:v>
              </c:pt>
              <c:pt idx="17">
                <c:v>323672.89</c:v>
              </c:pt>
              <c:pt idx="18">
                <c:v>336046.25</c:v>
              </c:pt>
              <c:pt idx="19">
                <c:v>307498</c:v>
              </c:pt>
              <c:pt idx="20">
                <c:v>321079.90000000002</c:v>
              </c:pt>
              <c:pt idx="21">
                <c:v>304053.08</c:v>
              </c:pt>
              <c:pt idx="22">
                <c:v>305555.17</c:v>
              </c:pt>
              <c:pt idx="23">
                <c:v>296817.34000000003</c:v>
              </c:pt>
              <c:pt idx="24">
                <c:v>289856.93</c:v>
              </c:pt>
              <c:pt idx="25">
                <c:v>289874.55</c:v>
              </c:pt>
              <c:pt idx="26">
                <c:v>293006.45</c:v>
              </c:pt>
              <c:pt idx="27">
                <c:v>287269.13</c:v>
              </c:pt>
              <c:pt idx="28">
                <c:v>342799.53</c:v>
              </c:pt>
              <c:pt idx="29">
                <c:v>362244.54</c:v>
              </c:pt>
              <c:pt idx="30">
                <c:v>354667.5</c:v>
              </c:pt>
              <c:pt idx="31">
                <c:v>366099.61</c:v>
              </c:pt>
              <c:pt idx="32">
                <c:v>346217.83</c:v>
              </c:pt>
              <c:pt idx="33">
                <c:v>332127.34999999998</c:v>
              </c:pt>
              <c:pt idx="34">
                <c:v>322142.71999999997</c:v>
              </c:pt>
              <c:pt idx="35">
                <c:v>323940.05</c:v>
              </c:pt>
              <c:pt idx="36">
                <c:v>326838.90999999997</c:v>
              </c:pt>
              <c:pt idx="37">
                <c:v>331079.28000000003</c:v>
              </c:pt>
              <c:pt idx="38">
                <c:v>327894.71999999997</c:v>
              </c:pt>
              <c:pt idx="39">
                <c:v>342807.29</c:v>
              </c:pt>
              <c:pt idx="40">
                <c:v>397000.33</c:v>
              </c:pt>
              <c:pt idx="41">
                <c:v>406054</c:v>
              </c:pt>
              <c:pt idx="42">
                <c:v>411701.37</c:v>
              </c:pt>
              <c:pt idx="43">
                <c:v>407688.27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6AA-4572-B3B6-CB7AAD08BB2C}"/>
            </c:ext>
          </c:extLst>
        </c:ser>
        <c:ser>
          <c:idx val="1"/>
          <c:order val="1"/>
          <c:tx>
            <c:v>Residencia Social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792.31</c:v>
              </c:pt>
              <c:pt idx="1">
                <c:v>1094.2</c:v>
              </c:pt>
              <c:pt idx="2">
                <c:v>1067.3900000000001</c:v>
              </c:pt>
              <c:pt idx="3">
                <c:v>1042.47</c:v>
              </c:pt>
              <c:pt idx="4">
                <c:v>1014.39</c:v>
              </c:pt>
              <c:pt idx="5">
                <c:v>736.88</c:v>
              </c:pt>
              <c:pt idx="6">
                <c:v>574.38</c:v>
              </c:pt>
              <c:pt idx="7">
                <c:v>890.52</c:v>
              </c:pt>
              <c:pt idx="8">
                <c:v>18.170000000000002</c:v>
              </c:pt>
              <c:pt idx="9">
                <c:v>263.35000000000002</c:v>
              </c:pt>
              <c:pt idx="10">
                <c:v>537.74</c:v>
              </c:pt>
              <c:pt idx="11">
                <c:v>206.67</c:v>
              </c:pt>
              <c:pt idx="12">
                <c:v>525.41</c:v>
              </c:pt>
              <c:pt idx="13">
                <c:v>4785</c:v>
              </c:pt>
              <c:pt idx="14">
                <c:v>6197.01</c:v>
              </c:pt>
              <c:pt idx="15">
                <c:v>4257.51</c:v>
              </c:pt>
              <c:pt idx="16">
                <c:v>5832.86</c:v>
              </c:pt>
              <c:pt idx="17">
                <c:v>5792.47</c:v>
              </c:pt>
              <c:pt idx="18">
                <c:v>6678.6</c:v>
              </c:pt>
              <c:pt idx="19">
                <c:v>6601.3</c:v>
              </c:pt>
              <c:pt idx="20">
                <c:v>6465.88</c:v>
              </c:pt>
              <c:pt idx="21">
                <c:v>5345.02</c:v>
              </c:pt>
              <c:pt idx="22">
                <c:v>3862.86</c:v>
              </c:pt>
              <c:pt idx="23">
                <c:v>3312.17</c:v>
              </c:pt>
              <c:pt idx="24">
                <c:v>2990.65</c:v>
              </c:pt>
              <c:pt idx="25">
                <c:v>2918.68</c:v>
              </c:pt>
              <c:pt idx="26">
                <c:v>3811.97</c:v>
              </c:pt>
              <c:pt idx="27">
                <c:v>3493.71</c:v>
              </c:pt>
              <c:pt idx="28">
                <c:v>5006.18</c:v>
              </c:pt>
              <c:pt idx="29">
                <c:v>5091.67</c:v>
              </c:pt>
              <c:pt idx="30">
                <c:v>5723.96</c:v>
              </c:pt>
              <c:pt idx="31">
                <c:v>6020.42</c:v>
              </c:pt>
              <c:pt idx="32">
                <c:v>5381.98</c:v>
              </c:pt>
              <c:pt idx="33">
                <c:v>5214.13</c:v>
              </c:pt>
              <c:pt idx="34">
                <c:v>5274.76</c:v>
              </c:pt>
              <c:pt idx="35">
                <c:v>5045.18</c:v>
              </c:pt>
              <c:pt idx="36">
                <c:v>6386.62</c:v>
              </c:pt>
              <c:pt idx="37">
                <c:v>5802.72</c:v>
              </c:pt>
              <c:pt idx="38">
                <c:v>6418.42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6AA-4572-B3B6-CB7AAD08BB2C}"/>
            </c:ext>
          </c:extLst>
        </c:ser>
        <c:ser>
          <c:idx val="2"/>
          <c:order val="2"/>
          <c:tx>
            <c:v>Pública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40540.47</c:v>
              </c:pt>
              <c:pt idx="1">
                <c:v>49235.66</c:v>
              </c:pt>
              <c:pt idx="2">
                <c:v>50285.96</c:v>
              </c:pt>
              <c:pt idx="3">
                <c:v>45208.59</c:v>
              </c:pt>
              <c:pt idx="4">
                <c:v>38730.620000000003</c:v>
              </c:pt>
              <c:pt idx="5">
                <c:v>24818.11</c:v>
              </c:pt>
              <c:pt idx="6">
                <c:v>26763.16</c:v>
              </c:pt>
              <c:pt idx="7">
                <c:v>35560.480000000003</c:v>
              </c:pt>
              <c:pt idx="8">
                <c:v>32398.94</c:v>
              </c:pt>
              <c:pt idx="9">
                <c:v>23700.43</c:v>
              </c:pt>
              <c:pt idx="10">
                <c:v>14906.97</c:v>
              </c:pt>
              <c:pt idx="11">
                <c:v>17444.18</c:v>
              </c:pt>
              <c:pt idx="12">
                <c:v>20076.740000000002</c:v>
              </c:pt>
              <c:pt idx="13">
                <c:v>19493.28</c:v>
              </c:pt>
              <c:pt idx="14">
                <c:v>25782.07</c:v>
              </c:pt>
              <c:pt idx="15">
                <c:v>22744.080000000002</c:v>
              </c:pt>
              <c:pt idx="16">
                <c:v>27049.66</c:v>
              </c:pt>
              <c:pt idx="17">
                <c:v>21939.25</c:v>
              </c:pt>
              <c:pt idx="18">
                <c:v>31692.080000000002</c:v>
              </c:pt>
              <c:pt idx="19">
                <c:v>26413.56</c:v>
              </c:pt>
              <c:pt idx="20">
                <c:v>16534.41</c:v>
              </c:pt>
              <c:pt idx="21">
                <c:v>19023.099999999999</c:v>
              </c:pt>
              <c:pt idx="22">
                <c:v>19896.16</c:v>
              </c:pt>
              <c:pt idx="23">
                <c:v>25423.88</c:v>
              </c:pt>
              <c:pt idx="24">
                <c:v>29434.799999999999</c:v>
              </c:pt>
              <c:pt idx="25">
                <c:v>29260.87</c:v>
              </c:pt>
              <c:pt idx="26">
                <c:v>31881.54</c:v>
              </c:pt>
              <c:pt idx="27">
                <c:v>26368.7</c:v>
              </c:pt>
              <c:pt idx="28">
                <c:v>41632.71</c:v>
              </c:pt>
              <c:pt idx="29">
                <c:v>29407.75</c:v>
              </c:pt>
              <c:pt idx="30">
                <c:v>30243.82</c:v>
              </c:pt>
              <c:pt idx="31">
                <c:v>41731.120000000003</c:v>
              </c:pt>
              <c:pt idx="32">
                <c:v>46283.01</c:v>
              </c:pt>
              <c:pt idx="33">
                <c:v>42964.91</c:v>
              </c:pt>
              <c:pt idx="34">
                <c:v>49259.28</c:v>
              </c:pt>
              <c:pt idx="35">
                <c:v>46597.93</c:v>
              </c:pt>
              <c:pt idx="36">
                <c:v>41580.720000000001</c:v>
              </c:pt>
              <c:pt idx="37">
                <c:v>46841.59</c:v>
              </c:pt>
              <c:pt idx="38">
                <c:v>46069.74</c:v>
              </c:pt>
              <c:pt idx="39">
                <c:v>48565.74</c:v>
              </c:pt>
              <c:pt idx="40">
                <c:v>50591.62</c:v>
              </c:pt>
              <c:pt idx="41">
                <c:v>40855.93</c:v>
              </c:pt>
              <c:pt idx="42">
                <c:v>40210.879999999997</c:v>
              </c:pt>
              <c:pt idx="43">
                <c:v>54162.02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56AA-4572-B3B6-CB7AAD08BB2C}"/>
            </c:ext>
          </c:extLst>
        </c:ser>
        <c:ser>
          <c:idx val="3"/>
          <c:order val="3"/>
          <c:tx>
            <c:v>Comercial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35105.360000000001</c:v>
              </c:pt>
              <c:pt idx="1">
                <c:v>35914.559999999998</c:v>
              </c:pt>
              <c:pt idx="2">
                <c:v>37735.46</c:v>
              </c:pt>
              <c:pt idx="3">
                <c:v>37181.75</c:v>
              </c:pt>
              <c:pt idx="4">
                <c:v>44114.69</c:v>
              </c:pt>
              <c:pt idx="5">
                <c:v>46600.55</c:v>
              </c:pt>
              <c:pt idx="6">
                <c:v>49500.14</c:v>
              </c:pt>
              <c:pt idx="7">
                <c:v>47381.01</c:v>
              </c:pt>
              <c:pt idx="8">
                <c:v>36996.71</c:v>
              </c:pt>
              <c:pt idx="9">
                <c:v>36340.22</c:v>
              </c:pt>
              <c:pt idx="10">
                <c:v>36029.5</c:v>
              </c:pt>
              <c:pt idx="11">
                <c:v>33902.379999999997</c:v>
              </c:pt>
              <c:pt idx="12">
                <c:v>37880.53</c:v>
              </c:pt>
              <c:pt idx="13">
                <c:v>39269.019999999997</c:v>
              </c:pt>
              <c:pt idx="14">
                <c:v>39951.15</c:v>
              </c:pt>
              <c:pt idx="15">
                <c:v>39018.6</c:v>
              </c:pt>
              <c:pt idx="16">
                <c:v>46831.95</c:v>
              </c:pt>
              <c:pt idx="17">
                <c:v>49685.85</c:v>
              </c:pt>
              <c:pt idx="18">
                <c:v>49644.32</c:v>
              </c:pt>
              <c:pt idx="19">
                <c:v>46784.52</c:v>
              </c:pt>
              <c:pt idx="20">
                <c:v>43987.21</c:v>
              </c:pt>
              <c:pt idx="21">
                <c:v>42552.59</c:v>
              </c:pt>
              <c:pt idx="22">
                <c:v>43567.71</c:v>
              </c:pt>
              <c:pt idx="23">
                <c:v>42666.25</c:v>
              </c:pt>
              <c:pt idx="24">
                <c:v>46703.56</c:v>
              </c:pt>
              <c:pt idx="25">
                <c:v>47134.94</c:v>
              </c:pt>
              <c:pt idx="26">
                <c:v>48156.67</c:v>
              </c:pt>
              <c:pt idx="27">
                <c:v>46203.74</c:v>
              </c:pt>
              <c:pt idx="28">
                <c:v>54704.25</c:v>
              </c:pt>
              <c:pt idx="29">
                <c:v>53665.05</c:v>
              </c:pt>
              <c:pt idx="30">
                <c:v>53989.04</c:v>
              </c:pt>
              <c:pt idx="31">
                <c:v>52339.32</c:v>
              </c:pt>
              <c:pt idx="32">
                <c:v>53208.04</c:v>
              </c:pt>
              <c:pt idx="33">
                <c:v>53760.17</c:v>
              </c:pt>
              <c:pt idx="34">
                <c:v>54937.919999999998</c:v>
              </c:pt>
              <c:pt idx="35">
                <c:v>51083.05</c:v>
              </c:pt>
              <c:pt idx="36">
                <c:v>53047.72</c:v>
              </c:pt>
              <c:pt idx="37">
                <c:v>54364.9</c:v>
              </c:pt>
              <c:pt idx="38">
                <c:v>52806.06</c:v>
              </c:pt>
              <c:pt idx="39">
                <c:v>51727.16</c:v>
              </c:pt>
              <c:pt idx="40">
                <c:v>62352.34</c:v>
              </c:pt>
              <c:pt idx="41">
                <c:v>56495.93</c:v>
              </c:pt>
              <c:pt idx="42">
                <c:v>58721.08</c:v>
              </c:pt>
              <c:pt idx="43">
                <c:v>57362.879999999997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56AA-4572-B3B6-CB7AAD08BB2C}"/>
            </c:ext>
          </c:extLst>
        </c:ser>
        <c:ser>
          <c:idx val="4"/>
          <c:order val="4"/>
          <c:tx>
            <c:v>Industrial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3388.34</c:v>
              </c:pt>
              <c:pt idx="1">
                <c:v>3690.24</c:v>
              </c:pt>
              <c:pt idx="2">
                <c:v>4037.52</c:v>
              </c:pt>
              <c:pt idx="3">
                <c:v>3447.24</c:v>
              </c:pt>
              <c:pt idx="4">
                <c:v>3525.02</c:v>
              </c:pt>
              <c:pt idx="5">
                <c:v>2738.83</c:v>
              </c:pt>
              <c:pt idx="6">
                <c:v>3991.51</c:v>
              </c:pt>
              <c:pt idx="7">
                <c:v>3871.86</c:v>
              </c:pt>
              <c:pt idx="8">
                <c:v>2847.29</c:v>
              </c:pt>
              <c:pt idx="9">
                <c:v>428.48</c:v>
              </c:pt>
              <c:pt idx="10">
                <c:v>2027.27</c:v>
              </c:pt>
              <c:pt idx="11">
                <c:v>2945.94</c:v>
              </c:pt>
              <c:pt idx="12">
                <c:v>3922.35</c:v>
              </c:pt>
              <c:pt idx="13">
                <c:v>4459.04</c:v>
              </c:pt>
              <c:pt idx="14">
                <c:v>4489.91</c:v>
              </c:pt>
              <c:pt idx="15">
                <c:v>3988.94</c:v>
              </c:pt>
              <c:pt idx="16">
                <c:v>4398.07</c:v>
              </c:pt>
              <c:pt idx="17">
                <c:v>2622.33</c:v>
              </c:pt>
              <c:pt idx="18">
                <c:v>4931.29</c:v>
              </c:pt>
              <c:pt idx="19">
                <c:v>4408.96</c:v>
              </c:pt>
              <c:pt idx="20">
                <c:v>4058.88</c:v>
              </c:pt>
              <c:pt idx="21">
                <c:v>3875.55</c:v>
              </c:pt>
              <c:pt idx="22">
                <c:v>4338.8900000000003</c:v>
              </c:pt>
              <c:pt idx="23">
                <c:v>4537.3900000000003</c:v>
              </c:pt>
              <c:pt idx="24">
                <c:v>4530.46</c:v>
              </c:pt>
              <c:pt idx="25">
                <c:v>4385.88</c:v>
              </c:pt>
              <c:pt idx="26">
                <c:v>4175.93</c:v>
              </c:pt>
              <c:pt idx="27">
                <c:v>4305.6400000000003</c:v>
              </c:pt>
              <c:pt idx="28">
                <c:v>5531.9</c:v>
              </c:pt>
              <c:pt idx="29">
                <c:v>3124.26</c:v>
              </c:pt>
              <c:pt idx="30">
                <c:v>5925.98</c:v>
              </c:pt>
              <c:pt idx="31">
                <c:v>5629.74</c:v>
              </c:pt>
              <c:pt idx="32">
                <c:v>5598.75</c:v>
              </c:pt>
              <c:pt idx="33">
                <c:v>4750.51</c:v>
              </c:pt>
              <c:pt idx="34">
                <c:v>4927.12</c:v>
              </c:pt>
              <c:pt idx="35">
                <c:v>5276.25</c:v>
              </c:pt>
              <c:pt idx="36">
                <c:v>6094.31</c:v>
              </c:pt>
              <c:pt idx="37">
                <c:v>4898.12</c:v>
              </c:pt>
              <c:pt idx="38">
                <c:v>5648.73</c:v>
              </c:pt>
              <c:pt idx="39">
                <c:v>4918.93</c:v>
              </c:pt>
              <c:pt idx="40">
                <c:v>5597.79</c:v>
              </c:pt>
              <c:pt idx="41">
                <c:v>4666.91</c:v>
              </c:pt>
              <c:pt idx="42">
                <c:v>4112.95</c:v>
              </c:pt>
              <c:pt idx="43">
                <c:v>6238.12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56AA-4572-B3B6-CB7AAD08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2618544"/>
        <c:axId val="1671750848"/>
      </c:scatterChart>
      <c:valAx>
        <c:axId val="1992618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1750848"/>
        <c:crosses val="autoZero"/>
        <c:crossBetween val="midCat"/>
      </c:valAx>
      <c:valAx>
        <c:axId val="167175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2618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Arrecadação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Residencia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219020.33</c:v>
              </c:pt>
              <c:pt idx="1">
                <c:v>227553.63</c:v>
              </c:pt>
              <c:pt idx="2">
                <c:v>239953.36000000266</c:v>
              </c:pt>
              <c:pt idx="3">
                <c:v>219726.68000000124</c:v>
              </c:pt>
              <c:pt idx="4">
                <c:v>268703.42</c:v>
              </c:pt>
              <c:pt idx="5">
                <c:v>284842.7800000016</c:v>
              </c:pt>
              <c:pt idx="6">
                <c:v>245962.43999999919</c:v>
              </c:pt>
              <c:pt idx="7">
                <c:v>284154.36000000173</c:v>
              </c:pt>
              <c:pt idx="8">
                <c:v>246849.16999999966</c:v>
              </c:pt>
              <c:pt idx="9">
                <c:v>247644.75999999917</c:v>
              </c:pt>
              <c:pt idx="10">
                <c:v>286755.31000000145</c:v>
              </c:pt>
              <c:pt idx="11">
                <c:v>275393.41000000102</c:v>
              </c:pt>
              <c:pt idx="12">
                <c:v>300136.51000000222</c:v>
              </c:pt>
              <c:pt idx="13">
                <c:v>282798.01000000071</c:v>
              </c:pt>
              <c:pt idx="14">
                <c:v>287335.21000000153</c:v>
              </c:pt>
              <c:pt idx="15">
                <c:v>297276.51000000379</c:v>
              </c:pt>
              <c:pt idx="16">
                <c:v>313476.84999999724</c:v>
              </c:pt>
              <c:pt idx="17">
                <c:v>314965.81999999733</c:v>
              </c:pt>
              <c:pt idx="18">
                <c:v>315364.95999999589</c:v>
              </c:pt>
              <c:pt idx="19">
                <c:v>349138.29999999574</c:v>
              </c:pt>
              <c:pt idx="20">
                <c:v>317987.84999999515</c:v>
              </c:pt>
              <c:pt idx="21">
                <c:v>320007.33999999595</c:v>
              </c:pt>
              <c:pt idx="22">
                <c:v>308980.00999999448</c:v>
              </c:pt>
              <c:pt idx="23">
                <c:v>293554.4599999956</c:v>
              </c:pt>
              <c:pt idx="24">
                <c:v>323522.31999999518</c:v>
              </c:pt>
              <c:pt idx="25">
                <c:v>304431.03999999556</c:v>
              </c:pt>
              <c:pt idx="26">
                <c:v>276190.8199999964</c:v>
              </c:pt>
              <c:pt idx="27">
                <c:v>318363.16999999573</c:v>
              </c:pt>
              <c:pt idx="28">
                <c:v>342196.36999999534</c:v>
              </c:pt>
              <c:pt idx="29">
                <c:v>342370.76999999559</c:v>
              </c:pt>
              <c:pt idx="30">
                <c:v>317640.05999999814</c:v>
              </c:pt>
              <c:pt idx="31">
                <c:v>413817.66999999259</c:v>
              </c:pt>
              <c:pt idx="32">
                <c:v>333099.24999999686</c:v>
              </c:pt>
              <c:pt idx="33">
                <c:v>391192.85999999259</c:v>
              </c:pt>
              <c:pt idx="34">
                <c:v>345399.84999999497</c:v>
              </c:pt>
              <c:pt idx="35">
                <c:v>313486.96999999782</c:v>
              </c:pt>
              <c:pt idx="36">
                <c:v>364338.16999999346</c:v>
              </c:pt>
              <c:pt idx="37">
                <c:v>337480.7</c:v>
              </c:pt>
              <c:pt idx="38">
                <c:v>341395.34</c:v>
              </c:pt>
              <c:pt idx="39">
                <c:v>292560.29999999655</c:v>
              </c:pt>
              <c:pt idx="40">
                <c:v>324246.24999998754</c:v>
              </c:pt>
              <c:pt idx="41">
                <c:v>415355.24000000372</c:v>
              </c:pt>
              <c:pt idx="42">
                <c:v>342813.09999999631</c:v>
              </c:pt>
              <c:pt idx="43">
                <c:v>413408.18000000349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D5A5-4D32-9A28-EA55F2FDFEC5}"/>
            </c:ext>
          </c:extLst>
        </c:ser>
        <c:ser>
          <c:idx val="1"/>
          <c:order val="1"/>
          <c:tx>
            <c:v>Residencia Social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39">
                <c:v>6522.8399999999974</c:v>
              </c:pt>
              <c:pt idx="40">
                <c:v>7335.8299999999927</c:v>
              </c:pt>
              <c:pt idx="41">
                <c:v>8562.5700000000033</c:v>
              </c:pt>
              <c:pt idx="42">
                <c:v>7270.65</c:v>
              </c:pt>
              <c:pt idx="43">
                <c:v>10735.179999999977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5A5-4D32-9A28-EA55F2FDFEC5}"/>
            </c:ext>
          </c:extLst>
        </c:ser>
        <c:ser>
          <c:idx val="2"/>
          <c:order val="2"/>
          <c:tx>
            <c:v>Pública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6583.46</c:v>
              </c:pt>
              <c:pt idx="1">
                <c:v>59324.65</c:v>
              </c:pt>
              <c:pt idx="2">
                <c:v>49307.849999999991</c:v>
              </c:pt>
              <c:pt idx="3">
                <c:v>48422.14999999998</c:v>
              </c:pt>
              <c:pt idx="4">
                <c:v>46961.8</c:v>
              </c:pt>
              <c:pt idx="5">
                <c:v>55685.979999999974</c:v>
              </c:pt>
              <c:pt idx="6">
                <c:v>2976.87</c:v>
              </c:pt>
              <c:pt idx="7">
                <c:v>26213.62</c:v>
              </c:pt>
              <c:pt idx="8">
                <c:v>65615.890000000101</c:v>
              </c:pt>
              <c:pt idx="9">
                <c:v>5065.1400000000003</c:v>
              </c:pt>
              <c:pt idx="10">
                <c:v>30092.259999999944</c:v>
              </c:pt>
              <c:pt idx="11">
                <c:v>2401.37</c:v>
              </c:pt>
              <c:pt idx="12">
                <c:v>34794.369999999995</c:v>
              </c:pt>
              <c:pt idx="13">
                <c:v>17954.25999999998</c:v>
              </c:pt>
              <c:pt idx="14">
                <c:v>25374.919999999987</c:v>
              </c:pt>
              <c:pt idx="15">
                <c:v>25134.259999999984</c:v>
              </c:pt>
              <c:pt idx="16">
                <c:v>3353.9900000000002</c:v>
              </c:pt>
              <c:pt idx="17">
                <c:v>25132.549999999988</c:v>
              </c:pt>
              <c:pt idx="18">
                <c:v>22187.259999999991</c:v>
              </c:pt>
              <c:pt idx="19">
                <c:v>56681.680000000117</c:v>
              </c:pt>
              <c:pt idx="20">
                <c:v>16534.409999999996</c:v>
              </c:pt>
              <c:pt idx="21">
                <c:v>18923.05</c:v>
              </c:pt>
              <c:pt idx="22">
                <c:v>20157.099999999999</c:v>
              </c:pt>
              <c:pt idx="23">
                <c:v>3265.88</c:v>
              </c:pt>
              <c:pt idx="24">
                <c:v>23719.109999999997</c:v>
              </c:pt>
              <c:pt idx="25">
                <c:v>51251.400000000052</c:v>
              </c:pt>
              <c:pt idx="26">
                <c:v>5846.8300000000008</c:v>
              </c:pt>
              <c:pt idx="27">
                <c:v>30716.929999999993</c:v>
              </c:pt>
              <c:pt idx="28">
                <c:v>63964.809999999961</c:v>
              </c:pt>
              <c:pt idx="29">
                <c:v>3448.0399999999991</c:v>
              </c:pt>
              <c:pt idx="30">
                <c:v>32472.560000000009</c:v>
              </c:pt>
              <c:pt idx="31">
                <c:v>29989.3</c:v>
              </c:pt>
              <c:pt idx="32">
                <c:v>50716.029999999992</c:v>
              </c:pt>
              <c:pt idx="33">
                <c:v>78612.869999999952</c:v>
              </c:pt>
              <c:pt idx="34">
                <c:v>40638.029999999992</c:v>
              </c:pt>
              <c:pt idx="35">
                <c:v>18266.95</c:v>
              </c:pt>
              <c:pt idx="36">
                <c:v>44973.779999999962</c:v>
              </c:pt>
              <c:pt idx="37">
                <c:v>44914.95</c:v>
              </c:pt>
              <c:pt idx="38">
                <c:v>62302.949999999903</c:v>
              </c:pt>
              <c:pt idx="39">
                <c:v>21374.090000000004</c:v>
              </c:pt>
              <c:pt idx="40">
                <c:v>58501.429999999964</c:v>
              </c:pt>
              <c:pt idx="41">
                <c:v>49628.590000000026</c:v>
              </c:pt>
              <c:pt idx="42">
                <c:v>33002.659999999982</c:v>
              </c:pt>
              <c:pt idx="43">
                <c:v>46630.750000000036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D5A5-4D32-9A28-EA55F2FDFEC5}"/>
            </c:ext>
          </c:extLst>
        </c:ser>
        <c:ser>
          <c:idx val="3"/>
          <c:order val="3"/>
          <c:tx>
            <c:v>Comercial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32886.32</c:v>
              </c:pt>
              <c:pt idx="1">
                <c:v>34765.18</c:v>
              </c:pt>
              <c:pt idx="2">
                <c:v>36435.700000000004</c:v>
              </c:pt>
              <c:pt idx="3">
                <c:v>34173.189999999995</c:v>
              </c:pt>
              <c:pt idx="4">
                <c:v>39986.800000000003</c:v>
              </c:pt>
              <c:pt idx="5">
                <c:v>40838.889999999992</c:v>
              </c:pt>
              <c:pt idx="6">
                <c:v>44331.44999999999</c:v>
              </c:pt>
              <c:pt idx="7">
                <c:v>43440.179999999942</c:v>
              </c:pt>
              <c:pt idx="8">
                <c:v>30582.499999999945</c:v>
              </c:pt>
              <c:pt idx="9">
                <c:v>26892.789999999968</c:v>
              </c:pt>
              <c:pt idx="10">
                <c:v>31157.099999999911</c:v>
              </c:pt>
              <c:pt idx="11">
                <c:v>40870.300000000003</c:v>
              </c:pt>
              <c:pt idx="12">
                <c:v>44173.669999999991</c:v>
              </c:pt>
              <c:pt idx="13">
                <c:v>36064.979999999981</c:v>
              </c:pt>
              <c:pt idx="14">
                <c:v>35201.149999999965</c:v>
              </c:pt>
              <c:pt idx="15">
                <c:v>35880.789999999994</c:v>
              </c:pt>
              <c:pt idx="16">
                <c:v>41859.25000000008</c:v>
              </c:pt>
              <c:pt idx="17">
                <c:v>39069.800000000025</c:v>
              </c:pt>
              <c:pt idx="18">
                <c:v>48956.560000000027</c:v>
              </c:pt>
              <c:pt idx="19">
                <c:v>47656.500000000102</c:v>
              </c:pt>
              <c:pt idx="20">
                <c:v>38556.520000000091</c:v>
              </c:pt>
              <c:pt idx="21">
                <c:v>40985.480000000069</c:v>
              </c:pt>
              <c:pt idx="22">
                <c:v>43230.440000000104</c:v>
              </c:pt>
              <c:pt idx="23">
                <c:v>36212.620000000032</c:v>
              </c:pt>
              <c:pt idx="24">
                <c:v>48933.160000000091</c:v>
              </c:pt>
              <c:pt idx="25">
                <c:v>46683.550000000141</c:v>
              </c:pt>
              <c:pt idx="26">
                <c:v>43767.16000000004</c:v>
              </c:pt>
              <c:pt idx="27">
                <c:v>44326.470000000081</c:v>
              </c:pt>
              <c:pt idx="28">
                <c:v>52911.249999999884</c:v>
              </c:pt>
              <c:pt idx="29">
                <c:v>48989.40999999996</c:v>
              </c:pt>
              <c:pt idx="30">
                <c:v>45962.709999999963</c:v>
              </c:pt>
              <c:pt idx="31">
                <c:v>56079.019999999946</c:v>
              </c:pt>
              <c:pt idx="32">
                <c:v>45921.440000000002</c:v>
              </c:pt>
              <c:pt idx="33">
                <c:v>54788.259999999827</c:v>
              </c:pt>
              <c:pt idx="34">
                <c:v>53963.259999999929</c:v>
              </c:pt>
              <c:pt idx="35">
                <c:v>45895.689999999988</c:v>
              </c:pt>
              <c:pt idx="36">
                <c:v>53656.579999999907</c:v>
              </c:pt>
              <c:pt idx="37">
                <c:v>49448.449999999953</c:v>
              </c:pt>
              <c:pt idx="38">
                <c:v>52772.939999999879</c:v>
              </c:pt>
              <c:pt idx="39">
                <c:v>44053.809999999772</c:v>
              </c:pt>
              <c:pt idx="40">
                <c:v>66699.770000000179</c:v>
              </c:pt>
              <c:pt idx="41">
                <c:v>71726.980000000287</c:v>
              </c:pt>
              <c:pt idx="42">
                <c:v>56882.510000000169</c:v>
              </c:pt>
              <c:pt idx="43">
                <c:v>77457.019999999888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D5A5-4D32-9A28-EA55F2FDFEC5}"/>
            </c:ext>
          </c:extLst>
        </c:ser>
        <c:ser>
          <c:idx val="4"/>
          <c:order val="4"/>
          <c:tx>
            <c:v>Industrial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3339.35</c:v>
              </c:pt>
              <c:pt idx="1">
                <c:v>3740.15</c:v>
              </c:pt>
              <c:pt idx="2">
                <c:v>4037.52</c:v>
              </c:pt>
              <c:pt idx="3">
                <c:v>3447.24</c:v>
              </c:pt>
              <c:pt idx="4">
                <c:v>3525.02</c:v>
              </c:pt>
              <c:pt idx="5">
                <c:v>2738.8300000000004</c:v>
              </c:pt>
              <c:pt idx="6">
                <c:v>3991.51</c:v>
              </c:pt>
              <c:pt idx="7">
                <c:v>171.43</c:v>
              </c:pt>
              <c:pt idx="8">
                <c:v>2844.94</c:v>
              </c:pt>
              <c:pt idx="9">
                <c:v>523.38</c:v>
              </c:pt>
              <c:pt idx="10">
                <c:v>5832.01</c:v>
              </c:pt>
              <c:pt idx="11">
                <c:v>3019.63</c:v>
              </c:pt>
              <c:pt idx="12">
                <c:v>92.55</c:v>
              </c:pt>
              <c:pt idx="13">
                <c:v>8207.19</c:v>
              </c:pt>
              <c:pt idx="14">
                <c:v>4855.1500000000005</c:v>
              </c:pt>
              <c:pt idx="15">
                <c:v>3889.04</c:v>
              </c:pt>
              <c:pt idx="16">
                <c:v>4366.7199999999993</c:v>
              </c:pt>
              <c:pt idx="17">
                <c:v>2572.34</c:v>
              </c:pt>
              <c:pt idx="18">
                <c:v>4953.1499999999996</c:v>
              </c:pt>
              <c:pt idx="19">
                <c:v>4752.55</c:v>
              </c:pt>
              <c:pt idx="20">
                <c:v>4104.17</c:v>
              </c:pt>
              <c:pt idx="21">
                <c:v>3907.47</c:v>
              </c:pt>
              <c:pt idx="22">
                <c:v>4527.0200000000013</c:v>
              </c:pt>
              <c:pt idx="23">
                <c:v>4611.6999999999989</c:v>
              </c:pt>
              <c:pt idx="24">
                <c:v>4918.43</c:v>
              </c:pt>
              <c:pt idx="25">
                <c:v>4140.6900000000005</c:v>
              </c:pt>
              <c:pt idx="26">
                <c:v>4478.76</c:v>
              </c:pt>
              <c:pt idx="27">
                <c:v>4301.5099999999993</c:v>
              </c:pt>
              <c:pt idx="28">
                <c:v>5715.54</c:v>
              </c:pt>
              <c:pt idx="29">
                <c:v>3087.67</c:v>
              </c:pt>
              <c:pt idx="30">
                <c:v>5658.21</c:v>
              </c:pt>
              <c:pt idx="31">
                <c:v>5816.2199999999993</c:v>
              </c:pt>
              <c:pt idx="32">
                <c:v>6037.29</c:v>
              </c:pt>
              <c:pt idx="33">
                <c:v>5042.95</c:v>
              </c:pt>
              <c:pt idx="34">
                <c:v>5044.37</c:v>
              </c:pt>
              <c:pt idx="35">
                <c:v>5292.15</c:v>
              </c:pt>
              <c:pt idx="36">
                <c:v>6487.27</c:v>
              </c:pt>
              <c:pt idx="37">
                <c:v>4743.5599999999995</c:v>
              </c:pt>
              <c:pt idx="38">
                <c:v>5850.31</c:v>
              </c:pt>
              <c:pt idx="39">
                <c:v>306.75</c:v>
              </c:pt>
              <c:pt idx="40">
                <c:v>10729.130000000001</c:v>
              </c:pt>
              <c:pt idx="41">
                <c:v>577.12</c:v>
              </c:pt>
              <c:pt idx="42">
                <c:v>8346.869999999999</c:v>
              </c:pt>
              <c:pt idx="43">
                <c:v>775.68999999999994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D5A5-4D32-9A28-EA55F2FDF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0546016"/>
        <c:axId val="2060555136"/>
      </c:scatterChart>
      <c:valAx>
        <c:axId val="206054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0555136"/>
        <c:crosses val="autoZero"/>
        <c:crossBetween val="midCat"/>
      </c:valAx>
      <c:valAx>
        <c:axId val="206055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0546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Inadimplência Residencial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5"/>
              <c:pt idx="1">
                <c:v>-1.7974411521322401E-2</c:v>
              </c:pt>
              <c:pt idx="2">
                <c:v>-1.5424749792489466E-2</c:v>
              </c:pt>
              <c:pt idx="3">
                <c:v>-3.8068526531797681E-2</c:v>
              </c:pt>
              <c:pt idx="4">
                <c:v>9.2459206306757261E-2</c:v>
              </c:pt>
              <c:pt idx="5">
                <c:v>-1.4640620905333279E-2</c:v>
              </c:pt>
              <c:pt idx="6">
                <c:v>1.4599859283294096E-2</c:v>
              </c:pt>
              <c:pt idx="7">
                <c:v>0.11194793313853429</c:v>
              </c:pt>
              <c:pt idx="8">
                <c:v>-6.9294930573669297E-2</c:v>
              </c:pt>
              <c:pt idx="9">
                <c:v>9.1228085030561332E-2</c:v>
              </c:pt>
              <c:pt idx="10">
                <c:v>0.10811251943358537</c:v>
              </c:pt>
              <c:pt idx="11">
                <c:v>-9.7485444282782566E-2</c:v>
              </c:pt>
              <c:pt idx="12">
                <c:v>-0.10048899804353241</c:v>
              </c:pt>
              <c:pt idx="13">
                <c:v>-7.7285838404391669E-2</c:v>
              </c:pt>
              <c:pt idx="14">
                <c:v>1.5126765707301002E-3</c:v>
              </c:pt>
              <c:pt idx="15">
                <c:v>1.2532835359867725E-2</c:v>
              </c:pt>
              <c:pt idx="16">
                <c:v>-6.3717185596295092E-2</c:v>
              </c:pt>
              <c:pt idx="17">
                <c:v>1.7349651779118069E-2</c:v>
              </c:pt>
              <c:pt idx="18">
                <c:v>2.6900831886175838E-2</c:v>
              </c:pt>
              <c:pt idx="19">
                <c:v>6.1542987014448491E-2</c:v>
              </c:pt>
              <c:pt idx="20">
                <c:v>-0.13541649051374557</c:v>
              </c:pt>
              <c:pt idx="21">
                <c:v>9.630157477951368E-3</c:v>
              </c:pt>
              <c:pt idx="22">
                <c:v>-5.2471956541258961E-2</c:v>
              </c:pt>
              <c:pt idx="23">
                <c:v>-1.1208581415901083E-2</c:v>
              </c:pt>
              <c:pt idx="24">
                <c:v>1.0992888757794366E-2</c:v>
              </c:pt>
              <c:pt idx="25">
                <c:v>-0.11614485118570456</c:v>
              </c:pt>
              <c:pt idx="26">
                <c:v>-5.0216516075645715E-2</c:v>
              </c:pt>
              <c:pt idx="27">
                <c:v>5.7389965306236815E-2</c:v>
              </c:pt>
              <c:pt idx="28">
                <c:v>-0.10824010223442988</c:v>
              </c:pt>
              <c:pt idx="29">
                <c:v>1.7595123307336191E-3</c:v>
              </c:pt>
              <c:pt idx="30">
                <c:v>5.4862855903927178E-2</c:v>
              </c:pt>
              <c:pt idx="31">
                <c:v>0.1044004313899691</c:v>
              </c:pt>
              <c:pt idx="32">
                <c:v>-0.13034173950633984</c:v>
              </c:pt>
              <c:pt idx="33">
                <c:v>3.7891116121902671E-2</c:v>
              </c:pt>
              <c:pt idx="34">
                <c:v>-0.17783994603272696</c:v>
              </c:pt>
              <c:pt idx="35">
                <c:v>-7.2195112774844028E-2</c:v>
              </c:pt>
              <c:pt idx="36">
                <c:v>3.226856327274806E-2</c:v>
              </c:pt>
              <c:pt idx="37">
                <c:v>-0.11473315707726933</c:v>
              </c:pt>
              <c:pt idx="38">
                <c:v>-1.93350064069246E-2</c:v>
              </c:pt>
              <c:pt idx="39">
                <c:v>-4.1173642564296412E-2</c:v>
              </c:pt>
              <c:pt idx="40">
                <c:v>0.14657503345393685</c:v>
              </c:pt>
              <c:pt idx="41">
                <c:v>0.18325949502362496</c:v>
              </c:pt>
              <c:pt idx="42">
                <c:v>-2.2906411462523989E-2</c:v>
              </c:pt>
              <c:pt idx="43">
                <c:v>0.16732582162649517</c:v>
              </c:pt>
              <c:pt idx="44">
                <c:v>-1.4030106875538672E-2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17E-4B9A-87F9-C1716F5CF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719408"/>
        <c:axId val="2002715008"/>
      </c:scatterChart>
      <c:valAx>
        <c:axId val="50171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715008"/>
        <c:crosses val="autoZero"/>
        <c:crossBetween val="midCat"/>
      </c:valAx>
      <c:valAx>
        <c:axId val="20027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1719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Receita: Residencial x Residencial Social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Residencia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cat>
          <c:val>
            <c:numLit>
              <c:formatCode>General</c:formatCode>
              <c:ptCount val="46"/>
              <c:pt idx="0">
                <c:v>215153.08</c:v>
              </c:pt>
              <c:pt idx="1">
                <c:v>224096.99</c:v>
              </c:pt>
              <c:pt idx="2">
                <c:v>231153.68</c:v>
              </c:pt>
              <c:pt idx="3">
                <c:v>242112.18</c:v>
              </c:pt>
              <c:pt idx="4">
                <c:v>264826.2</c:v>
              </c:pt>
              <c:pt idx="5">
                <c:v>289063.06</c:v>
              </c:pt>
              <c:pt idx="6">
                <c:v>276968.49</c:v>
              </c:pt>
              <c:pt idx="7">
                <c:v>265739.93</c:v>
              </c:pt>
              <c:pt idx="8">
                <c:v>271629.40000000002</c:v>
              </c:pt>
              <c:pt idx="9">
                <c:v>277663.68</c:v>
              </c:pt>
              <c:pt idx="10">
                <c:v>261283.93</c:v>
              </c:pt>
              <c:pt idx="11">
                <c:v>250246.39999999999</c:v>
              </c:pt>
              <c:pt idx="12">
                <c:v>278604.34000000003</c:v>
              </c:pt>
              <c:pt idx="13">
                <c:v>283226.44</c:v>
              </c:pt>
              <c:pt idx="14">
                <c:v>290982.03999999998</c:v>
              </c:pt>
              <c:pt idx="15">
                <c:v>279469.5</c:v>
              </c:pt>
              <c:pt idx="16">
                <c:v>319011.59000000003</c:v>
              </c:pt>
              <c:pt idx="17">
                <c:v>323672.89</c:v>
              </c:pt>
              <c:pt idx="18">
                <c:v>336046.25</c:v>
              </c:pt>
              <c:pt idx="19">
                <c:v>307498</c:v>
              </c:pt>
              <c:pt idx="20">
                <c:v>321079.90000000002</c:v>
              </c:pt>
              <c:pt idx="21">
                <c:v>304053.08</c:v>
              </c:pt>
              <c:pt idx="22">
                <c:v>305555.17</c:v>
              </c:pt>
              <c:pt idx="23">
                <c:v>296817.34000000003</c:v>
              </c:pt>
              <c:pt idx="24">
                <c:v>289856.93</c:v>
              </c:pt>
              <c:pt idx="25">
                <c:v>289874.55</c:v>
              </c:pt>
              <c:pt idx="26">
                <c:v>293006.45</c:v>
              </c:pt>
              <c:pt idx="27">
                <c:v>287269.13</c:v>
              </c:pt>
              <c:pt idx="28">
                <c:v>342799.53</c:v>
              </c:pt>
              <c:pt idx="29">
                <c:v>362244.54</c:v>
              </c:pt>
              <c:pt idx="30">
                <c:v>354667.5</c:v>
              </c:pt>
              <c:pt idx="31">
                <c:v>366099.61</c:v>
              </c:pt>
              <c:pt idx="32">
                <c:v>346217.83</c:v>
              </c:pt>
              <c:pt idx="33">
                <c:v>332127.34999999998</c:v>
              </c:pt>
              <c:pt idx="34">
                <c:v>322142.71999999997</c:v>
              </c:pt>
              <c:pt idx="35">
                <c:v>323940.05</c:v>
              </c:pt>
              <c:pt idx="36">
                <c:v>326838.90999999997</c:v>
              </c:pt>
              <c:pt idx="37">
                <c:v>331079.28000000003</c:v>
              </c:pt>
              <c:pt idx="38">
                <c:v>327894.71999999997</c:v>
              </c:pt>
              <c:pt idx="39">
                <c:v>342807.29</c:v>
              </c:pt>
              <c:pt idx="40">
                <c:v>397000.33</c:v>
              </c:pt>
              <c:pt idx="41">
                <c:v>406054</c:v>
              </c:pt>
              <c:pt idx="42">
                <c:v>411701.37</c:v>
              </c:pt>
              <c:pt idx="43">
                <c:v>407688.27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FD-4F85-9D28-8EB552658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748112"/>
        <c:axId val="531745232"/>
      </c:lineChart>
      <c:lineChart>
        <c:grouping val="standard"/>
        <c:varyColors val="0"/>
        <c:ser>
          <c:idx val="1"/>
          <c:order val="1"/>
          <c:tx>
            <c:v>Residencia Social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cat>
          <c:val>
            <c:numLit>
              <c:formatCode>General</c:formatCode>
              <c:ptCount val="46"/>
              <c:pt idx="0">
                <c:v>792.31</c:v>
              </c:pt>
              <c:pt idx="1">
                <c:v>1094.2</c:v>
              </c:pt>
              <c:pt idx="2">
                <c:v>1067.3900000000001</c:v>
              </c:pt>
              <c:pt idx="3">
                <c:v>1042.47</c:v>
              </c:pt>
              <c:pt idx="4">
                <c:v>1014.39</c:v>
              </c:pt>
              <c:pt idx="5">
                <c:v>736.88</c:v>
              </c:pt>
              <c:pt idx="6">
                <c:v>574.38</c:v>
              </c:pt>
              <c:pt idx="7">
                <c:v>890.52</c:v>
              </c:pt>
              <c:pt idx="8">
                <c:v>18.170000000000002</c:v>
              </c:pt>
              <c:pt idx="9">
                <c:v>263.35000000000002</c:v>
              </c:pt>
              <c:pt idx="10">
                <c:v>537.74</c:v>
              </c:pt>
              <c:pt idx="11">
                <c:v>206.67</c:v>
              </c:pt>
              <c:pt idx="12">
                <c:v>525.41</c:v>
              </c:pt>
              <c:pt idx="13">
                <c:v>4785</c:v>
              </c:pt>
              <c:pt idx="14">
                <c:v>6197.01</c:v>
              </c:pt>
              <c:pt idx="15">
                <c:v>4257.51</c:v>
              </c:pt>
              <c:pt idx="16">
                <c:v>5832.86</c:v>
              </c:pt>
              <c:pt idx="17">
                <c:v>5792.47</c:v>
              </c:pt>
              <c:pt idx="18">
                <c:v>6678.6</c:v>
              </c:pt>
              <c:pt idx="19">
                <c:v>6601.3</c:v>
              </c:pt>
              <c:pt idx="20">
                <c:v>6465.88</c:v>
              </c:pt>
              <c:pt idx="21">
                <c:v>5345.02</c:v>
              </c:pt>
              <c:pt idx="22">
                <c:v>3862.86</c:v>
              </c:pt>
              <c:pt idx="23">
                <c:v>3312.17</c:v>
              </c:pt>
              <c:pt idx="24">
                <c:v>2990.65</c:v>
              </c:pt>
              <c:pt idx="25">
                <c:v>2918.68</c:v>
              </c:pt>
              <c:pt idx="26">
                <c:v>3811.97</c:v>
              </c:pt>
              <c:pt idx="27">
                <c:v>3493.71</c:v>
              </c:pt>
              <c:pt idx="28">
                <c:v>5006.18</c:v>
              </c:pt>
              <c:pt idx="29">
                <c:v>5091.67</c:v>
              </c:pt>
              <c:pt idx="30">
                <c:v>5723.96</c:v>
              </c:pt>
              <c:pt idx="31">
                <c:v>6020.42</c:v>
              </c:pt>
              <c:pt idx="32">
                <c:v>5381.98</c:v>
              </c:pt>
              <c:pt idx="33">
                <c:v>5214.13</c:v>
              </c:pt>
              <c:pt idx="34">
                <c:v>5274.76</c:v>
              </c:pt>
              <c:pt idx="35">
                <c:v>5045.18</c:v>
              </c:pt>
              <c:pt idx="36">
                <c:v>6386.62</c:v>
              </c:pt>
              <c:pt idx="37">
                <c:v>5802.72</c:v>
              </c:pt>
              <c:pt idx="38">
                <c:v>6418.42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FD-4F85-9D28-8EB552658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45936"/>
        <c:axId val="518482624"/>
      </c:lineChart>
      <c:catAx>
        <c:axId val="531748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1745232"/>
        <c:crosses val="autoZero"/>
        <c:auto val="1"/>
        <c:lblAlgn val="ctr"/>
        <c:lblOffset val="100"/>
        <c:noMultiLvlLbl val="1"/>
      </c:catAx>
      <c:valAx>
        <c:axId val="53174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1748112"/>
        <c:crosses val="autoZero"/>
        <c:crossBetween val="between"/>
      </c:valAx>
      <c:valAx>
        <c:axId val="5184826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42345936"/>
        <c:crosses val="max"/>
        <c:crossBetween val="between"/>
      </c:valAx>
      <c:catAx>
        <c:axId val="44234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482624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baseline="0">
                <a:effectLst/>
              </a:rPr>
              <a:t>Arrecadação: Residencial x Residencial Social</a:t>
            </a:r>
            <a:endParaRPr lang="pt-BR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Residencia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cat>
          <c:val>
            <c:numLit>
              <c:formatCode>General</c:formatCode>
              <c:ptCount val="46"/>
              <c:pt idx="0">
                <c:v>219020.33</c:v>
              </c:pt>
              <c:pt idx="1">
                <c:v>227553.63</c:v>
              </c:pt>
              <c:pt idx="2">
                <c:v>239953.36000000266</c:v>
              </c:pt>
              <c:pt idx="3">
                <c:v>219726.68000000124</c:v>
              </c:pt>
              <c:pt idx="4">
                <c:v>268703.42</c:v>
              </c:pt>
              <c:pt idx="5">
                <c:v>284842.7800000016</c:v>
              </c:pt>
              <c:pt idx="6">
                <c:v>245962.43999999919</c:v>
              </c:pt>
              <c:pt idx="7">
                <c:v>284154.36000000173</c:v>
              </c:pt>
              <c:pt idx="8">
                <c:v>246849.16999999966</c:v>
              </c:pt>
              <c:pt idx="9">
                <c:v>247644.75999999917</c:v>
              </c:pt>
              <c:pt idx="10">
                <c:v>286755.31000000145</c:v>
              </c:pt>
              <c:pt idx="11">
                <c:v>275393.41000000102</c:v>
              </c:pt>
              <c:pt idx="12">
                <c:v>300136.51000000222</c:v>
              </c:pt>
              <c:pt idx="13">
                <c:v>282798.01000000071</c:v>
              </c:pt>
              <c:pt idx="14">
                <c:v>287335.21000000153</c:v>
              </c:pt>
              <c:pt idx="15">
                <c:v>297276.51000000379</c:v>
              </c:pt>
              <c:pt idx="16">
                <c:v>313476.84999999724</c:v>
              </c:pt>
              <c:pt idx="17">
                <c:v>314965.81999999733</c:v>
              </c:pt>
              <c:pt idx="18">
                <c:v>315364.95999999589</c:v>
              </c:pt>
              <c:pt idx="19">
                <c:v>349138.29999999574</c:v>
              </c:pt>
              <c:pt idx="20">
                <c:v>317987.84999999515</c:v>
              </c:pt>
              <c:pt idx="21">
                <c:v>320007.33999999595</c:v>
              </c:pt>
              <c:pt idx="22">
                <c:v>308980.00999999448</c:v>
              </c:pt>
              <c:pt idx="23">
                <c:v>293554.4599999956</c:v>
              </c:pt>
              <c:pt idx="24">
                <c:v>323522.31999999518</c:v>
              </c:pt>
              <c:pt idx="25">
                <c:v>304431.03999999556</c:v>
              </c:pt>
              <c:pt idx="26">
                <c:v>276190.8199999964</c:v>
              </c:pt>
              <c:pt idx="27">
                <c:v>318363.16999999573</c:v>
              </c:pt>
              <c:pt idx="28">
                <c:v>342196.36999999534</c:v>
              </c:pt>
              <c:pt idx="29">
                <c:v>342370.76999999559</c:v>
              </c:pt>
              <c:pt idx="30">
                <c:v>317640.05999999814</c:v>
              </c:pt>
              <c:pt idx="31">
                <c:v>413817.66999999259</c:v>
              </c:pt>
              <c:pt idx="32">
                <c:v>333099.24999999686</c:v>
              </c:pt>
              <c:pt idx="33">
                <c:v>391192.85999999259</c:v>
              </c:pt>
              <c:pt idx="34">
                <c:v>345399.84999999497</c:v>
              </c:pt>
              <c:pt idx="35">
                <c:v>313486.96999999782</c:v>
              </c:pt>
              <c:pt idx="36">
                <c:v>364338.16999999346</c:v>
              </c:pt>
              <c:pt idx="37">
                <c:v>337480.7</c:v>
              </c:pt>
              <c:pt idx="38">
                <c:v>341395.34</c:v>
              </c:pt>
              <c:pt idx="39">
                <c:v>292560.29999999655</c:v>
              </c:pt>
              <c:pt idx="40">
                <c:v>324246.24999998754</c:v>
              </c:pt>
              <c:pt idx="41">
                <c:v>415355.24000000372</c:v>
              </c:pt>
              <c:pt idx="42">
                <c:v>342813.09999999631</c:v>
              </c:pt>
              <c:pt idx="43">
                <c:v>413408.18000000349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79-4398-AED3-DF9DE925C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631280"/>
        <c:axId val="1672633680"/>
      </c:lineChart>
      <c:lineChart>
        <c:grouping val="standard"/>
        <c:varyColors val="0"/>
        <c:ser>
          <c:idx val="1"/>
          <c:order val="1"/>
          <c:tx>
            <c:v>Residencia Social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cat>
          <c:val>
            <c:numLit>
              <c:formatCode>General</c:formatCode>
              <c:ptCount val="46"/>
              <c:pt idx="39">
                <c:v>6522.8399999999974</c:v>
              </c:pt>
              <c:pt idx="40">
                <c:v>7335.8299999999927</c:v>
              </c:pt>
              <c:pt idx="41">
                <c:v>8562.5700000000033</c:v>
              </c:pt>
              <c:pt idx="42">
                <c:v>7270.65</c:v>
              </c:pt>
              <c:pt idx="43">
                <c:v>10735.179999999977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79-4398-AED3-DF9DE925C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221360"/>
        <c:axId val="518219440"/>
      </c:lineChart>
      <c:catAx>
        <c:axId val="1672631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2633680"/>
        <c:crosses val="autoZero"/>
        <c:auto val="1"/>
        <c:lblAlgn val="ctr"/>
        <c:lblOffset val="100"/>
        <c:noMultiLvlLbl val="1"/>
      </c:catAx>
      <c:valAx>
        <c:axId val="167263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2631280"/>
        <c:crosses val="autoZero"/>
        <c:crossBetween val="between"/>
      </c:valAx>
      <c:valAx>
        <c:axId val="5182194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18221360"/>
        <c:crosses val="max"/>
        <c:crossBetween val="between"/>
      </c:valAx>
      <c:catAx>
        <c:axId val="51822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219440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Acessibilidade Social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R1 FAT 1'!$P$4</c:f>
              <c:strCache>
                <c:ptCount val="1"/>
                <c:pt idx="0">
                  <c:v>ACESSO A RES. SOCIAL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'13 R1 FAT 1'!$P$5:$P$34</c:f>
              <c:numCache>
                <c:formatCode>0%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0.76</c:v>
                </c:pt>
                <c:pt idx="9">
                  <c:v>0.8</c:v>
                </c:pt>
                <c:pt idx="10">
                  <c:v>0.82</c:v>
                </c:pt>
                <c:pt idx="11">
                  <c:v>0.83</c:v>
                </c:pt>
                <c:pt idx="12">
                  <c:v>0.85</c:v>
                </c:pt>
                <c:pt idx="13">
                  <c:v>0.85</c:v>
                </c:pt>
                <c:pt idx="14">
                  <c:v>0.85</c:v>
                </c:pt>
                <c:pt idx="15">
                  <c:v>0.85</c:v>
                </c:pt>
                <c:pt idx="16">
                  <c:v>0.85</c:v>
                </c:pt>
                <c:pt idx="17">
                  <c:v>0.85</c:v>
                </c:pt>
                <c:pt idx="18">
                  <c:v>0.85</c:v>
                </c:pt>
                <c:pt idx="19">
                  <c:v>0.85</c:v>
                </c:pt>
                <c:pt idx="20">
                  <c:v>0.85</c:v>
                </c:pt>
                <c:pt idx="21">
                  <c:v>0.85</c:v>
                </c:pt>
                <c:pt idx="22">
                  <c:v>0.85</c:v>
                </c:pt>
                <c:pt idx="23">
                  <c:v>0.85</c:v>
                </c:pt>
                <c:pt idx="24">
                  <c:v>0.85</c:v>
                </c:pt>
                <c:pt idx="25">
                  <c:v>0.85</c:v>
                </c:pt>
                <c:pt idx="26">
                  <c:v>0.85</c:v>
                </c:pt>
                <c:pt idx="27">
                  <c:v>0.85</c:v>
                </c:pt>
                <c:pt idx="28">
                  <c:v>0.85</c:v>
                </c:pt>
                <c:pt idx="29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1-4926-BFF1-1C193E2E3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768792"/>
        <c:axId val="295768008"/>
      </c:barChart>
      <c:catAx>
        <c:axId val="295768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Anos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768008"/>
        <c:crosses val="autoZero"/>
        <c:auto val="1"/>
        <c:lblAlgn val="ctr"/>
        <c:lblOffset val="100"/>
        <c:noMultiLvlLbl val="0"/>
      </c:catAx>
      <c:valAx>
        <c:axId val="295768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768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PAINEL!A1"/><Relationship Id="rId1" Type="http://schemas.openxmlformats.org/officeDocument/2006/relationships/chart" Target="../charts/chart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hyperlink" Target="#PAINEL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PAINEL!A1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PAINEL!A1"/><Relationship Id="rId1" Type="http://schemas.openxmlformats.org/officeDocument/2006/relationships/chart" Target="../charts/chart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57150</xdr:rowOff>
    </xdr:from>
    <xdr:to>
      <xdr:col>3</xdr:col>
      <xdr:colOff>967740</xdr:colOff>
      <xdr:row>5</xdr:row>
      <xdr:rowOff>15240</xdr:rowOff>
    </xdr:to>
    <xdr:pic>
      <xdr:nvPicPr>
        <xdr:cNvPr id="3" name="Imagem 2" descr="CAEPA">
          <a:extLst>
            <a:ext uri="{FF2B5EF4-FFF2-40B4-BE49-F238E27FC236}">
              <a16:creationId xmlns:a16="http://schemas.microsoft.com/office/drawing/2014/main" id="{C6F1369D-54A8-81BE-D4AA-70007509D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57150"/>
          <a:ext cx="22479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1340602</xdr:colOff>
      <xdr:row>1</xdr:row>
      <xdr:rowOff>119778</xdr:rowOff>
    </xdr:from>
    <xdr:to>
      <xdr:col>15</xdr:col>
      <xdr:colOff>1030086</xdr:colOff>
      <xdr:row>5</xdr:row>
      <xdr:rowOff>3494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0DD6C15-3D4A-6ABE-B73B-C2B76C52A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47"/>
        <a:stretch/>
      </xdr:blipFill>
      <xdr:spPr>
        <a:xfrm>
          <a:off x="12294352" y="281703"/>
          <a:ext cx="1451609" cy="636191"/>
        </a:xfrm>
        <a:prstGeom prst="rect">
          <a:avLst/>
        </a:prstGeom>
      </xdr:spPr>
    </xdr:pic>
    <xdr:clientData/>
  </xdr:twoCellAnchor>
  <xdr:twoCellAnchor>
    <xdr:from>
      <xdr:col>13</xdr:col>
      <xdr:colOff>1312372</xdr:colOff>
      <xdr:row>4</xdr:row>
      <xdr:rowOff>45199</xdr:rowOff>
    </xdr:from>
    <xdr:to>
      <xdr:col>15</xdr:col>
      <xdr:colOff>1066800</xdr:colOff>
      <xdr:row>5</xdr:row>
      <xdr:rowOff>161924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E6B18C94-0754-A20B-4082-46FEFD4A195C}"/>
            </a:ext>
          </a:extLst>
        </xdr:cNvPr>
        <xdr:cNvSpPr txBox="1"/>
      </xdr:nvSpPr>
      <xdr:spPr>
        <a:xfrm>
          <a:off x="12266122" y="864349"/>
          <a:ext cx="1516553" cy="21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www.EXAQUA.com.br</a:t>
          </a:r>
          <a:r>
            <a:rPr lang="pt-BR" sz="1100" b="1" baseline="0">
              <a:solidFill>
                <a:schemeClr val="bg1"/>
              </a:solidFill>
            </a:rPr>
            <a:t> </a:t>
          </a:r>
          <a:endParaRPr lang="pt-BR" sz="1100" b="1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C93940-35EE-4FA6-A4EF-27D9C474E355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6</xdr:col>
      <xdr:colOff>136207</xdr:colOff>
      <xdr:row>5</xdr:row>
      <xdr:rowOff>50482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BDD273-8961-4D7D-825E-8B76CAA5ED34}"/>
            </a:ext>
          </a:extLst>
        </xdr:cNvPr>
        <xdr:cNvSpPr/>
      </xdr:nvSpPr>
      <xdr:spPr>
        <a:xfrm>
          <a:off x="7105650" y="28575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0E91FD-06C8-48C9-98E1-4CAF2E83D367}"/>
            </a:ext>
          </a:extLst>
        </xdr:cNvPr>
        <xdr:cNvSpPr/>
      </xdr:nvSpPr>
      <xdr:spPr>
        <a:xfrm>
          <a:off x="358140" y="147447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5</xdr:col>
      <xdr:colOff>1222057</xdr:colOff>
      <xdr:row>5</xdr:row>
      <xdr:rowOff>211046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EE90D3-AFB4-4FE8-8E37-53CB2BED899F}"/>
            </a:ext>
          </a:extLst>
        </xdr:cNvPr>
        <xdr:cNvSpPr/>
      </xdr:nvSpPr>
      <xdr:spPr>
        <a:xfrm>
          <a:off x="9035143" y="46264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684BEA-9CE2-4B42-9BB1-A64DBF99908B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262890</xdr:colOff>
      <xdr:row>10</xdr:row>
      <xdr:rowOff>0</xdr:rowOff>
    </xdr:from>
    <xdr:to>
      <xdr:col>15</xdr:col>
      <xdr:colOff>685800</xdr:colOff>
      <xdr:row>28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B35B69-EAA6-41BE-8FA6-A7C93EF62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</xdr:row>
      <xdr:rowOff>0</xdr:rowOff>
    </xdr:from>
    <xdr:to>
      <xdr:col>7</xdr:col>
      <xdr:colOff>136207</xdr:colOff>
      <xdr:row>5</xdr:row>
      <xdr:rowOff>50482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BA5618-BE76-4309-9E9A-5F02AAD1393C}"/>
            </a:ext>
          </a:extLst>
        </xdr:cNvPr>
        <xdr:cNvSpPr/>
      </xdr:nvSpPr>
      <xdr:spPr>
        <a:xfrm>
          <a:off x="8239125" y="28575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15C44-1F25-4362-BF57-DC625B265869}"/>
            </a:ext>
          </a:extLst>
        </xdr:cNvPr>
        <xdr:cNvSpPr/>
      </xdr:nvSpPr>
      <xdr:spPr>
        <a:xfrm>
          <a:off x="358140" y="147447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D82BFB-11D6-4024-9E2C-A0B4377B312D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760745-B9E9-42F6-90D3-CB2419483E24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314325</xdr:colOff>
      <xdr:row>0</xdr:row>
      <xdr:rowOff>76200</xdr:rowOff>
    </xdr:from>
    <xdr:to>
      <xdr:col>13</xdr:col>
      <xdr:colOff>393382</xdr:colOff>
      <xdr:row>3</xdr:row>
      <xdr:rowOff>187642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671AD1-868E-4C60-B65D-CDDE9078494C}"/>
            </a:ext>
          </a:extLst>
        </xdr:cNvPr>
        <xdr:cNvSpPr/>
      </xdr:nvSpPr>
      <xdr:spPr>
        <a:xfrm>
          <a:off x="11106150" y="76200"/>
          <a:ext cx="1222057" cy="85439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12</xdr:col>
      <xdr:colOff>2857</xdr:colOff>
      <xdr:row>3</xdr:row>
      <xdr:rowOff>393382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C6B058-4486-4FEA-B4D1-FD5ADEF198D8}"/>
            </a:ext>
          </a:extLst>
        </xdr:cNvPr>
        <xdr:cNvSpPr/>
      </xdr:nvSpPr>
      <xdr:spPr>
        <a:xfrm>
          <a:off x="10020300" y="34290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F8D66C-5BF3-4487-9B5A-815167467199}"/>
            </a:ext>
          </a:extLst>
        </xdr:cNvPr>
        <xdr:cNvSpPr/>
      </xdr:nvSpPr>
      <xdr:spPr>
        <a:xfrm>
          <a:off x="358140" y="147447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56FE05-743F-4F97-9EDD-BFD3FA00AD67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46198F-D280-44AA-B6C6-FCCD3913719D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0</xdr:rowOff>
    </xdr:from>
    <xdr:to>
      <xdr:col>16</xdr:col>
      <xdr:colOff>314325</xdr:colOff>
      <xdr:row>19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D48C09-4D43-4E44-BBEF-23F6D5732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</xdr:row>
      <xdr:rowOff>169545</xdr:rowOff>
    </xdr:from>
    <xdr:to>
      <xdr:col>8</xdr:col>
      <xdr:colOff>278130</xdr:colOff>
      <xdr:row>19</xdr:row>
      <xdr:rowOff>64770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694C74-E9A4-4BC1-9299-C8E26CBB8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304800</xdr:colOff>
      <xdr:row>34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7EFCB42-D262-4E34-846F-C8A7DA3EF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16</xdr:col>
      <xdr:colOff>304800</xdr:colOff>
      <xdr:row>34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B83FA2-DB3B-479B-8D7F-D40BE222F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5</xdr:row>
      <xdr:rowOff>0</xdr:rowOff>
    </xdr:from>
    <xdr:to>
      <xdr:col>24</xdr:col>
      <xdr:colOff>304800</xdr:colOff>
      <xdr:row>19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0F14EBF-B660-4CE5-856B-E11E7D80A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20</xdr:row>
      <xdr:rowOff>0</xdr:rowOff>
    </xdr:from>
    <xdr:to>
      <xdr:col>24</xdr:col>
      <xdr:colOff>304800</xdr:colOff>
      <xdr:row>34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584250-B4B6-4A56-AA8C-DAD1BE210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9</xdr:col>
      <xdr:colOff>2857</xdr:colOff>
      <xdr:row>5</xdr:row>
      <xdr:rowOff>50482</xdr:rowOff>
    </xdr:to>
    <xdr:sp macro="" textlink="">
      <xdr:nvSpPr>
        <xdr:cNvPr id="8" name="Seta: para a Esquerd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4374C3D-65D1-482A-A54B-066E8A945BE8}"/>
            </a:ext>
          </a:extLst>
        </xdr:cNvPr>
        <xdr:cNvSpPr/>
      </xdr:nvSpPr>
      <xdr:spPr>
        <a:xfrm>
          <a:off x="6086475" y="28575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6C3BAC-B2E1-4C87-948C-4DDC93F6797B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CB5E0B-31B2-458E-B9BB-A2B9FEA16A9A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5</xdr:col>
      <xdr:colOff>136207</xdr:colOff>
      <xdr:row>5</xdr:row>
      <xdr:rowOff>50482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1B6848-CB48-463F-AB48-406E2ECCC69B}"/>
            </a:ext>
          </a:extLst>
        </xdr:cNvPr>
        <xdr:cNvSpPr/>
      </xdr:nvSpPr>
      <xdr:spPr>
        <a:xfrm>
          <a:off x="5829300" y="295275"/>
          <a:ext cx="1183957" cy="83153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7970F1-9956-40D2-9041-F93106F9741D}"/>
            </a:ext>
          </a:extLst>
        </xdr:cNvPr>
        <xdr:cNvSpPr/>
      </xdr:nvSpPr>
      <xdr:spPr>
        <a:xfrm>
          <a:off x="361950" y="1438275"/>
          <a:ext cx="1187767" cy="79724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2CAAB7-9C12-4E6B-8F23-E9EB2AA56B07}"/>
            </a:ext>
          </a:extLst>
        </xdr:cNvPr>
        <xdr:cNvSpPr/>
      </xdr:nvSpPr>
      <xdr:spPr>
        <a:xfrm>
          <a:off x="8753475" y="180975"/>
          <a:ext cx="1222057" cy="873714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644543-95AB-4F7B-A108-4F6F2D56C297}"/>
            </a:ext>
          </a:extLst>
        </xdr:cNvPr>
        <xdr:cNvSpPr/>
      </xdr:nvSpPr>
      <xdr:spPr>
        <a:xfrm>
          <a:off x="8753475" y="180975"/>
          <a:ext cx="1222057" cy="873714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462915</xdr:colOff>
      <xdr:row>0</xdr:row>
      <xdr:rowOff>135255</xdr:rowOff>
    </xdr:from>
    <xdr:to>
      <xdr:col>11</xdr:col>
      <xdr:colOff>520065</xdr:colOff>
      <xdr:row>15</xdr:row>
      <xdr:rowOff>40005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E347A2-FCA5-4511-A333-2259D47C3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0</xdr:row>
      <xdr:rowOff>66675</xdr:rowOff>
    </xdr:from>
    <xdr:to>
      <xdr:col>3</xdr:col>
      <xdr:colOff>561022</xdr:colOff>
      <xdr:row>2</xdr:row>
      <xdr:rowOff>341947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21B69B-D021-4D2C-B561-376EF6374AE7}"/>
            </a:ext>
          </a:extLst>
        </xdr:cNvPr>
        <xdr:cNvSpPr/>
      </xdr:nvSpPr>
      <xdr:spPr>
        <a:xfrm>
          <a:off x="3857625" y="66675"/>
          <a:ext cx="1218247" cy="84677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276225</xdr:colOff>
      <xdr:row>0</xdr:row>
      <xdr:rowOff>66675</xdr:rowOff>
    </xdr:from>
    <xdr:to>
      <xdr:col>4</xdr:col>
      <xdr:colOff>621982</xdr:colOff>
      <xdr:row>4</xdr:row>
      <xdr:rowOff>6667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4B726E-9976-4239-B070-ED46E721184C}"/>
            </a:ext>
          </a:extLst>
        </xdr:cNvPr>
        <xdr:cNvSpPr/>
      </xdr:nvSpPr>
      <xdr:spPr>
        <a:xfrm>
          <a:off x="5324475" y="66675"/>
          <a:ext cx="1222057" cy="85439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5FF10A-AAC2-41C9-8E7D-6A3542431A5C}"/>
            </a:ext>
          </a:extLst>
        </xdr:cNvPr>
        <xdr:cNvSpPr/>
      </xdr:nvSpPr>
      <xdr:spPr>
        <a:xfrm>
          <a:off x="358140" y="147447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26D6D6-2C81-4166-B9A2-7A9F0901D05A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6AF4B7-6AFE-4370-B549-C2D70364FC94}"/>
            </a:ext>
          </a:extLst>
        </xdr:cNvPr>
        <xdr:cNvSpPr/>
      </xdr:nvSpPr>
      <xdr:spPr>
        <a:xfrm>
          <a:off x="7520940" y="175260"/>
          <a:ext cx="1023937" cy="856569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14</xdr:col>
      <xdr:colOff>609735</xdr:colOff>
      <xdr:row>6</xdr:row>
      <xdr:rowOff>88582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897252-920B-4F0A-974A-4DE39AFC1E6D}"/>
            </a:ext>
          </a:extLst>
        </xdr:cNvPr>
        <xdr:cNvSpPr/>
      </xdr:nvSpPr>
      <xdr:spPr>
        <a:xfrm>
          <a:off x="14872607" y="353786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376713</xdr:colOff>
      <xdr:row>6</xdr:row>
      <xdr:rowOff>88582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83E0C-2FAA-4A65-9CA5-78DA400687A1}"/>
            </a:ext>
          </a:extLst>
        </xdr:cNvPr>
        <xdr:cNvSpPr/>
      </xdr:nvSpPr>
      <xdr:spPr>
        <a:xfrm>
          <a:off x="14251781" y="369094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6B8849-E4AA-4042-A8EE-D46CDEB0E1C8}"/>
            </a:ext>
          </a:extLst>
        </xdr:cNvPr>
        <xdr:cNvSpPr/>
      </xdr:nvSpPr>
      <xdr:spPr>
        <a:xfrm>
          <a:off x="361950" y="1476375"/>
          <a:ext cx="1216342" cy="844867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1183821</xdr:colOff>
      <xdr:row>29</xdr:row>
      <xdr:rowOff>27215</xdr:rowOff>
    </xdr:from>
    <xdr:to>
      <xdr:col>1</xdr:col>
      <xdr:colOff>2405878</xdr:colOff>
      <xdr:row>33</xdr:row>
      <xdr:rowOff>168321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0BE106-2758-4CD0-9DBE-F431570E8E76}"/>
            </a:ext>
          </a:extLst>
        </xdr:cNvPr>
        <xdr:cNvSpPr/>
      </xdr:nvSpPr>
      <xdr:spPr>
        <a:xfrm>
          <a:off x="2177142" y="7252608"/>
          <a:ext cx="1222057" cy="848677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1</xdr:col>
      <xdr:colOff>1222057</xdr:colOff>
      <xdr:row>22</xdr:row>
      <xdr:rowOff>69532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59874D-ACB8-4D5A-AECE-1C6AD4D77462}"/>
            </a:ext>
          </a:extLst>
        </xdr:cNvPr>
        <xdr:cNvSpPr/>
      </xdr:nvSpPr>
      <xdr:spPr>
        <a:xfrm>
          <a:off x="180975" y="417195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454343</xdr:colOff>
      <xdr:row>0</xdr:row>
      <xdr:rowOff>250032</xdr:rowOff>
    </xdr:from>
    <xdr:to>
      <xdr:col>14</xdr:col>
      <xdr:colOff>194310</xdr:colOff>
      <xdr:row>4</xdr:row>
      <xdr:rowOff>240030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FF2BFA-E181-8A15-8A24-E4C449DE6049}"/>
            </a:ext>
          </a:extLst>
        </xdr:cNvPr>
        <xdr:cNvSpPr/>
      </xdr:nvSpPr>
      <xdr:spPr>
        <a:xfrm>
          <a:off x="7598093" y="250032"/>
          <a:ext cx="1216342" cy="83534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22</xdr:col>
      <xdr:colOff>269557</xdr:colOff>
      <xdr:row>7</xdr:row>
      <xdr:rowOff>115796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267BD-A330-4655-9973-F463AB1E0E02}"/>
            </a:ext>
          </a:extLst>
        </xdr:cNvPr>
        <xdr:cNvSpPr/>
      </xdr:nvSpPr>
      <xdr:spPr>
        <a:xfrm>
          <a:off x="16097250" y="1728107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427672</xdr:colOff>
      <xdr:row>2</xdr:row>
      <xdr:rowOff>566737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2D3EE6-CB30-4CC9-AED3-7D31B9EC915A}"/>
            </a:ext>
          </a:extLst>
        </xdr:cNvPr>
        <xdr:cNvSpPr/>
      </xdr:nvSpPr>
      <xdr:spPr>
        <a:xfrm>
          <a:off x="6553200" y="38100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0</xdr:rowOff>
    </xdr:from>
    <xdr:to>
      <xdr:col>15</xdr:col>
      <xdr:colOff>427672</xdr:colOff>
      <xdr:row>3</xdr:row>
      <xdr:rowOff>176212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8FD622-F99A-4C61-8ACD-30C359A7F575}"/>
            </a:ext>
          </a:extLst>
        </xdr:cNvPr>
        <xdr:cNvSpPr/>
      </xdr:nvSpPr>
      <xdr:spPr>
        <a:xfrm>
          <a:off x="13630275" y="38100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2</xdr:row>
      <xdr:rowOff>133350</xdr:rowOff>
    </xdr:from>
    <xdr:to>
      <xdr:col>11</xdr:col>
      <xdr:colOff>496252</xdr:colOff>
      <xdr:row>4</xdr:row>
      <xdr:rowOff>122872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133FBF-0B89-4318-B4BD-9C729BF86D68}"/>
            </a:ext>
          </a:extLst>
        </xdr:cNvPr>
        <xdr:cNvSpPr/>
      </xdr:nvSpPr>
      <xdr:spPr>
        <a:xfrm>
          <a:off x="8724900" y="723900"/>
          <a:ext cx="1220152" cy="84677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9</xdr:col>
      <xdr:colOff>427672</xdr:colOff>
      <xdr:row>5</xdr:row>
      <xdr:rowOff>14287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305FD6-139D-4560-B3B8-25FFAD492DC4}"/>
            </a:ext>
          </a:extLst>
        </xdr:cNvPr>
        <xdr:cNvSpPr/>
      </xdr:nvSpPr>
      <xdr:spPr>
        <a:xfrm>
          <a:off x="5676900" y="7429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</xdr:row>
      <xdr:rowOff>0</xdr:rowOff>
    </xdr:from>
    <xdr:to>
      <xdr:col>11</xdr:col>
      <xdr:colOff>113347</xdr:colOff>
      <xdr:row>11</xdr:row>
      <xdr:rowOff>100012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9D2793-F1EB-4564-875D-118336BB34E7}"/>
            </a:ext>
          </a:extLst>
        </xdr:cNvPr>
        <xdr:cNvSpPr/>
      </xdr:nvSpPr>
      <xdr:spPr>
        <a:xfrm>
          <a:off x="8477250" y="247650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12</xdr:col>
      <xdr:colOff>265747</xdr:colOff>
      <xdr:row>4</xdr:row>
      <xdr:rowOff>14287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89AE17-8EA5-4F80-AF02-AB2A8637195C}"/>
            </a:ext>
          </a:extLst>
        </xdr:cNvPr>
        <xdr:cNvSpPr/>
      </xdr:nvSpPr>
      <xdr:spPr>
        <a:xfrm>
          <a:off x="10153650" y="65722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19</xdr:col>
      <xdr:colOff>427672</xdr:colOff>
      <xdr:row>5</xdr:row>
      <xdr:rowOff>147637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DF6DF5-F180-44E5-A36C-32C629992B52}"/>
            </a:ext>
          </a:extLst>
        </xdr:cNvPr>
        <xdr:cNvSpPr/>
      </xdr:nvSpPr>
      <xdr:spPr>
        <a:xfrm>
          <a:off x="11182350" y="18097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1</xdr:row>
      <xdr:rowOff>0</xdr:rowOff>
    </xdr:from>
    <xdr:to>
      <xdr:col>20</xdr:col>
      <xdr:colOff>432434</xdr:colOff>
      <xdr:row>2</xdr:row>
      <xdr:rowOff>307181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A4F272-597C-4C73-8C86-9DE03851BB56}"/>
            </a:ext>
          </a:extLst>
        </xdr:cNvPr>
        <xdr:cNvSpPr/>
      </xdr:nvSpPr>
      <xdr:spPr>
        <a:xfrm>
          <a:off x="18966656" y="61912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23</xdr:col>
      <xdr:colOff>360997</xdr:colOff>
      <xdr:row>5</xdr:row>
      <xdr:rowOff>152400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81F01A-9B58-4817-92F8-AF39C0AC9AB2}"/>
            </a:ext>
          </a:extLst>
        </xdr:cNvPr>
        <xdr:cNvSpPr/>
      </xdr:nvSpPr>
      <xdr:spPr>
        <a:xfrm>
          <a:off x="16644938" y="404813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0</xdr:colOff>
      <xdr:row>2</xdr:row>
      <xdr:rowOff>0</xdr:rowOff>
    </xdr:from>
    <xdr:to>
      <xdr:col>40</xdr:col>
      <xdr:colOff>360997</xdr:colOff>
      <xdr:row>4</xdr:row>
      <xdr:rowOff>12926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419ED2-D9CC-4EEE-9167-72D1D354897E}"/>
            </a:ext>
          </a:extLst>
        </xdr:cNvPr>
        <xdr:cNvSpPr/>
      </xdr:nvSpPr>
      <xdr:spPr>
        <a:xfrm>
          <a:off x="30235071" y="898071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8760EB-0F36-4A88-9BEC-2F077A59C8E4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14</xdr:col>
      <xdr:colOff>427672</xdr:colOff>
      <xdr:row>3</xdr:row>
      <xdr:rowOff>233362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16DB38-D1C5-4C8D-8596-64527BD098B3}"/>
            </a:ext>
          </a:extLst>
        </xdr:cNvPr>
        <xdr:cNvSpPr/>
      </xdr:nvSpPr>
      <xdr:spPr>
        <a:xfrm>
          <a:off x="6953250" y="6286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13</xdr:col>
      <xdr:colOff>427672</xdr:colOff>
      <xdr:row>3</xdr:row>
      <xdr:rowOff>233362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A101C7-59DD-4054-81A3-73D5E3BD144D}"/>
            </a:ext>
          </a:extLst>
        </xdr:cNvPr>
        <xdr:cNvSpPr/>
      </xdr:nvSpPr>
      <xdr:spPr>
        <a:xfrm>
          <a:off x="6953250" y="6286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13</xdr:col>
      <xdr:colOff>427672</xdr:colOff>
      <xdr:row>3</xdr:row>
      <xdr:rowOff>233362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2E5739-47F8-4AA5-B83E-C29010FF9A97}"/>
            </a:ext>
          </a:extLst>
        </xdr:cNvPr>
        <xdr:cNvSpPr/>
      </xdr:nvSpPr>
      <xdr:spPr>
        <a:xfrm>
          <a:off x="6953250" y="6286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11</xdr:col>
      <xdr:colOff>427672</xdr:colOff>
      <xdr:row>3</xdr:row>
      <xdr:rowOff>233362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8870F4-6F26-4999-9B6D-B7552904E22D}"/>
            </a:ext>
          </a:extLst>
        </xdr:cNvPr>
        <xdr:cNvSpPr/>
      </xdr:nvSpPr>
      <xdr:spPr>
        <a:xfrm>
          <a:off x="8639175" y="6286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16</xdr:col>
      <xdr:colOff>589597</xdr:colOff>
      <xdr:row>6</xdr:row>
      <xdr:rowOff>71437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2B0CC0-67CC-4EB9-84D9-8D148ED6486E}"/>
            </a:ext>
          </a:extLst>
        </xdr:cNvPr>
        <xdr:cNvSpPr/>
      </xdr:nvSpPr>
      <xdr:spPr>
        <a:xfrm>
          <a:off x="12192000" y="57150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12</xdr:col>
      <xdr:colOff>604414</xdr:colOff>
      <xdr:row>5</xdr:row>
      <xdr:rowOff>144462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1D5928-1944-45DC-B933-893EECDB8678}"/>
            </a:ext>
          </a:extLst>
        </xdr:cNvPr>
        <xdr:cNvSpPr/>
      </xdr:nvSpPr>
      <xdr:spPr>
        <a:xfrm>
          <a:off x="9715500" y="486833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161925</xdr:colOff>
      <xdr:row>0</xdr:row>
      <xdr:rowOff>347662</xdr:rowOff>
    </xdr:from>
    <xdr:to>
      <xdr:col>36</xdr:col>
      <xdr:colOff>276225</xdr:colOff>
      <xdr:row>10</xdr:row>
      <xdr:rowOff>71437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9E7774-B886-44F5-9DE6-C490B63857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</xdr:colOff>
      <xdr:row>4</xdr:row>
      <xdr:rowOff>95250</xdr:rowOff>
    </xdr:from>
    <xdr:to>
      <xdr:col>10</xdr:col>
      <xdr:colOff>277177</xdr:colOff>
      <xdr:row>7</xdr:row>
      <xdr:rowOff>199072</xdr:rowOff>
    </xdr:to>
    <xdr:sp macro="" textlink="">
      <xdr:nvSpPr>
        <xdr:cNvPr id="4" name="Seta: para a Esqu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78B9EB-3CA9-46B2-9747-E419B5E06B0A}"/>
            </a:ext>
          </a:extLst>
        </xdr:cNvPr>
        <xdr:cNvSpPr/>
      </xdr:nvSpPr>
      <xdr:spPr>
        <a:xfrm>
          <a:off x="7867650" y="1552575"/>
          <a:ext cx="1220152" cy="84677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0</xdr:row>
      <xdr:rowOff>371475</xdr:rowOff>
    </xdr:from>
    <xdr:to>
      <xdr:col>8</xdr:col>
      <xdr:colOff>882967</xdr:colOff>
      <xdr:row>3</xdr:row>
      <xdr:rowOff>359092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8E781C-75E6-4E36-82C7-D2614CD7C86B}"/>
            </a:ext>
          </a:extLst>
        </xdr:cNvPr>
        <xdr:cNvSpPr/>
      </xdr:nvSpPr>
      <xdr:spPr>
        <a:xfrm>
          <a:off x="6324600" y="371475"/>
          <a:ext cx="1216342" cy="844867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3</xdr:row>
      <xdr:rowOff>0</xdr:rowOff>
    </xdr:from>
    <xdr:to>
      <xdr:col>13</xdr:col>
      <xdr:colOff>427672</xdr:colOff>
      <xdr:row>5</xdr:row>
      <xdr:rowOff>128587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032BB2-0839-4DC9-B8D9-F5DEED332667}"/>
            </a:ext>
          </a:extLst>
        </xdr:cNvPr>
        <xdr:cNvSpPr/>
      </xdr:nvSpPr>
      <xdr:spPr>
        <a:xfrm>
          <a:off x="6391275" y="80962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16</xdr:col>
      <xdr:colOff>427672</xdr:colOff>
      <xdr:row>4</xdr:row>
      <xdr:rowOff>128587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62BC52-E17C-467F-B49A-2B5A2CD278DE}"/>
            </a:ext>
          </a:extLst>
        </xdr:cNvPr>
        <xdr:cNvSpPr/>
      </xdr:nvSpPr>
      <xdr:spPr>
        <a:xfrm>
          <a:off x="13049250" y="4762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49D372-2A79-4269-B17B-D9999BD15EE4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693964</xdr:colOff>
      <xdr:row>3</xdr:row>
      <xdr:rowOff>13607</xdr:rowOff>
    </xdr:from>
    <xdr:to>
      <xdr:col>4</xdr:col>
      <xdr:colOff>1017950</xdr:colOff>
      <xdr:row>7</xdr:row>
      <xdr:rowOff>147093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7F8A99-23CD-4645-8559-63091CAB6A9F}"/>
            </a:ext>
          </a:extLst>
        </xdr:cNvPr>
        <xdr:cNvSpPr/>
      </xdr:nvSpPr>
      <xdr:spPr>
        <a:xfrm>
          <a:off x="4109357" y="571500"/>
          <a:ext cx="1222057" cy="841057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2333625</xdr:colOff>
      <xdr:row>0</xdr:row>
      <xdr:rowOff>178595</xdr:rowOff>
    </xdr:from>
    <xdr:to>
      <xdr:col>2</xdr:col>
      <xdr:colOff>3551872</xdr:colOff>
      <xdr:row>4</xdr:row>
      <xdr:rowOff>9526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60046-D594-4410-81B6-5D161A3D16F9}"/>
            </a:ext>
          </a:extLst>
        </xdr:cNvPr>
        <xdr:cNvSpPr/>
      </xdr:nvSpPr>
      <xdr:spPr>
        <a:xfrm>
          <a:off x="2869406" y="17859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2</xdr:row>
      <xdr:rowOff>0</xdr:rowOff>
    </xdr:from>
    <xdr:to>
      <xdr:col>25</xdr:col>
      <xdr:colOff>589597</xdr:colOff>
      <xdr:row>5</xdr:row>
      <xdr:rowOff>100012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62D84D-68B5-4CC2-A230-64618E9F306D}"/>
            </a:ext>
          </a:extLst>
        </xdr:cNvPr>
        <xdr:cNvSpPr/>
      </xdr:nvSpPr>
      <xdr:spPr>
        <a:xfrm>
          <a:off x="14697075" y="41910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284797</xdr:colOff>
      <xdr:row>6</xdr:row>
      <xdr:rowOff>119062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D374A5-6EB1-44B7-8AD3-9145E30D053E}"/>
            </a:ext>
          </a:extLst>
        </xdr:cNvPr>
        <xdr:cNvSpPr/>
      </xdr:nvSpPr>
      <xdr:spPr>
        <a:xfrm>
          <a:off x="9067800" y="52387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8</xdr:col>
      <xdr:colOff>427672</xdr:colOff>
      <xdr:row>4</xdr:row>
      <xdr:rowOff>14287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6A923F-EE9E-4B96-A537-82BEA7CEF512}"/>
            </a:ext>
          </a:extLst>
        </xdr:cNvPr>
        <xdr:cNvSpPr/>
      </xdr:nvSpPr>
      <xdr:spPr>
        <a:xfrm>
          <a:off x="7124700" y="73342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5</xdr:col>
      <xdr:colOff>136207</xdr:colOff>
      <xdr:row>5</xdr:row>
      <xdr:rowOff>50482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0034F-0AC4-4C23-A3B7-27DBA741035F}"/>
            </a:ext>
          </a:extLst>
        </xdr:cNvPr>
        <xdr:cNvSpPr/>
      </xdr:nvSpPr>
      <xdr:spPr>
        <a:xfrm>
          <a:off x="6019800" y="28575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A4C812-1249-4140-B0BC-D149BF49CA30}"/>
            </a:ext>
          </a:extLst>
        </xdr:cNvPr>
        <xdr:cNvSpPr/>
      </xdr:nvSpPr>
      <xdr:spPr>
        <a:xfrm>
          <a:off x="358140" y="147447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30595C-6A6C-4C6E-9B94-2EED5C925493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7622-F015-4C19-A85C-5C640031FAFB}">
  <dimension ref="A1:R28"/>
  <sheetViews>
    <sheetView showGridLines="0" tabSelected="1" zoomScale="90" zoomScaleNormal="90" zoomScaleSheetLayoutView="100" workbookViewId="0">
      <selection activeCell="J12" sqref="J12:P15"/>
    </sheetView>
  </sheetViews>
  <sheetFormatPr defaultColWidth="8.85546875" defaultRowHeight="12.75"/>
  <cols>
    <col min="1" max="1" width="5.7109375" style="1451" customWidth="1"/>
    <col min="2" max="2" width="20.7109375" style="1188" customWidth="1"/>
    <col min="3" max="3" width="5.7109375" style="1188" customWidth="1"/>
    <col min="4" max="4" width="20.7109375" style="1188" customWidth="1"/>
    <col min="5" max="5" width="5.7109375" style="1188" customWidth="1"/>
    <col min="6" max="6" width="20.7109375" style="1188" customWidth="1"/>
    <col min="7" max="7" width="5.7109375" style="1188" customWidth="1"/>
    <col min="8" max="8" width="20.7109375" style="1188" customWidth="1"/>
    <col min="9" max="9" width="5.7109375" style="1188" customWidth="1"/>
    <col min="10" max="10" width="20.7109375" style="1188" customWidth="1"/>
    <col min="11" max="11" width="5.7109375" style="1188" customWidth="1"/>
    <col min="12" max="12" width="20.7109375" style="1188" customWidth="1"/>
    <col min="13" max="13" width="5.7109375" style="1188" customWidth="1"/>
    <col min="14" max="14" width="20.7109375" style="1188" customWidth="1"/>
    <col min="15" max="15" width="5.7109375" style="1188" customWidth="1"/>
    <col min="16" max="16" width="20.7109375" style="1188" customWidth="1"/>
    <col min="17" max="17" width="5.7109375" style="1188" customWidth="1"/>
    <col min="18" max="26" width="30.7109375" style="1188" customWidth="1"/>
    <col min="27" max="16384" width="8.85546875" style="1188"/>
  </cols>
  <sheetData>
    <row r="1" spans="1:18">
      <c r="A1" s="1452"/>
      <c r="B1" s="1453"/>
      <c r="C1" s="1453"/>
      <c r="D1" s="1453"/>
      <c r="E1" s="1453"/>
      <c r="F1" s="1453"/>
      <c r="G1" s="1453"/>
      <c r="H1" s="1453"/>
      <c r="I1" s="1453"/>
      <c r="J1" s="1453"/>
      <c r="K1" s="1453"/>
      <c r="L1" s="1453"/>
      <c r="M1" s="1453"/>
      <c r="N1" s="1453"/>
      <c r="O1" s="1453"/>
      <c r="P1" s="1453"/>
      <c r="Q1" s="1453"/>
    </row>
    <row r="2" spans="1:18" ht="20.25">
      <c r="A2" s="1452"/>
      <c r="B2" s="1453"/>
      <c r="C2" s="1453"/>
      <c r="D2" s="1453"/>
      <c r="E2" s="1542" t="s">
        <v>830</v>
      </c>
      <c r="F2" s="1542"/>
      <c r="G2" s="1542"/>
      <c r="H2" s="1542"/>
      <c r="I2" s="1542"/>
      <c r="J2" s="1542"/>
      <c r="K2" s="1542"/>
      <c r="L2" s="1542"/>
      <c r="M2" s="1542"/>
      <c r="N2" s="1453"/>
      <c r="O2" s="1453"/>
      <c r="P2" s="1453"/>
      <c r="Q2" s="1453"/>
    </row>
    <row r="3" spans="1:18" ht="15.75">
      <c r="A3" s="1452"/>
      <c r="B3" s="1453"/>
      <c r="C3" s="1453"/>
      <c r="D3" s="1453"/>
      <c r="E3" s="1541" t="s">
        <v>846</v>
      </c>
      <c r="F3" s="1541"/>
      <c r="G3" s="1541"/>
      <c r="H3" s="1541"/>
      <c r="I3" s="1541"/>
      <c r="J3" s="1541"/>
      <c r="K3" s="1541"/>
      <c r="L3" s="1541"/>
      <c r="M3" s="1541"/>
      <c r="N3" s="1453"/>
      <c r="O3" s="1453"/>
      <c r="P3" s="1453"/>
      <c r="Q3" s="1453"/>
    </row>
    <row r="4" spans="1:18" ht="15.75">
      <c r="A4" s="1452"/>
      <c r="B4" s="1453"/>
      <c r="C4" s="1453"/>
      <c r="D4" s="1453"/>
      <c r="E4" s="1541" t="s">
        <v>951</v>
      </c>
      <c r="F4" s="1541"/>
      <c r="G4" s="1541"/>
      <c r="H4" s="1541"/>
      <c r="I4" s="1541"/>
      <c r="J4" s="1541"/>
      <c r="K4" s="1541"/>
      <c r="L4" s="1541"/>
      <c r="M4" s="1541"/>
      <c r="N4" s="1453"/>
      <c r="O4" s="1453"/>
      <c r="P4" s="1453"/>
      <c r="Q4" s="1453"/>
    </row>
    <row r="5" spans="1:18" ht="7.9" customHeight="1">
      <c r="A5" s="1452"/>
      <c r="B5" s="1452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</row>
    <row r="6" spans="1:18" ht="19.899999999999999" customHeight="1">
      <c r="A6" s="1452"/>
      <c r="B6" s="1456" t="s">
        <v>831</v>
      </c>
      <c r="C6" s="1455"/>
      <c r="D6" s="1455"/>
      <c r="E6" s="1455"/>
      <c r="F6" s="1455"/>
      <c r="G6" s="1455"/>
      <c r="H6" s="1455"/>
      <c r="I6" s="1455"/>
      <c r="J6" s="1457" t="s">
        <v>835</v>
      </c>
      <c r="K6" s="1455"/>
      <c r="L6" s="1455"/>
      <c r="M6" s="1455"/>
      <c r="N6" s="1455"/>
      <c r="O6" s="1455"/>
      <c r="P6" s="1455"/>
      <c r="Q6" s="1453"/>
    </row>
    <row r="7" spans="1:18" ht="19.899999999999999" customHeight="1" thickBot="1">
      <c r="A7" s="1452"/>
      <c r="B7" s="1458" t="s">
        <v>837</v>
      </c>
      <c r="C7" s="1455"/>
      <c r="D7" s="1455"/>
      <c r="E7" s="1455"/>
      <c r="F7" s="1455"/>
      <c r="G7" s="1455"/>
      <c r="H7" s="1455"/>
      <c r="I7" s="1455"/>
      <c r="J7" s="1459" t="s">
        <v>872</v>
      </c>
      <c r="K7" s="1455"/>
      <c r="L7" s="1455"/>
      <c r="M7" s="1455"/>
      <c r="N7" s="1455"/>
      <c r="O7" s="1455"/>
      <c r="P7" s="1455"/>
      <c r="Q7" s="1453"/>
    </row>
    <row r="8" spans="1:18" ht="25.15" customHeight="1" thickTop="1" thickBot="1">
      <c r="A8" s="1452"/>
      <c r="B8" s="1460" t="s">
        <v>832</v>
      </c>
      <c r="C8" s="1455"/>
      <c r="D8" s="1460" t="s">
        <v>833</v>
      </c>
      <c r="E8" s="1455"/>
      <c r="F8" s="1460" t="s">
        <v>845</v>
      </c>
      <c r="G8" s="1455"/>
      <c r="H8" s="1460" t="s">
        <v>834</v>
      </c>
      <c r="I8" s="1455"/>
      <c r="J8" s="1460" t="s">
        <v>833</v>
      </c>
      <c r="K8" s="1455"/>
      <c r="L8" s="1460" t="s">
        <v>849</v>
      </c>
      <c r="M8" s="1455"/>
      <c r="N8" s="1460" t="s">
        <v>845</v>
      </c>
      <c r="O8" s="1455"/>
      <c r="P8" s="1460" t="s">
        <v>834</v>
      </c>
      <c r="Q8" s="1453"/>
      <c r="R8"/>
    </row>
    <row r="9" spans="1:18" ht="7.9" customHeight="1" thickTop="1">
      <c r="A9" s="1452"/>
      <c r="B9" s="1454"/>
      <c r="C9" s="1455"/>
      <c r="D9" s="1455"/>
      <c r="E9" s="1455"/>
      <c r="F9" s="1455"/>
      <c r="G9" s="1455"/>
      <c r="H9" s="1455"/>
      <c r="I9" s="1455"/>
      <c r="J9" s="1455"/>
      <c r="K9" s="1455"/>
      <c r="L9" s="1455"/>
      <c r="M9" s="1455"/>
      <c r="N9" s="1455"/>
      <c r="O9" s="1455"/>
      <c r="P9" s="1455"/>
      <c r="Q9" s="1453"/>
    </row>
    <row r="10" spans="1:18" ht="19.899999999999999" customHeight="1" thickBot="1">
      <c r="A10" s="1452"/>
      <c r="B10" s="1458" t="s">
        <v>838</v>
      </c>
      <c r="C10" s="1455"/>
      <c r="D10" s="1455"/>
      <c r="E10" s="1455"/>
      <c r="F10" s="1455"/>
      <c r="G10" s="1455"/>
      <c r="H10" s="1455"/>
      <c r="I10" s="1455"/>
      <c r="J10" s="1459"/>
      <c r="K10" s="1455"/>
      <c r="L10" s="1455"/>
      <c r="M10" s="1455"/>
      <c r="N10" s="1455"/>
      <c r="O10" s="1455"/>
      <c r="P10" s="1455"/>
      <c r="Q10" s="1453"/>
    </row>
    <row r="11" spans="1:18" ht="25.15" customHeight="1" thickTop="1" thickBot="1">
      <c r="A11" s="1452"/>
      <c r="B11" s="1460" t="s">
        <v>832</v>
      </c>
      <c r="C11" s="1455"/>
      <c r="D11" s="1460" t="s">
        <v>849</v>
      </c>
      <c r="E11" s="1455"/>
      <c r="F11" s="1460" t="s">
        <v>845</v>
      </c>
      <c r="G11" s="1455"/>
      <c r="H11" s="1460" t="s">
        <v>834</v>
      </c>
      <c r="I11" s="1455"/>
      <c r="J11" s="1457" t="s">
        <v>847</v>
      </c>
      <c r="K11" s="1455"/>
      <c r="L11" s="1455"/>
      <c r="M11" s="1455"/>
      <c r="N11" s="1455"/>
      <c r="O11" s="1455"/>
      <c r="P11" s="1455"/>
      <c r="Q11" s="1453"/>
    </row>
    <row r="12" spans="1:18" ht="7.9" customHeight="1" thickTop="1">
      <c r="A12" s="1452"/>
      <c r="B12" s="1454"/>
      <c r="C12" s="1455"/>
      <c r="D12" s="1455"/>
      <c r="E12" s="1455"/>
      <c r="F12" s="1455"/>
      <c r="G12" s="1455"/>
      <c r="H12" s="1455"/>
      <c r="I12" s="1455"/>
      <c r="J12" s="1543" t="s">
        <v>836</v>
      </c>
      <c r="K12" s="1544"/>
      <c r="L12" s="1544"/>
      <c r="M12" s="1544"/>
      <c r="N12" s="1544"/>
      <c r="O12" s="1544"/>
      <c r="P12" s="1545"/>
      <c r="Q12" s="1453"/>
    </row>
    <row r="13" spans="1:18" ht="19.899999999999999" customHeight="1" thickBot="1">
      <c r="A13" s="1452"/>
      <c r="B13" s="1458" t="s">
        <v>839</v>
      </c>
      <c r="C13" s="1455"/>
      <c r="D13" s="1455"/>
      <c r="E13" s="1455"/>
      <c r="F13" s="1455"/>
      <c r="G13" s="1455"/>
      <c r="H13" s="1455"/>
      <c r="I13" s="1455"/>
      <c r="J13" s="1546"/>
      <c r="K13" s="1547"/>
      <c r="L13" s="1547"/>
      <c r="M13" s="1547"/>
      <c r="N13" s="1547"/>
      <c r="O13" s="1547"/>
      <c r="P13" s="1548"/>
      <c r="Q13" s="1453"/>
    </row>
    <row r="14" spans="1:18" ht="25.15" customHeight="1" thickTop="1" thickBot="1">
      <c r="A14" s="1452"/>
      <c r="B14" s="1460" t="s">
        <v>832</v>
      </c>
      <c r="C14" s="1455"/>
      <c r="D14" s="1460" t="s">
        <v>849</v>
      </c>
      <c r="E14" s="1455"/>
      <c r="F14" s="1460" t="s">
        <v>845</v>
      </c>
      <c r="G14" s="1455"/>
      <c r="H14" s="1460" t="s">
        <v>834</v>
      </c>
      <c r="I14" s="1455"/>
      <c r="J14" s="1546"/>
      <c r="K14" s="1547"/>
      <c r="L14" s="1547"/>
      <c r="M14" s="1547"/>
      <c r="N14" s="1547"/>
      <c r="O14" s="1547"/>
      <c r="P14" s="1548"/>
      <c r="Q14" s="1453"/>
    </row>
    <row r="15" spans="1:18" ht="7.9" customHeight="1" thickTop="1" thickBot="1">
      <c r="A15" s="1452"/>
      <c r="B15" s="1454"/>
      <c r="C15" s="1455"/>
      <c r="D15" s="1455"/>
      <c r="E15" s="1455"/>
      <c r="F15" s="1455"/>
      <c r="G15" s="1455"/>
      <c r="H15" s="1455"/>
      <c r="I15" s="1455"/>
      <c r="J15" s="1549"/>
      <c r="K15" s="1550"/>
      <c r="L15" s="1550"/>
      <c r="M15" s="1550"/>
      <c r="N15" s="1550"/>
      <c r="O15" s="1550"/>
      <c r="P15" s="1551"/>
      <c r="Q15" s="1453"/>
    </row>
    <row r="16" spans="1:18" ht="19.899999999999999" customHeight="1" thickTop="1" thickBot="1">
      <c r="A16" s="1452"/>
      <c r="B16" s="1458" t="s">
        <v>843</v>
      </c>
      <c r="C16" s="1455"/>
      <c r="D16" s="1455"/>
      <c r="E16" s="1455"/>
      <c r="F16" s="1455"/>
      <c r="G16" s="1455"/>
      <c r="H16" s="1455"/>
      <c r="I16" s="1455"/>
      <c r="J16" s="1455"/>
      <c r="K16" s="1455"/>
      <c r="L16" s="1455"/>
      <c r="M16" s="1455"/>
      <c r="N16" s="1455"/>
      <c r="O16" s="1455"/>
      <c r="P16" s="1455"/>
      <c r="Q16" s="1453"/>
    </row>
    <row r="17" spans="1:17" ht="25.15" customHeight="1" thickTop="1" thickBot="1">
      <c r="A17" s="1452"/>
      <c r="B17" s="1460" t="s">
        <v>832</v>
      </c>
      <c r="C17" s="1455"/>
      <c r="D17" s="1460" t="s">
        <v>849</v>
      </c>
      <c r="E17" s="1455"/>
      <c r="F17" s="1460" t="s">
        <v>845</v>
      </c>
      <c r="G17" s="1455"/>
      <c r="H17" s="1460" t="s">
        <v>834</v>
      </c>
      <c r="I17" s="1455"/>
      <c r="J17" s="1455"/>
      <c r="K17" s="1455"/>
      <c r="L17" s="1455"/>
      <c r="M17" s="1455"/>
      <c r="N17" s="1455"/>
      <c r="O17" s="1455"/>
      <c r="P17" s="1455"/>
      <c r="Q17" s="1453"/>
    </row>
    <row r="18" spans="1:17" ht="7.9" customHeight="1" thickTop="1">
      <c r="A18" s="1452"/>
      <c r="B18" s="1454"/>
      <c r="C18" s="1455"/>
      <c r="D18" s="1455"/>
      <c r="E18" s="1455"/>
      <c r="F18" s="1455"/>
      <c r="G18" s="1455"/>
      <c r="H18" s="1455"/>
      <c r="I18" s="1455"/>
      <c r="J18" s="1455"/>
      <c r="K18" s="1455"/>
      <c r="L18" s="1455"/>
      <c r="M18" s="1455"/>
      <c r="N18" s="1455"/>
      <c r="O18" s="1455"/>
      <c r="P18" s="1455"/>
      <c r="Q18" s="1453"/>
    </row>
    <row r="19" spans="1:17" ht="19.899999999999999" customHeight="1" thickBot="1">
      <c r="A19" s="1452"/>
      <c r="B19" s="1458" t="s">
        <v>840</v>
      </c>
      <c r="C19" s="1455"/>
      <c r="D19" s="1455"/>
      <c r="E19" s="1455"/>
      <c r="F19" s="1455"/>
      <c r="G19" s="1455"/>
      <c r="H19" s="1455"/>
      <c r="I19" s="1455"/>
      <c r="J19" s="1541" t="s">
        <v>873</v>
      </c>
      <c r="K19" s="1541"/>
      <c r="L19" s="1541"/>
      <c r="M19" s="1541"/>
      <c r="N19" s="1541"/>
      <c r="O19" s="1541"/>
      <c r="P19" s="1541"/>
      <c r="Q19" s="1453"/>
    </row>
    <row r="20" spans="1:17" ht="25.15" customHeight="1" thickTop="1" thickBot="1">
      <c r="A20" s="1452"/>
      <c r="B20" s="1460" t="s">
        <v>832</v>
      </c>
      <c r="C20" s="1455"/>
      <c r="D20" s="1460" t="s">
        <v>845</v>
      </c>
      <c r="E20" s="1455"/>
      <c r="F20" s="1460" t="s">
        <v>834</v>
      </c>
      <c r="G20" s="1455"/>
      <c r="H20" s="1455"/>
      <c r="I20" s="1455"/>
      <c r="J20" s="1455"/>
      <c r="K20" s="1455"/>
      <c r="L20" s="1460" t="s">
        <v>841</v>
      </c>
      <c r="M20" s="1455"/>
      <c r="N20" s="1460" t="s">
        <v>842</v>
      </c>
      <c r="O20" s="1455"/>
      <c r="P20" s="1455"/>
      <c r="Q20" s="1453"/>
    </row>
    <row r="21" spans="1:17" ht="7.9" customHeight="1" thickTop="1">
      <c r="A21" s="1452"/>
      <c r="B21" s="1454"/>
      <c r="C21" s="1455"/>
      <c r="D21" s="1455"/>
      <c r="E21" s="1455"/>
      <c r="F21" s="1455"/>
      <c r="G21" s="1455"/>
      <c r="H21" s="1455"/>
      <c r="I21" s="1455"/>
      <c r="J21" s="1452"/>
      <c r="K21" s="1452"/>
      <c r="L21" s="1452"/>
      <c r="M21" s="1452"/>
      <c r="N21" s="1452"/>
      <c r="O21" s="1452"/>
      <c r="P21" s="1452"/>
      <c r="Q21" s="1453"/>
    </row>
    <row r="22" spans="1:17" ht="19.899999999999999" customHeight="1" thickBot="1">
      <c r="A22" s="1452"/>
      <c r="B22" s="1458" t="s">
        <v>844</v>
      </c>
      <c r="C22" s="1455"/>
      <c r="D22" s="1455"/>
      <c r="E22" s="1455"/>
      <c r="F22" s="1455"/>
      <c r="G22" s="1455"/>
      <c r="H22" s="1455"/>
      <c r="I22" s="1455"/>
      <c r="J22" s="1452"/>
      <c r="K22" s="1452"/>
      <c r="L22" s="1452"/>
      <c r="M22" s="1452"/>
      <c r="N22" s="1452"/>
      <c r="O22" s="1452"/>
      <c r="P22" s="1452"/>
      <c r="Q22" s="1453"/>
    </row>
    <row r="23" spans="1:17" ht="25.15" customHeight="1" thickTop="1" thickBot="1">
      <c r="A23" s="1452"/>
      <c r="B23" s="1460" t="s">
        <v>832</v>
      </c>
      <c r="C23" s="1455"/>
      <c r="D23" s="1460" t="s">
        <v>845</v>
      </c>
      <c r="E23" s="1455"/>
      <c r="F23" s="1460" t="s">
        <v>834</v>
      </c>
      <c r="G23" s="1455"/>
      <c r="H23" s="1455"/>
      <c r="I23" s="1455"/>
      <c r="J23" s="1452"/>
      <c r="K23" s="1452"/>
      <c r="L23" s="1452"/>
      <c r="M23" s="1452"/>
      <c r="N23" s="1452"/>
      <c r="O23" s="1452"/>
      <c r="P23" s="1452"/>
      <c r="Q23" s="1453"/>
    </row>
    <row r="24" spans="1:17" ht="7.9" customHeight="1" thickTop="1">
      <c r="A24" s="1452"/>
      <c r="B24" s="1452"/>
      <c r="C24" s="1452"/>
      <c r="D24" s="1452"/>
      <c r="E24" s="1452"/>
      <c r="F24" s="1452"/>
      <c r="G24" s="1452"/>
      <c r="H24" s="1452"/>
      <c r="I24" s="1452"/>
      <c r="J24" s="1452"/>
      <c r="K24" s="1452"/>
      <c r="L24" s="1452"/>
      <c r="M24" s="1452"/>
      <c r="N24" s="1452"/>
      <c r="O24" s="1452"/>
      <c r="P24" s="1452"/>
      <c r="Q24" s="1452"/>
    </row>
    <row r="25" spans="1:17" ht="19.899999999999999" customHeight="1" thickBot="1">
      <c r="A25" s="1452"/>
      <c r="B25" s="1458" t="s">
        <v>935</v>
      </c>
      <c r="C25" s="1455"/>
      <c r="D25" s="1455"/>
      <c r="E25" s="1455"/>
      <c r="F25" s="1455"/>
      <c r="G25" s="1455"/>
      <c r="H25" s="1455"/>
      <c r="I25" s="1455"/>
      <c r="J25" s="1452"/>
      <c r="K25" s="1452"/>
      <c r="L25" s="1452"/>
      <c r="M25" s="1452"/>
      <c r="N25" s="1452"/>
      <c r="O25" s="1452"/>
      <c r="P25" s="1452"/>
      <c r="Q25" s="1453"/>
    </row>
    <row r="26" spans="1:17" ht="25.15" customHeight="1" thickTop="1" thickBot="1">
      <c r="A26" s="1452"/>
      <c r="B26" s="1460" t="s">
        <v>832</v>
      </c>
      <c r="C26" s="1455"/>
      <c r="D26" s="1460" t="s">
        <v>849</v>
      </c>
      <c r="E26" s="1455"/>
      <c r="F26" s="1460" t="s">
        <v>845</v>
      </c>
      <c r="G26" s="1455"/>
      <c r="H26" s="1460" t="s">
        <v>834</v>
      </c>
      <c r="I26" s="1455"/>
      <c r="J26" s="1452"/>
      <c r="K26" s="1452"/>
      <c r="L26" s="1452"/>
      <c r="M26" s="1452"/>
      <c r="N26" s="1452"/>
      <c r="O26" s="1452"/>
      <c r="P26" s="1452"/>
      <c r="Q26" s="1453"/>
    </row>
    <row r="27" spans="1:17" ht="7.9" customHeight="1" thickTop="1">
      <c r="A27" s="1452"/>
      <c r="B27" s="1452"/>
      <c r="C27" s="1452"/>
      <c r="D27" s="1452"/>
      <c r="E27" s="1452"/>
      <c r="F27" s="1452"/>
      <c r="G27" s="1452"/>
      <c r="H27" s="1452"/>
      <c r="I27" s="1452"/>
      <c r="J27" s="1452"/>
      <c r="K27" s="1452"/>
      <c r="L27" s="1452"/>
      <c r="M27" s="1452"/>
      <c r="N27" s="1452"/>
      <c r="O27" s="1452"/>
      <c r="P27" s="1452"/>
      <c r="Q27" s="1452"/>
    </row>
    <row r="28" spans="1:17" ht="19.899999999999999" customHeight="1">
      <c r="A28" s="1452"/>
      <c r="B28" s="1452"/>
      <c r="C28" s="1452"/>
      <c r="D28" s="1452"/>
      <c r="E28" s="1452"/>
      <c r="F28" s="1452"/>
      <c r="G28" s="1452"/>
      <c r="H28" s="1452"/>
      <c r="I28" s="1452"/>
      <c r="J28" s="1452"/>
      <c r="K28" s="1452"/>
      <c r="L28" s="1452"/>
      <c r="M28" s="1452"/>
      <c r="N28" s="1452"/>
      <c r="O28" s="1452"/>
      <c r="P28" s="1452"/>
      <c r="Q28" s="1452"/>
    </row>
  </sheetData>
  <mergeCells count="5">
    <mergeCell ref="J19:P19"/>
    <mergeCell ref="E2:M2"/>
    <mergeCell ref="E3:M3"/>
    <mergeCell ref="E4:M4"/>
    <mergeCell ref="J12:P15"/>
  </mergeCells>
  <hyperlinks>
    <hyperlink ref="B8" location="'E1 BANDEIRA'!A1" display="Premissas" xr:uid="{A98769FA-BECA-4917-8245-74A8E35FB5F6}"/>
    <hyperlink ref="D8" location="'E1 9 R2 EE'!A1" display="Composição" xr:uid="{AA5C04F8-0EF9-499C-9C2F-813B53B672AA}"/>
    <hyperlink ref="F8" location="'E1 R2 deseq'!A1" display="Fluxo desequilibrado" xr:uid="{2D95C978-BAB0-49E6-947F-F512CC72A2A6}"/>
    <hyperlink ref="H8" location="'E1 R2 reeq'!A1" display="Reequilíbrio" xr:uid="{25DD3432-BB36-47CE-B57B-D0B1F5DE0D86}"/>
    <hyperlink ref="B11" location="'E2 VALE PASSAROS'!A1" display="Premissas" xr:uid="{205972B3-4C33-4ECD-AA26-49631F459D49}"/>
    <hyperlink ref="F11" location="'E2 R2 deseq'!A1" display="Fluxo desequilibrado" xr:uid="{98F9180F-B050-4D49-A691-D2628F2B02A0}"/>
    <hyperlink ref="H11" location="'E2 R2 reeq'!A1" display="Reequilíbrio" xr:uid="{90875372-0A28-4DAD-A5CD-3709D58CED6F}"/>
    <hyperlink ref="B14" location="'E3 DIST INDL'!A1" display="Premissas" xr:uid="{C9F9ED7E-BA66-4322-89D0-967486A288C5}"/>
    <hyperlink ref="F14" location="'E3 R2 deseq'!A1" display="Fluxo desequilibrado" xr:uid="{8A5C766D-262A-445E-9499-97FF92F267F5}"/>
    <hyperlink ref="H14" location="'E3 R2 reeq'!A1" display="Reequilíbrio" xr:uid="{BC449BF9-31DA-4609-A703-68E3D589D94B}"/>
    <hyperlink ref="B17" location="'E4 CLORO'!A1" display="Premissas" xr:uid="{352336B6-58B9-4BF9-BB29-09BEC6D0B6C7}"/>
    <hyperlink ref="F17" location="'E4 R2 deseq'!A1" display="Fluxo desequilibrado" xr:uid="{27EEE4EA-A990-45C4-9B9E-1B57A2C72A0F}"/>
    <hyperlink ref="H17" location="'E4 R2 reeq'!A1" display="Reequilíbrio" xr:uid="{F5F6CBAB-694F-4A2D-A820-157840A71314}"/>
    <hyperlink ref="B20" location="'E5 CAPEX'!A1" display="Premissas" xr:uid="{7C4FD115-23A6-4F7E-97DC-59F96A8B2F01}"/>
    <hyperlink ref="D20" location="'E5 R2 deseq'!A1" display="Fluxo desequilibrado" xr:uid="{CD7C1385-1697-41CB-873E-549A7E2E0862}"/>
    <hyperlink ref="F20" location="'E5 R2 reeq'!A1" display="Reequilíbrio" xr:uid="{AD221165-E607-4C78-8A49-24005F051F9F}"/>
    <hyperlink ref="B23" location="'E6 RECEITA'!A1" display="Premissas" xr:uid="{29362578-8A55-4B4F-B2B1-A2756F380C19}"/>
    <hyperlink ref="D23" location="'E6 R2 deseq'!A1" display="Fluxo desequilibrado" xr:uid="{37BF48DB-29B5-49A3-9A03-854778E2AE99}"/>
    <hyperlink ref="F23" location="'E6 R2 reeq'!A1" display="Reequilíbrio" xr:uid="{8646E598-B3D6-4580-84AF-EA58319F9F27}"/>
    <hyperlink ref="J8" location="'COMB A'!A1" display="Composição" xr:uid="{119D9D3F-3BD3-4F48-BD12-F4C6BEC6E16F}"/>
    <hyperlink ref="N8" location="'COMB A R2 deseq'!A1" display="Fluxo desequilibrado" xr:uid="{22BD1137-9DF4-4108-A06F-9F74BB768EA8}"/>
    <hyperlink ref="P8" location="'COMB A R2 reeq'!A1" display="Reequilíbrio" xr:uid="{756A8C10-F960-4E88-B811-F01F5E943676}"/>
    <hyperlink ref="L20" location="Tarifas!A1" display="Tarifas" xr:uid="{8AED4AD3-463F-42CB-84DC-9D46ADAA2358}"/>
    <hyperlink ref="N20" location="Serviços!A1" display="Serviços" xr:uid="{1C939CF3-497F-4C7D-84A5-A877D2F21A43}"/>
    <hyperlink ref="D11" location="'E2 R2 DEPR'!A1" display="Depreciação" xr:uid="{4FA53ADD-3C07-4F5B-B01F-73EAC5F9E6EA}"/>
    <hyperlink ref="D14" location="'E3 R2 DEPR'!A1" display="Depreciação" xr:uid="{2150891E-AE75-4E7D-88E0-7BF76A34DDB0}"/>
    <hyperlink ref="D17" location="'E4 R2 DEPR'!A1" display="Depreciação" xr:uid="{1E63519D-2430-425B-81AE-F9B44F34011D}"/>
    <hyperlink ref="L8" location="'COMB A DEPR'!A1" display="Depreciação" xr:uid="{FE57C8AD-66A6-4B4A-9FA7-7FC27CF43DFB}"/>
    <hyperlink ref="J12:P15" location="EVENTOS!A1" display="Resumo de Eventos e Combinações" xr:uid="{8A8F1BE8-FC29-4165-8C1C-A5E002E71415}"/>
    <hyperlink ref="B26" location="'E7 Reprog Inv Esg'!A1" display="Premissas" xr:uid="{7EF1903B-9CA7-4199-BB22-A4CAEEF91848}"/>
    <hyperlink ref="F26" location="'E7 R2 deseq'!A1" display="Fluxo desequilibrado" xr:uid="{E6DA2E83-2015-4D9D-B1B1-61478C0E05A5}"/>
    <hyperlink ref="H26" location="'E7 R2 reeq'!A1" display="Reequilíbrio" xr:uid="{1306AEC0-22B0-41BB-8A1D-110C5CF63A8D}"/>
    <hyperlink ref="D26" location="'E7 R2 DEPR'!A1" display="Depreciação" xr:uid="{DA9DEFDC-48A2-49CA-8DD5-EB8300C348AC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28CAA-B10D-45BC-82C3-3FD2382EACC0}">
  <sheetPr>
    <tabColor theme="8"/>
  </sheetPr>
  <dimension ref="A2:AJ67"/>
  <sheetViews>
    <sheetView showGridLines="0" zoomScale="70" zoomScaleNormal="70" workbookViewId="0">
      <selection activeCell="D4" sqref="D4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727</v>
      </c>
      <c r="D2" s="1238" t="s">
        <v>713</v>
      </c>
    </row>
    <row r="3" spans="1:33" ht="23.25">
      <c r="B3" s="1236" t="s">
        <v>716</v>
      </c>
      <c r="D3" s="1239">
        <v>2.5000000000000001E-2</v>
      </c>
    </row>
    <row r="5" spans="1:33">
      <c r="D5" s="1237">
        <f>C57</f>
        <v>0.12026572732016327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112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2">
        <f t="shared" si="0"/>
        <v>4175542.4539493318</v>
      </c>
      <c r="L9" s="1211">
        <f t="shared" si="0"/>
        <v>4302328.2659045151</v>
      </c>
      <c r="M9" s="1211">
        <f t="shared" si="0"/>
        <v>4504256.7450353736</v>
      </c>
      <c r="N9" s="1211">
        <f t="shared" si="0"/>
        <v>4810357.474319526</v>
      </c>
      <c r="O9" s="1211">
        <f t="shared" si="0"/>
        <v>4813408.8501286656</v>
      </c>
      <c r="P9" s="1211">
        <f t="shared" si="0"/>
        <v>4820283.0924346736</v>
      </c>
      <c r="Q9" s="1211">
        <f t="shared" si="0"/>
        <v>4827705.1869906811</v>
      </c>
      <c r="R9" s="1211">
        <f t="shared" si="0"/>
        <v>4834006.5757711856</v>
      </c>
      <c r="S9" s="1211">
        <f t="shared" si="0"/>
        <v>4807959.6395261912</v>
      </c>
      <c r="T9" s="1211">
        <f t="shared" si="0"/>
        <v>4813688.1747811968</v>
      </c>
      <c r="U9" s="1211">
        <f t="shared" si="0"/>
        <v>4819416.7100362014</v>
      </c>
      <c r="V9" s="1211">
        <f t="shared" si="0"/>
        <v>4824572.3917657081</v>
      </c>
      <c r="W9" s="1211">
        <f t="shared" si="0"/>
        <v>4830873.7805462154</v>
      </c>
      <c r="X9" s="1211">
        <f t="shared" si="0"/>
        <v>4837175.1693267198</v>
      </c>
      <c r="Y9" s="1211">
        <f t="shared" si="0"/>
        <v>4841757.9975307249</v>
      </c>
      <c r="Z9" s="1211">
        <f t="shared" si="0"/>
        <v>4846340.8257347299</v>
      </c>
      <c r="AA9" s="1211">
        <f t="shared" si="0"/>
        <v>4850923.653938734</v>
      </c>
      <c r="AB9" s="1211">
        <f t="shared" si="0"/>
        <v>4856652.1891937405</v>
      </c>
      <c r="AC9" s="1211">
        <f t="shared" si="0"/>
        <v>4862380.7244487451</v>
      </c>
      <c r="AD9" s="1211">
        <f t="shared" si="0"/>
        <v>4867536.40617825</v>
      </c>
      <c r="AE9" s="1211">
        <f t="shared" si="0"/>
        <v>4873264.9414332565</v>
      </c>
      <c r="AF9" s="1211">
        <f t="shared" si="0"/>
        <v>4877274.9161117608</v>
      </c>
      <c r="AG9" s="1213">
        <f t="shared" ref="AG9:AG17" si="1">SUM(C9:AF9)</f>
        <v>129542902.9132596</v>
      </c>
    </row>
    <row r="10" spans="1:33" ht="20.25" customHeight="1">
      <c r="B10" s="1143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14">
        <f>(1+$D$3)*'R1 DRE'!K5</f>
        <v>2292246.0008849767</v>
      </c>
      <c r="L10" s="1222">
        <f>(1+$D$3)*('R1 DRE'!L5+'E2 VALE PASSAROS'!B45)</f>
        <v>2316792.2612903398</v>
      </c>
      <c r="M10" s="1222">
        <f>(1+$D$3)*('R1 DRE'!M5+'E2 VALE PASSAROS'!C45)</f>
        <v>2316596.5316090025</v>
      </c>
      <c r="N10" s="1222">
        <f>(1+$D$3)*('R1 DRE'!N5+'E2 VALE PASSAROS'!D45)</f>
        <v>2318276.8625002541</v>
      </c>
      <c r="O10" s="1222">
        <f>(1+$D$3)*('R1 DRE'!O5+'E2 VALE PASSAROS'!E45)</f>
        <v>2317784.1269500684</v>
      </c>
      <c r="P10" s="1222">
        <f>(1+$D$3)*('R1 DRE'!P5+'E2 VALE PASSAROS'!F45)</f>
        <v>2321070.9834537101</v>
      </c>
      <c r="Q10" s="1222">
        <f>(1+$D$3)*('R1 DRE'!Q5+'E2 VALE PASSAROS'!G45)</f>
        <v>2324905.6922073523</v>
      </c>
      <c r="R10" s="1222">
        <f>(1+$D$3)*('R1 DRE'!R5+'E2 VALE PASSAROS'!H45)</f>
        <v>2327918.6440023566</v>
      </c>
      <c r="S10" s="1222">
        <f>(1+$D$3)*('R1 DRE'!S5+'E2 VALE PASSAROS'!I45)</f>
        <v>2298882.2195887244</v>
      </c>
      <c r="T10" s="1222">
        <f>(1+$D$3)*('R1 DRE'!T5+'E2 VALE PASSAROS'!J45)</f>
        <v>2301621.2666750927</v>
      </c>
      <c r="U10" s="1222">
        <f>(1+$D$3)*('R1 DRE'!U5+'E2 VALE PASSAROS'!K45)</f>
        <v>2304360.3137614601</v>
      </c>
      <c r="V10" s="1222">
        <f>(1+$D$3)*('R1 DRE'!V5+'E2 VALE PASSAROS'!L45)</f>
        <v>2306825.456139192</v>
      </c>
      <c r="W10" s="1222">
        <f>(1+$D$3)*('R1 DRE'!W5+'E2 VALE PASSAROS'!M45)</f>
        <v>2309838.4079341977</v>
      </c>
      <c r="X10" s="1222">
        <f>(1+$D$3)*('R1 DRE'!X5+'E2 VALE PASSAROS'!N45)</f>
        <v>2312851.3597292015</v>
      </c>
      <c r="Y10" s="1222">
        <f>(1+$D$3)*('R1 DRE'!Y5+'E2 VALE PASSAROS'!O45)</f>
        <v>2315042.5973982965</v>
      </c>
      <c r="Z10" s="1222">
        <f>(1+$D$3)*('R1 DRE'!Z5+'E2 VALE PASSAROS'!P45)</f>
        <v>2317233.8350673909</v>
      </c>
      <c r="AA10" s="1222">
        <f>(1+$D$3)*('R1 DRE'!AA5+'E2 VALE PASSAROS'!Q45)</f>
        <v>2319425.0727364854</v>
      </c>
      <c r="AB10" s="1222">
        <f>(1+$D$3)*('R1 DRE'!AB5+'E2 VALE PASSAROS'!R45)</f>
        <v>2322164.1198228537</v>
      </c>
      <c r="AC10" s="1222">
        <f>(1+$D$3)*('R1 DRE'!AC5+'E2 VALE PASSAROS'!S45)</f>
        <v>2324903.1669092211</v>
      </c>
      <c r="AD10" s="1222">
        <f>(1+$D$3)*('R1 DRE'!AD5+'E2 VALE PASSAROS'!T45)</f>
        <v>2327368.3092869525</v>
      </c>
      <c r="AE10" s="1222">
        <f>(1+$D$3)*('R1 DRE'!AE5+'E2 VALE PASSAROS'!U45)</f>
        <v>2330107.3563733208</v>
      </c>
      <c r="AF10" s="1222">
        <f>(1+$D$3)*('R1 DRE'!AF5+'E2 VALE PASSAROS'!V45)</f>
        <v>2332024.6893337788</v>
      </c>
      <c r="AG10" s="1213">
        <f t="shared" si="1"/>
        <v>66346137.116614535</v>
      </c>
    </row>
    <row r="11" spans="1:33" ht="20.25" customHeight="1">
      <c r="B11" s="1143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14">
        <f>(1+$D$3)*'R1 DRE'!K6</f>
        <v>1841954.4485698072</v>
      </c>
      <c r="L11" s="1222">
        <f>(1+$D$3)*('R1 DRE'!L6+'E2 VALE PASSAROS'!B46)</f>
        <v>1943231.6065606649</v>
      </c>
      <c r="M11" s="1222">
        <f>(1+$D$3)*('R1 DRE'!M6+'E2 VALE PASSAROS'!C46)</f>
        <v>2143361.9477799819</v>
      </c>
      <c r="N11" s="1222">
        <f>(1+$D$3)*('R1 DRE'!N6+'E2 VALE PASSAROS'!D46)</f>
        <v>2444757.0701626427</v>
      </c>
      <c r="O11" s="1222">
        <f>(1+$D$3)*('R1 DRE'!O6+'E2 VALE PASSAROS'!E46)</f>
        <v>2448276.3941599973</v>
      </c>
      <c r="P11" s="1222">
        <f>(1+$D$3)*('R1 DRE'!P6+'E2 VALE PASSAROS'!F46)</f>
        <v>2451795.7181573524</v>
      </c>
      <c r="Q11" s="1222">
        <f>(1+$D$3)*('R1 DRE'!Q6+'E2 VALE PASSAROS'!G46)</f>
        <v>2455315.0421547084</v>
      </c>
      <c r="R11" s="1222">
        <f>(1+$D$3)*('R1 DRE'!R6+'E2 VALE PASSAROS'!H46)</f>
        <v>2458541.089152283</v>
      </c>
      <c r="S11" s="1222">
        <f>(1+$D$3)*('R1 DRE'!S6+'E2 VALE PASSAROS'!I46)</f>
        <v>2461473.8591500791</v>
      </c>
      <c r="T11" s="1222">
        <f>(1+$D$3)*('R1 DRE'!T6+'E2 VALE PASSAROS'!J46)</f>
        <v>2464406.6291478747</v>
      </c>
      <c r="U11" s="1222">
        <f>(1+$D$3)*('R1 DRE'!U6+'E2 VALE PASSAROS'!K46)</f>
        <v>2467339.3991456702</v>
      </c>
      <c r="V11" s="1222">
        <f>(1+$D$3)*('R1 DRE'!V6+'E2 VALE PASSAROS'!L46)</f>
        <v>2469978.8921436872</v>
      </c>
      <c r="W11" s="1222">
        <f>(1+$D$3)*('R1 DRE'!W6+'E2 VALE PASSAROS'!M46)</f>
        <v>2473204.9391412633</v>
      </c>
      <c r="X11" s="1222">
        <f>(1+$D$3)*('R1 DRE'!X6+'E2 VALE PASSAROS'!N46)</f>
        <v>2476430.9861388383</v>
      </c>
      <c r="Y11" s="1222">
        <f>(1+$D$3)*('R1 DRE'!Y6+'E2 VALE PASSAROS'!O46)</f>
        <v>2478777.2021370754</v>
      </c>
      <c r="Z11" s="1222">
        <f>(1+$D$3)*('R1 DRE'!Z6+'E2 VALE PASSAROS'!P46)</f>
        <v>2481123.4181353115</v>
      </c>
      <c r="AA11" s="1222">
        <f>(1+$D$3)*('R1 DRE'!AA6+'E2 VALE PASSAROS'!Q46)</f>
        <v>2483469.634133548</v>
      </c>
      <c r="AB11" s="1222">
        <f>(1+$D$3)*('R1 DRE'!AB6+'E2 VALE PASSAROS'!R46)</f>
        <v>2486402.404131345</v>
      </c>
      <c r="AC11" s="1222">
        <f>(1+$D$3)*('R1 DRE'!AC6+'E2 VALE PASSAROS'!S46)</f>
        <v>2489335.1741291396</v>
      </c>
      <c r="AD11" s="1222">
        <f>(1+$D$3)*('R1 DRE'!AD6+'E2 VALE PASSAROS'!T46)</f>
        <v>2491974.6671271557</v>
      </c>
      <c r="AE11" s="1222">
        <f>(1+$D$3)*('R1 DRE'!AE6+'E2 VALE PASSAROS'!U46)</f>
        <v>2494907.4371249527</v>
      </c>
      <c r="AF11" s="1222">
        <f>(1+$D$3)*('R1 DRE'!AF6+'E2 VALE PASSAROS'!V46)</f>
        <v>2496960.3761234097</v>
      </c>
      <c r="AG11" s="1213">
        <f t="shared" si="1"/>
        <v>61867508.77003032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14">
        <f>(1+$D$3)*'R1 DRE'!K7</f>
        <v>41342.004494547837</v>
      </c>
      <c r="L12" s="1214">
        <f>(1+$D$3)*'R1 DRE'!L7</f>
        <v>42304.398053510049</v>
      </c>
      <c r="M12" s="1214">
        <f>(1+$D$3)*'R1 DRE'!M7</f>
        <v>44298.265646389846</v>
      </c>
      <c r="N12" s="1214">
        <f>(1+$D$3)*'R1 DRE'!N7</f>
        <v>47323.541656628971</v>
      </c>
      <c r="O12" s="1214">
        <f>(1+$D$3)*'R1 DRE'!O7</f>
        <v>47348.329018600649</v>
      </c>
      <c r="P12" s="1214">
        <f>(1+$D$3)*'R1 DRE'!P7</f>
        <v>47416.390823610622</v>
      </c>
      <c r="Q12" s="1214">
        <f>(1+$D$3)*'R1 DRE'!Q7</f>
        <v>47484.452628620602</v>
      </c>
      <c r="R12" s="1214">
        <f>(1+$D$3)*'R1 DRE'!R7</f>
        <v>47546.84261654639</v>
      </c>
      <c r="S12" s="1214">
        <f>(1+$D$3)*'R1 DRE'!S7</f>
        <v>47603.560787388036</v>
      </c>
      <c r="T12" s="1214">
        <f>(1+$D$3)*'R1 DRE'!T7</f>
        <v>47660.278958229675</v>
      </c>
      <c r="U12" s="1214">
        <f>(1+$D$3)*'R1 DRE'!U7</f>
        <v>47716.997129071293</v>
      </c>
      <c r="V12" s="1214">
        <f>(1+$D$3)*'R1 DRE'!V7</f>
        <v>47768.043482828791</v>
      </c>
      <c r="W12" s="1214">
        <f>(1+$D$3)*'R1 DRE'!W7</f>
        <v>47830.433470754608</v>
      </c>
      <c r="X12" s="1214">
        <f>(1+$D$3)*'R1 DRE'!X7</f>
        <v>47892.823458680396</v>
      </c>
      <c r="Y12" s="1214">
        <f>(1+$D$3)*'R1 DRE'!Y7</f>
        <v>47938.197995353716</v>
      </c>
      <c r="Z12" s="1214">
        <f>(1+$D$3)*'R1 DRE'!Z7</f>
        <v>47983.572532027029</v>
      </c>
      <c r="AA12" s="1214">
        <f>(1+$D$3)*'R1 DRE'!AA7</f>
        <v>48028.947068700341</v>
      </c>
      <c r="AB12" s="1214">
        <f>(1+$D$3)*'R1 DRE'!AB7</f>
        <v>48085.665239541981</v>
      </c>
      <c r="AC12" s="1214">
        <f>(1+$D$3)*'R1 DRE'!AC7</f>
        <v>48142.383410383605</v>
      </c>
      <c r="AD12" s="1214">
        <f>(1+$D$3)*'R1 DRE'!AD7</f>
        <v>48193.429764141089</v>
      </c>
      <c r="AE12" s="1214">
        <f>(1+$D$3)*'R1 DRE'!AE7</f>
        <v>48250.147934982742</v>
      </c>
      <c r="AF12" s="1214">
        <f>(1+$D$3)*'R1 DRE'!AF7</f>
        <v>48289.850654571892</v>
      </c>
      <c r="AG12" s="1213">
        <f t="shared" si="1"/>
        <v>1329257.0266147102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2">-SUM(D14:D15)</f>
        <v>-234617.19486967311</v>
      </c>
      <c r="E13" s="1212">
        <f t="shared" si="2"/>
        <v>-255067.11447188459</v>
      </c>
      <c r="F13" s="1212">
        <f t="shared" si="2"/>
        <v>-266470.53804765607</v>
      </c>
      <c r="G13" s="1212">
        <f t="shared" si="2"/>
        <v>-277240.35544356558</v>
      </c>
      <c r="H13" s="1212">
        <f t="shared" si="2"/>
        <v>-305292.86829691898</v>
      </c>
      <c r="I13" s="1212">
        <f t="shared" si="2"/>
        <v>-343021.62437981495</v>
      </c>
      <c r="J13" s="1212">
        <f t="shared" si="2"/>
        <v>-370742.7283114891</v>
      </c>
      <c r="K13" s="1212">
        <f t="shared" si="2"/>
        <v>-386237.67699031322</v>
      </c>
      <c r="L13" s="1212">
        <f t="shared" si="2"/>
        <v>-397965.36459616764</v>
      </c>
      <c r="M13" s="1212">
        <f t="shared" si="2"/>
        <v>-416643.74891577207</v>
      </c>
      <c r="N13" s="1212">
        <f t="shared" si="2"/>
        <v>-444958.06637455616</v>
      </c>
      <c r="O13" s="1212">
        <f t="shared" si="2"/>
        <v>-445240.31863690156</v>
      </c>
      <c r="P13" s="1212">
        <f t="shared" si="2"/>
        <v>-445876.1860502073</v>
      </c>
      <c r="Q13" s="1212">
        <f t="shared" si="2"/>
        <v>-446562.72979663801</v>
      </c>
      <c r="R13" s="1212">
        <f t="shared" si="2"/>
        <v>-447145.60825883469</v>
      </c>
      <c r="S13" s="1212">
        <f t="shared" si="2"/>
        <v>-444736.26665617269</v>
      </c>
      <c r="T13" s="1212">
        <f t="shared" si="2"/>
        <v>-445266.15616726072</v>
      </c>
      <c r="U13" s="1212">
        <f t="shared" si="2"/>
        <v>-445796.04567834863</v>
      </c>
      <c r="V13" s="1212">
        <f t="shared" si="2"/>
        <v>-446272.946238328</v>
      </c>
      <c r="W13" s="1212">
        <f t="shared" si="2"/>
        <v>-446855.82470052491</v>
      </c>
      <c r="X13" s="1212">
        <f t="shared" si="2"/>
        <v>-447438.70316272159</v>
      </c>
      <c r="Y13" s="1212">
        <f t="shared" si="2"/>
        <v>-447862.61477159202</v>
      </c>
      <c r="Z13" s="1212">
        <f t="shared" si="2"/>
        <v>-448286.52638046251</v>
      </c>
      <c r="AA13" s="1212">
        <f t="shared" si="2"/>
        <v>-448710.43798933289</v>
      </c>
      <c r="AB13" s="1212">
        <f t="shared" si="2"/>
        <v>-449240.32750042103</v>
      </c>
      <c r="AC13" s="1212">
        <f t="shared" si="2"/>
        <v>-449770.21701150894</v>
      </c>
      <c r="AD13" s="1212">
        <f t="shared" si="2"/>
        <v>-450247.11757148808</v>
      </c>
      <c r="AE13" s="1212">
        <f t="shared" si="2"/>
        <v>-450777.00708257622</v>
      </c>
      <c r="AF13" s="1212">
        <f t="shared" si="2"/>
        <v>-451147.92974033783</v>
      </c>
      <c r="AG13" s="1213">
        <f t="shared" si="1"/>
        <v>-11934912.209132189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3">0.076*G9</f>
        <v>227786.67041849715</v>
      </c>
      <c r="H14" s="1214">
        <f t="shared" si="3"/>
        <v>250835.22151963072</v>
      </c>
      <c r="I14" s="1214">
        <f t="shared" si="3"/>
        <v>281833.98327422631</v>
      </c>
      <c r="J14" s="1214">
        <f t="shared" si="3"/>
        <v>304610.24163970997</v>
      </c>
      <c r="K14" s="1214">
        <f t="shared" si="3"/>
        <v>317341.22650014923</v>
      </c>
      <c r="L14" s="1214">
        <f t="shared" si="3"/>
        <v>326976.94820874312</v>
      </c>
      <c r="M14" s="1214">
        <f t="shared" si="3"/>
        <v>342323.51262268837</v>
      </c>
      <c r="N14" s="1214">
        <f t="shared" si="3"/>
        <v>365587.16804828396</v>
      </c>
      <c r="O14" s="1214">
        <f t="shared" si="3"/>
        <v>365819.07260977855</v>
      </c>
      <c r="P14" s="1214">
        <f t="shared" si="3"/>
        <v>366341.51502503519</v>
      </c>
      <c r="Q14" s="1214">
        <f t="shared" si="3"/>
        <v>366905.59421129175</v>
      </c>
      <c r="R14" s="1214">
        <f t="shared" si="3"/>
        <v>367384.49975861009</v>
      </c>
      <c r="S14" s="1214">
        <f t="shared" si="3"/>
        <v>365404.93260399054</v>
      </c>
      <c r="T14" s="1214">
        <f t="shared" si="3"/>
        <v>365840.30128337094</v>
      </c>
      <c r="U14" s="1214">
        <f t="shared" si="3"/>
        <v>366275.66996275127</v>
      </c>
      <c r="V14" s="1214">
        <f t="shared" si="3"/>
        <v>366667.50177419384</v>
      </c>
      <c r="W14" s="1214">
        <f t="shared" si="3"/>
        <v>367146.40732151235</v>
      </c>
      <c r="X14" s="1214">
        <f t="shared" si="3"/>
        <v>367625.31286883069</v>
      </c>
      <c r="Y14" s="1214">
        <f t="shared" si="3"/>
        <v>367973.60781233507</v>
      </c>
      <c r="Z14" s="1214">
        <f t="shared" si="3"/>
        <v>368321.90275583946</v>
      </c>
      <c r="AA14" s="1214">
        <f t="shared" si="3"/>
        <v>368670.19769934379</v>
      </c>
      <c r="AB14" s="1214">
        <f t="shared" si="3"/>
        <v>369105.5663787243</v>
      </c>
      <c r="AC14" s="1214">
        <f t="shared" si="3"/>
        <v>369540.93505810463</v>
      </c>
      <c r="AD14" s="1214">
        <f t="shared" si="3"/>
        <v>369932.76686954696</v>
      </c>
      <c r="AE14" s="1214">
        <f t="shared" si="3"/>
        <v>370368.13554892747</v>
      </c>
      <c r="AF14" s="1214">
        <f t="shared" si="3"/>
        <v>370672.89362449379</v>
      </c>
      <c r="AG14" s="1213">
        <f t="shared" si="1"/>
        <v>9805990.0020711236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4">0.0165*G9</f>
        <v>49453.685025068458</v>
      </c>
      <c r="H15" s="1214">
        <f t="shared" si="4"/>
        <v>54457.646777288253</v>
      </c>
      <c r="I15" s="1214">
        <f t="shared" si="4"/>
        <v>61187.641105588613</v>
      </c>
      <c r="J15" s="1214">
        <f t="shared" si="4"/>
        <v>66132.486671779145</v>
      </c>
      <c r="K15" s="1214">
        <f t="shared" si="4"/>
        <v>68896.450490163974</v>
      </c>
      <c r="L15" s="1214">
        <f t="shared" si="4"/>
        <v>70988.416387424499</v>
      </c>
      <c r="M15" s="1214">
        <f t="shared" si="4"/>
        <v>74320.236293083668</v>
      </c>
      <c r="N15" s="1214">
        <f t="shared" si="4"/>
        <v>79370.898326272189</v>
      </c>
      <c r="O15" s="1214">
        <f t="shared" si="4"/>
        <v>79421.246027122979</v>
      </c>
      <c r="P15" s="1214">
        <f t="shared" si="4"/>
        <v>79534.671025172123</v>
      </c>
      <c r="Q15" s="1214">
        <f t="shared" si="4"/>
        <v>79657.135585346245</v>
      </c>
      <c r="R15" s="1214">
        <f t="shared" si="4"/>
        <v>79761.108500224567</v>
      </c>
      <c r="S15" s="1214">
        <f t="shared" si="4"/>
        <v>79331.334052182152</v>
      </c>
      <c r="T15" s="1214">
        <f t="shared" si="4"/>
        <v>79425.854883889755</v>
      </c>
      <c r="U15" s="1214">
        <f t="shared" si="4"/>
        <v>79520.375715597329</v>
      </c>
      <c r="V15" s="1214">
        <f t="shared" si="4"/>
        <v>79605.444464134183</v>
      </c>
      <c r="W15" s="1214">
        <f t="shared" si="4"/>
        <v>79709.417379012564</v>
      </c>
      <c r="X15" s="1214">
        <f t="shared" si="4"/>
        <v>79813.390293890887</v>
      </c>
      <c r="Y15" s="1214">
        <f t="shared" si="4"/>
        <v>79889.006959256963</v>
      </c>
      <c r="Z15" s="1214">
        <f t="shared" si="4"/>
        <v>79964.62362462304</v>
      </c>
      <c r="AA15" s="1214">
        <f t="shared" si="4"/>
        <v>80040.240289989117</v>
      </c>
      <c r="AB15" s="1214">
        <f t="shared" si="4"/>
        <v>80134.76112169672</v>
      </c>
      <c r="AC15" s="1214">
        <f t="shared" si="4"/>
        <v>80229.281953404294</v>
      </c>
      <c r="AD15" s="1214">
        <f t="shared" si="4"/>
        <v>80314.350701941134</v>
      </c>
      <c r="AE15" s="1214">
        <f t="shared" si="4"/>
        <v>80408.871533648737</v>
      </c>
      <c r="AF15" s="1214">
        <f t="shared" si="4"/>
        <v>80475.03611584405</v>
      </c>
      <c r="AG15" s="1213">
        <f t="shared" si="1"/>
        <v>2128922.2070610654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1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5">D9+D13+D16</f>
        <v>2348736.4306745757</v>
      </c>
      <c r="E17" s="1212">
        <f t="shared" si="5"/>
        <v>2607846.6711710477</v>
      </c>
      <c r="F17" s="1212">
        <f t="shared" si="5"/>
        <v>2673176.6493209945</v>
      </c>
      <c r="G17" s="1212">
        <f t="shared" si="5"/>
        <v>2744549.5840927921</v>
      </c>
      <c r="H17" s="1212">
        <f t="shared" si="5"/>
        <v>3009978.9826078052</v>
      </c>
      <c r="I17" s="1212">
        <f t="shared" si="5"/>
        <v>3344926.3386004027</v>
      </c>
      <c r="J17" s="1212">
        <f t="shared" si="5"/>
        <v>3622302.386444245</v>
      </c>
      <c r="K17" s="1212">
        <f t="shared" si="5"/>
        <v>3786021.2539683594</v>
      </c>
      <c r="L17" s="1212">
        <f t="shared" si="5"/>
        <v>3899621.3525544363</v>
      </c>
      <c r="M17" s="1212">
        <f t="shared" si="5"/>
        <v>4077789.550905901</v>
      </c>
      <c r="N17" s="1212">
        <f t="shared" si="5"/>
        <v>4350494.3895530598</v>
      </c>
      <c r="O17" s="1212">
        <f t="shared" si="5"/>
        <v>4368046.4083913183</v>
      </c>
      <c r="P17" s="1212">
        <f t="shared" si="5"/>
        <v>4374071.5774914902</v>
      </c>
      <c r="Q17" s="1212">
        <f t="shared" si="5"/>
        <v>4380807.1283010673</v>
      </c>
      <c r="R17" s="1212">
        <f t="shared" si="5"/>
        <v>4386553.5826937901</v>
      </c>
      <c r="S17" s="1212">
        <f t="shared" si="5"/>
        <v>4362943.932125872</v>
      </c>
      <c r="T17" s="1212">
        <f t="shared" si="5"/>
        <v>4368142.5778697897</v>
      </c>
      <c r="U17" s="1212">
        <f t="shared" si="5"/>
        <v>4373341.2236137064</v>
      </c>
      <c r="V17" s="1212">
        <f t="shared" si="5"/>
        <v>4378047.9488576483</v>
      </c>
      <c r="W17" s="1212">
        <f t="shared" si="5"/>
        <v>4383710.571027129</v>
      </c>
      <c r="X17" s="1212">
        <f t="shared" si="5"/>
        <v>4389429.0813454371</v>
      </c>
      <c r="Y17" s="1212">
        <f t="shared" si="5"/>
        <v>4393671.8301638151</v>
      </c>
      <c r="Z17" s="1212">
        <f t="shared" si="5"/>
        <v>4397830.7467589499</v>
      </c>
      <c r="AA17" s="1212">
        <f t="shared" si="5"/>
        <v>4401989.6633540839</v>
      </c>
      <c r="AB17" s="1212">
        <f t="shared" si="5"/>
        <v>4407132.4209491732</v>
      </c>
      <c r="AC17" s="1212">
        <f t="shared" si="5"/>
        <v>4412331.0666930908</v>
      </c>
      <c r="AD17" s="1212">
        <f t="shared" si="5"/>
        <v>4417037.7919370299</v>
      </c>
      <c r="AE17" s="1212">
        <f t="shared" si="5"/>
        <v>4422208.4936065339</v>
      </c>
      <c r="AF17" s="1212">
        <f t="shared" si="5"/>
        <v>4425931.3778505204</v>
      </c>
      <c r="AG17" s="1213">
        <f t="shared" si="1"/>
        <v>117391742.23214619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6">D19+D20</f>
        <v>-369565.70052795502</v>
      </c>
      <c r="E18" s="1212">
        <f t="shared" si="6"/>
        <v>-372990.80023137957</v>
      </c>
      <c r="F18" s="1212">
        <f t="shared" si="6"/>
        <v>-365825.26800000004</v>
      </c>
      <c r="G18" s="1212">
        <f t="shared" si="6"/>
        <v>-364530.62316929037</v>
      </c>
      <c r="H18" s="1212">
        <f t="shared" si="6"/>
        <v>-386664.99739602057</v>
      </c>
      <c r="I18" s="1212">
        <f t="shared" si="6"/>
        <v>-368051.52738592168</v>
      </c>
      <c r="J18" s="1212">
        <f t="shared" si="6"/>
        <v>-369563.79094887548</v>
      </c>
      <c r="K18" s="1212">
        <f t="shared" si="6"/>
        <v>-374710.74257447</v>
      </c>
      <c r="L18" s="1212">
        <f t="shared" si="6"/>
        <v>-367095.50255699549</v>
      </c>
      <c r="M18" s="1212">
        <f t="shared" si="6"/>
        <v>-367268.85</v>
      </c>
      <c r="N18" s="1212">
        <f t="shared" si="6"/>
        <v>-367364.90070234844</v>
      </c>
      <c r="O18" s="1212">
        <f t="shared" si="6"/>
        <v>-367498.59326174879</v>
      </c>
      <c r="P18" s="1212">
        <f t="shared" si="6"/>
        <v>-367545.30954566196</v>
      </c>
      <c r="Q18" s="1212">
        <f t="shared" si="6"/>
        <v>-367679.14751965227</v>
      </c>
      <c r="R18" s="1212">
        <f t="shared" si="6"/>
        <v>-367745.19</v>
      </c>
      <c r="S18" s="1212">
        <f t="shared" si="6"/>
        <v>-367848.36594447552</v>
      </c>
      <c r="T18" s="1212">
        <f t="shared" si="6"/>
        <v>-367887.69800359354</v>
      </c>
      <c r="U18" s="1212">
        <f t="shared" si="6"/>
        <v>-367925.50886980712</v>
      </c>
      <c r="V18" s="1212">
        <f t="shared" si="6"/>
        <v>-368048.33956597815</v>
      </c>
      <c r="W18" s="1212">
        <f t="shared" si="6"/>
        <v>-368080.71</v>
      </c>
      <c r="X18" s="1212">
        <f t="shared" si="6"/>
        <v>-368221.0242160965</v>
      </c>
      <c r="Y18" s="1212">
        <f t="shared" si="6"/>
        <v>-368253.47064760723</v>
      </c>
      <c r="Z18" s="1212">
        <f t="shared" si="6"/>
        <v>-368374.94100334623</v>
      </c>
      <c r="AA18" s="1212">
        <f t="shared" si="6"/>
        <v>-368409.75385767961</v>
      </c>
      <c r="AB18" s="1212">
        <f t="shared" si="6"/>
        <v>-368580.87400000001</v>
      </c>
      <c r="AC18" s="1212">
        <f t="shared" si="6"/>
        <v>-368667.92762754031</v>
      </c>
      <c r="AD18" s="1212">
        <f t="shared" si="6"/>
        <v>-368793.15987865516</v>
      </c>
      <c r="AE18" s="1212">
        <f t="shared" si="6"/>
        <v>-368838.15092086641</v>
      </c>
      <c r="AF18" s="1212">
        <f t="shared" si="6"/>
        <v>-368965.57991323736</v>
      </c>
      <c r="AG18" s="1213">
        <f t="shared" ref="AG18:AG25" si="7">SUM(C18:AF18)</f>
        <v>-11163065.311531248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14">
        <f>-TRANSPOSE('16 R1 OPEX'!$H$5:$H$34)</f>
        <v>-222919.5</v>
      </c>
      <c r="L19" s="1222">
        <f>'R1 DRE'!L14-'E2 VALE PASSAROS'!B39</f>
        <v>-225805.75</v>
      </c>
      <c r="M19" s="1222">
        <f>'R1 DRE'!M14-'E2 VALE PASSAROS'!C39</f>
        <v>-225859.20000000001</v>
      </c>
      <c r="N19" s="1222">
        <f>'R1 DRE'!N14-'E2 VALE PASSAROS'!D39</f>
        <v>-225912.65</v>
      </c>
      <c r="O19" s="1222">
        <f>'R1 DRE'!O14-'E2 VALE PASSAROS'!E39</f>
        <v>-225966.1</v>
      </c>
      <c r="P19" s="1222">
        <f>'R1 DRE'!P14-'E2 VALE PASSAROS'!F39</f>
        <v>-225966.1</v>
      </c>
      <c r="Q19" s="1222">
        <f>'R1 DRE'!Q14-'E2 VALE PASSAROS'!G39</f>
        <v>-226019.55</v>
      </c>
      <c r="R19" s="1222">
        <f>'R1 DRE'!R14-'E2 VALE PASSAROS'!H39</f>
        <v>-226019.55</v>
      </c>
      <c r="S19" s="1222">
        <f>'R1 DRE'!S14-'E2 VALE PASSAROS'!B56</f>
        <v>-226073</v>
      </c>
      <c r="T19" s="1222">
        <f>'R1 DRE'!T14-'E2 VALE PASSAROS'!C56</f>
        <v>-226073</v>
      </c>
      <c r="U19" s="1222">
        <f>'R1 DRE'!U14-'E2 VALE PASSAROS'!D56</f>
        <v>-226073</v>
      </c>
      <c r="V19" s="1222">
        <f>'R1 DRE'!V14-'E2 VALE PASSAROS'!E56</f>
        <v>-226126.44</v>
      </c>
      <c r="W19" s="1222">
        <f>'R1 DRE'!W14-'E2 VALE PASSAROS'!F56</f>
        <v>-226126.44</v>
      </c>
      <c r="X19" s="1222">
        <f>'R1 DRE'!X14-'E2 VALE PASSAROS'!G56</f>
        <v>-226179.89</v>
      </c>
      <c r="Y19" s="1222">
        <f>'R1 DRE'!Y14-'E2 VALE PASSAROS'!H56</f>
        <v>-226179.89</v>
      </c>
      <c r="Z19" s="1222">
        <f>'R1 DRE'!Z14-'E2 VALE PASSAROS'!B73</f>
        <v>-226233.34</v>
      </c>
      <c r="AA19" s="1222">
        <f>'R1 DRE'!AA14-'E2 VALE PASSAROS'!C73</f>
        <v>-226233.34</v>
      </c>
      <c r="AB19" s="1222">
        <f>'R1 DRE'!AB14-'E2 VALE PASSAROS'!D73</f>
        <v>-226286.79</v>
      </c>
      <c r="AC19" s="1222">
        <f>'R1 DRE'!AC14-'E2 VALE PASSAROS'!E73</f>
        <v>-226340.24</v>
      </c>
      <c r="AD19" s="1222">
        <f>'R1 DRE'!AD14-'E2 VALE PASSAROS'!F73</f>
        <v>-226393.69</v>
      </c>
      <c r="AE19" s="1222">
        <f>'R1 DRE'!AE14-'E2 VALE PASSAROS'!G73</f>
        <v>-226393.69</v>
      </c>
      <c r="AF19" s="1222">
        <f>'R1 DRE'!AF14-'E2 VALE PASSAROS'!H73</f>
        <v>-226447.14</v>
      </c>
      <c r="AG19" s="1215">
        <f t="shared" si="7"/>
        <v>-6754984.290000001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14">
        <f>-'16 R1 OPEX'!I13</f>
        <v>-151791.24257447</v>
      </c>
      <c r="L20" s="1222">
        <f>'R1 DRE'!L15-'E2 VALE PASSAROS'!B40</f>
        <v>-141289.75255699546</v>
      </c>
      <c r="M20" s="1222">
        <f>'R1 DRE'!M15-'E2 VALE PASSAROS'!C40</f>
        <v>-141409.65</v>
      </c>
      <c r="N20" s="1222">
        <f>'R1 DRE'!N15-'E2 VALE PASSAROS'!D40</f>
        <v>-141452.25070234848</v>
      </c>
      <c r="O20" s="1222">
        <f>'R1 DRE'!O15-'E2 VALE PASSAROS'!E40</f>
        <v>-141532.49326174878</v>
      </c>
      <c r="P20" s="1222">
        <f>'R1 DRE'!P15-'E2 VALE PASSAROS'!F40</f>
        <v>-141579.20954566196</v>
      </c>
      <c r="Q20" s="1222">
        <f>'R1 DRE'!Q15-'E2 VALE PASSAROS'!G40</f>
        <v>-141659.59751965231</v>
      </c>
      <c r="R20" s="1222">
        <f>'R1 DRE'!R15-'E2 VALE PASSAROS'!H40</f>
        <v>-141725.64000000001</v>
      </c>
      <c r="S20" s="1222">
        <f>'R1 DRE'!S15-'E2 VALE PASSAROS'!B57</f>
        <v>-141775.36594447549</v>
      </c>
      <c r="T20" s="1222">
        <f>'R1 DRE'!T15-'E2 VALE PASSAROS'!C57</f>
        <v>-141814.69800359354</v>
      </c>
      <c r="U20" s="1222">
        <f>'R1 DRE'!U15-'E2 VALE PASSAROS'!D57</f>
        <v>-141852.50886980715</v>
      </c>
      <c r="V20" s="1222">
        <f>'R1 DRE'!V15-'E2 VALE PASSAROS'!E57</f>
        <v>-141921.89956597812</v>
      </c>
      <c r="W20" s="1222">
        <f>'R1 DRE'!W15-'E2 VALE PASSAROS'!F57</f>
        <v>-141954.27000000002</v>
      </c>
      <c r="X20" s="1222">
        <f>'R1 DRE'!X15-'E2 VALE PASSAROS'!G57</f>
        <v>-142041.13421609646</v>
      </c>
      <c r="Y20" s="1222">
        <f>'R1 DRE'!Y15-'E2 VALE PASSAROS'!H57</f>
        <v>-142073.58064760719</v>
      </c>
      <c r="Z20" s="1222">
        <f>'R1 DRE'!Z15-'E2 VALE PASSAROS'!B74</f>
        <v>-142141.60100334621</v>
      </c>
      <c r="AA20" s="1222">
        <f>'R1 DRE'!AA15-'E2 VALE PASSAROS'!C74</f>
        <v>-142176.41385767961</v>
      </c>
      <c r="AB20" s="1222">
        <f>'R1 DRE'!AB15-'E2 VALE PASSAROS'!D74</f>
        <v>-142294.084</v>
      </c>
      <c r="AC20" s="1222">
        <f>'R1 DRE'!AC15-'E2 VALE PASSAROS'!E74</f>
        <v>-142327.68762754029</v>
      </c>
      <c r="AD20" s="1222">
        <f>'R1 DRE'!AD15-'E2 VALE PASSAROS'!F74</f>
        <v>-142399.46987865516</v>
      </c>
      <c r="AE20" s="1222">
        <f>'R1 DRE'!AE15-'E2 VALE PASSAROS'!G74</f>
        <v>-142444.4609208664</v>
      </c>
      <c r="AF20" s="1222">
        <f>'R1 DRE'!AF15-'E2 VALE PASSAROS'!H74</f>
        <v>-142518.43991323732</v>
      </c>
      <c r="AG20" s="1215">
        <f t="shared" si="7"/>
        <v>-4408081.0215312438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8">D22+D23+D24+D25</f>
        <v>-1230326.5123160521</v>
      </c>
      <c r="E21" s="1212">
        <f t="shared" si="8"/>
        <v>-1446948.7737891045</v>
      </c>
      <c r="F21" s="1212">
        <f t="shared" si="8"/>
        <v>-1394729.7694170631</v>
      </c>
      <c r="G21" s="1212">
        <f t="shared" si="8"/>
        <v>-1372431.1735002932</v>
      </c>
      <c r="H21" s="1212">
        <f t="shared" si="8"/>
        <v>-1372166.094364627</v>
      </c>
      <c r="I21" s="1212">
        <f t="shared" si="8"/>
        <v>-1366336.9765073925</v>
      </c>
      <c r="J21" s="1212">
        <f t="shared" si="8"/>
        <v>-1415767.7581980655</v>
      </c>
      <c r="K21" s="1212">
        <f t="shared" si="8"/>
        <v>-1438887.6579406383</v>
      </c>
      <c r="L21" s="1212">
        <f t="shared" si="8"/>
        <v>-1478583.9472006578</v>
      </c>
      <c r="M21" s="1212">
        <f t="shared" si="8"/>
        <v>-1480055.3963060188</v>
      </c>
      <c r="N21" s="1212">
        <f t="shared" si="8"/>
        <v>-1481629.5135940486</v>
      </c>
      <c r="O21" s="1212">
        <f t="shared" si="8"/>
        <v>-1482771.2867342839</v>
      </c>
      <c r="P21" s="1212">
        <f t="shared" si="8"/>
        <v>-1483563.3598745186</v>
      </c>
      <c r="Q21" s="1212">
        <f t="shared" si="8"/>
        <v>-1484705.1430147537</v>
      </c>
      <c r="R21" s="1212">
        <f t="shared" si="8"/>
        <v>-1485357.0427858538</v>
      </c>
      <c r="S21" s="1212">
        <f t="shared" si="8"/>
        <v>-1486352.6018946983</v>
      </c>
      <c r="T21" s="1212">
        <f t="shared" si="8"/>
        <v>-1486997.3752424647</v>
      </c>
      <c r="U21" s="1212">
        <f t="shared" si="8"/>
        <v>-1487742.1485902308</v>
      </c>
      <c r="V21" s="1212">
        <f t="shared" si="8"/>
        <v>-1488736.631937997</v>
      </c>
      <c r="W21" s="1212">
        <f t="shared" si="8"/>
        <v>-1489511.2535217113</v>
      </c>
      <c r="X21" s="1212">
        <f t="shared" si="8"/>
        <v>-1490443.1289274432</v>
      </c>
      <c r="Y21" s="1212">
        <f t="shared" si="8"/>
        <v>-1490993.7395864292</v>
      </c>
      <c r="Z21" s="1212">
        <f t="shared" si="8"/>
        <v>-1491894.0502454154</v>
      </c>
      <c r="AA21" s="1212">
        <f t="shared" si="8"/>
        <v>-1492444.6609044014</v>
      </c>
      <c r="AB21" s="1212">
        <f t="shared" si="8"/>
        <v>-1493557.2255295818</v>
      </c>
      <c r="AC21" s="1212">
        <f t="shared" si="8"/>
        <v>-1494512.5468811176</v>
      </c>
      <c r="AD21" s="1212">
        <f t="shared" si="8"/>
        <v>-1495451.4489069432</v>
      </c>
      <c r="AE21" s="1212">
        <f t="shared" si="8"/>
        <v>-1496066.5333433761</v>
      </c>
      <c r="AF21" s="1212">
        <f t="shared" si="8"/>
        <v>-1496787.3171003563</v>
      </c>
      <c r="AG21" s="1213">
        <f t="shared" si="7"/>
        <v>-43353470.252427243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14">
        <f>'R1 DRE'!K17</f>
        <v>-483412.18706838228</v>
      </c>
      <c r="L22" s="1222">
        <f>'R1 DRE'!L17-'E2 VALE PASSAROS'!B41</f>
        <v>-495792.3519993478</v>
      </c>
      <c r="M22" s="1222">
        <f>'R1 DRE'!M17-'E2 VALE PASSAROS'!C41</f>
        <v>-496676.29603734479</v>
      </c>
      <c r="N22" s="1222">
        <f>'R1 DRE'!N17-'E2 VALE PASSAROS'!D41</f>
        <v>-497505.4870620927</v>
      </c>
      <c r="O22" s="1222">
        <f>'R1 DRE'!O17-'E2 VALE PASSAROS'!E41</f>
        <v>-498327.27348001953</v>
      </c>
      <c r="P22" s="1222">
        <f>'R1 DRE'!P17-'E2 VALE PASSAROS'!F41</f>
        <v>-499031.47989794612</v>
      </c>
      <c r="Q22" s="1222">
        <f>'R1 DRE'!Q17-'E2 VALE PASSAROS'!G41</f>
        <v>-499853.27631587267</v>
      </c>
      <c r="R22" s="1222">
        <f>'R1 DRE'!R17-'E2 VALE PASSAROS'!H41</f>
        <v>-500432.11936735164</v>
      </c>
      <c r="S22" s="1222">
        <f>'R1 DRE'!S17-'E2 VALE PASSAROS'!B58</f>
        <v>-501123.86130256217</v>
      </c>
      <c r="T22" s="1222">
        <f>'R1 DRE'!T17-'E2 VALE PASSAROS'!C58</f>
        <v>-501697.09497506119</v>
      </c>
      <c r="U22" s="1222">
        <f>'R1 DRE'!U17-'E2 VALE PASSAROS'!D58</f>
        <v>-502270.32864756015</v>
      </c>
      <c r="V22" s="1222">
        <f>'R1 DRE'!V17-'E2 VALE PASSAROS'!E58</f>
        <v>-502961.15232005925</v>
      </c>
      <c r="W22" s="1222">
        <f>'R1 DRE'!W17-'E2 VALE PASSAROS'!F58</f>
        <v>-503650.46385540807</v>
      </c>
      <c r="X22" s="1222">
        <f>'R1 DRE'!X17-'E2 VALE PASSAROS'!G58</f>
        <v>-504284.51190462324</v>
      </c>
      <c r="Y22" s="1222">
        <f>'R1 DRE'!Y17-'E2 VALE PASSAROS'!H58</f>
        <v>-504774.03502573498</v>
      </c>
      <c r="Z22" s="1222">
        <f>'R1 DRE'!Z17-'E2 VALE PASSAROS'!B75</f>
        <v>-505381.13814684673</v>
      </c>
      <c r="AA22" s="1222">
        <f>'R1 DRE'!AA17-'E2 VALE PASSAROS'!C75</f>
        <v>-505870.66126795841</v>
      </c>
      <c r="AB22" s="1222">
        <f>'R1 DRE'!AB17-'E2 VALE PASSAROS'!D75</f>
        <v>-506667.50152948155</v>
      </c>
      <c r="AC22" s="1222">
        <f>'R1 DRE'!AC17-'E2 VALE PASSAROS'!E75</f>
        <v>-507322.52372358367</v>
      </c>
      <c r="AD22" s="1222">
        <f>'R1 DRE'!AD17-'E2 VALE PASSAROS'!F75</f>
        <v>-507963.99892254674</v>
      </c>
      <c r="AE22" s="1222">
        <f>'R1 DRE'!AE17-'E2 VALE PASSAROS'!G75</f>
        <v>-508510.93802233157</v>
      </c>
      <c r="AF22" s="1222">
        <f>'R1 DRE'!AF17-'E2 VALE PASSAROS'!H75</f>
        <v>-508957.17969936022</v>
      </c>
      <c r="AG22" s="1215">
        <f t="shared" si="7"/>
        <v>-14764244.367531687</v>
      </c>
      <c r="AI22" s="1216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-'16 R1 OPEX'!E9</f>
        <v>-14599.065768930037</v>
      </c>
      <c r="H23" s="1214">
        <f>-'16 R1 OPEX'!E10</f>
        <v>-15057.798117373999</v>
      </c>
      <c r="I23" s="1214">
        <f>-'16 R1 OPEX'!E11</f>
        <v>-15064.87973247327</v>
      </c>
      <c r="J23" s="1214">
        <f>-'16 R1 OPEX'!E12</f>
        <v>-15072.495622356846</v>
      </c>
      <c r="K23" s="1214">
        <f>-'16 R1 OPEX'!E13</f>
        <v>-15192.826253067265</v>
      </c>
      <c r="L23" s="1222">
        <f>'R1 DRE'!L18-'E2 VALE PASSAROS'!B42</f>
        <v>-15594.512255394671</v>
      </c>
      <c r="M23" s="1222">
        <f>'R1 DRE'!M18-'E2 VALE PASSAROS'!C42</f>
        <v>-15883.765172996442</v>
      </c>
      <c r="N23" s="1222">
        <f>'R1 DRE'!N18-'E2 VALE PASSAROS'!D42</f>
        <v>-16335.077646812109</v>
      </c>
      <c r="O23" s="1222">
        <f>'R1 DRE'!O18-'E2 VALE PASSAROS'!E42</f>
        <v>-16362.71888608165</v>
      </c>
      <c r="P23" s="1222">
        <f>'R1 DRE'!P18-'E2 VALE PASSAROS'!F42</f>
        <v>-16385.780125351204</v>
      </c>
      <c r="Q23" s="1222">
        <f>'R1 DRE'!Q18-'E2 VALE PASSAROS'!G42</f>
        <v>-16413.42136462075</v>
      </c>
      <c r="R23" s="1222">
        <f>'R1 DRE'!R18-'E2 VALE PASSAROS'!H42</f>
        <v>-16431.863434356837</v>
      </c>
      <c r="S23" s="1222">
        <f>'R1 DRE'!S18-'E2 VALE PASSAROS'!B59</f>
        <v>-16455.211737817845</v>
      </c>
      <c r="T23" s="1222">
        <f>'R1 DRE'!T18-'E2 VALE PASSAROS'!C59</f>
        <v>-16473.980041278865</v>
      </c>
      <c r="U23" s="1222">
        <f>'R1 DRE'!U18-'E2 VALE PASSAROS'!D59</f>
        <v>-16492.748344739874</v>
      </c>
      <c r="V23" s="1222">
        <f>'R1 DRE'!V18-'E2 VALE PASSAROS'!E59</f>
        <v>-16516.096648200888</v>
      </c>
      <c r="W23" s="1222">
        <f>'R1 DRE'!W18-'E2 VALE PASSAROS'!F59</f>
        <v>-16539.199313534355</v>
      </c>
      <c r="X23" s="1222">
        <f>'R1 DRE'!X18-'E2 VALE PASSAROS'!G59</f>
        <v>-16559.808143058079</v>
      </c>
      <c r="Y23" s="1222">
        <f>'R1 DRE'!Y18-'E2 VALE PASSAROS'!H59</f>
        <v>-16575.836972581808</v>
      </c>
      <c r="Z23" s="1222">
        <f>'R1 DRE'!Z18-'E2 VALE PASSAROS'!B76</f>
        <v>-16596.44580210554</v>
      </c>
      <c r="AA23" s="1222">
        <f>'R1 DRE'!AA18-'E2 VALE PASSAROS'!C76</f>
        <v>-16612.474631629262</v>
      </c>
      <c r="AB23" s="1222">
        <f>'R1 DRE'!AB18-'E2 VALE PASSAROS'!D76</f>
        <v>-16640.16729944375</v>
      </c>
      <c r="AC23" s="1222">
        <f>'R1 DRE'!AC18-'E2 VALE PASSAROS'!E76</f>
        <v>-16661.552920484839</v>
      </c>
      <c r="AD23" s="1222">
        <f>'R1 DRE'!AD18-'E2 VALE PASSAROS'!F76</f>
        <v>-16683.347657312654</v>
      </c>
      <c r="AE23" s="1222">
        <f>'R1 DRE'!AE18-'E2 VALE PASSAROS'!G76</f>
        <v>-16701.339179438917</v>
      </c>
      <c r="AF23" s="1222">
        <f>'R1 DRE'!AF18-'E2 VALE PASSAROS'!H76</f>
        <v>-16715.692066103114</v>
      </c>
      <c r="AG23" s="1215">
        <f t="shared" si="7"/>
        <v>-483631.72306233132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14">
        <f>-'16 R1 OPEX'!C13</f>
        <v>-553251.9</v>
      </c>
      <c r="L24" s="1222">
        <f>'R1 DRE'!L19-'E2 VALE PASSAROS'!B43</f>
        <v>-560343.83000000007</v>
      </c>
      <c r="M24" s="1222">
        <f>'R1 DRE'!M19-'E2 VALE PASSAROS'!C43</f>
        <v>-560475.16</v>
      </c>
      <c r="N24" s="1222">
        <f>'R1 DRE'!N19-'E2 VALE PASSAROS'!D43</f>
        <v>-560606.49</v>
      </c>
      <c r="O24" s="1222">
        <f>'R1 DRE'!O19-'E2 VALE PASSAROS'!E43</f>
        <v>-560737.82000000007</v>
      </c>
      <c r="P24" s="1222">
        <f>'R1 DRE'!P19-'E2 VALE PASSAROS'!F43</f>
        <v>-560737.82000000007</v>
      </c>
      <c r="Q24" s="1222">
        <f>'R1 DRE'!Q19-'E2 VALE PASSAROS'!G43</f>
        <v>-560869.16</v>
      </c>
      <c r="R24" s="1222">
        <f>'R1 DRE'!R19-'E2 VALE PASSAROS'!H43</f>
        <v>-560869.16</v>
      </c>
      <c r="S24" s="1222">
        <f>'R1 DRE'!S19-'E2 VALE PASSAROS'!B60</f>
        <v>-561000.49</v>
      </c>
      <c r="T24" s="1222">
        <f>'R1 DRE'!T19-'E2 VALE PASSAROS'!C60</f>
        <v>-561000.49</v>
      </c>
      <c r="U24" s="1222">
        <f>'R1 DRE'!U19-'E2 VALE PASSAROS'!D60</f>
        <v>-561000.49</v>
      </c>
      <c r="V24" s="1222">
        <f>'R1 DRE'!V19-'E2 VALE PASSAROS'!E60</f>
        <v>-561131.82000000007</v>
      </c>
      <c r="W24" s="1222">
        <f>'R1 DRE'!W19-'E2 VALE PASSAROS'!F60</f>
        <v>-561131.82000000007</v>
      </c>
      <c r="X24" s="1222">
        <f>'R1 DRE'!X19-'E2 VALE PASSAROS'!G60</f>
        <v>-561263.15</v>
      </c>
      <c r="Y24" s="1222">
        <f>'R1 DRE'!Y19-'E2 VALE PASSAROS'!H60</f>
        <v>-561263.15</v>
      </c>
      <c r="Z24" s="1222">
        <f>'R1 DRE'!Z19-'E2 VALE PASSAROS'!B77</f>
        <v>-561394.48</v>
      </c>
      <c r="AA24" s="1222">
        <f>'R1 DRE'!AA19-'E2 VALE PASSAROS'!C77</f>
        <v>-561394.48</v>
      </c>
      <c r="AB24" s="1222">
        <f>'R1 DRE'!AB19-'E2 VALE PASSAROS'!D77</f>
        <v>-561525.82000000007</v>
      </c>
      <c r="AC24" s="1222">
        <f>'R1 DRE'!AC19-'E2 VALE PASSAROS'!E77</f>
        <v>-561657.15</v>
      </c>
      <c r="AD24" s="1222">
        <f>'R1 DRE'!AD19-'E2 VALE PASSAROS'!F77</f>
        <v>-561788.48</v>
      </c>
      <c r="AE24" s="1222">
        <f>'R1 DRE'!AE19-'E2 VALE PASSAROS'!G77</f>
        <v>-561788.48</v>
      </c>
      <c r="AF24" s="1222">
        <f>'R1 DRE'!AF19-'E2 VALE PASSAROS'!H77</f>
        <v>-561919.81000000006</v>
      </c>
      <c r="AG24" s="1215">
        <f t="shared" si="7"/>
        <v>-16638055.190000007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14">
        <f>-'16 R1 OPEX'!F13</f>
        <v>-387030.74461918877</v>
      </c>
      <c r="L25" s="1222">
        <f>'R1 DRE'!L20-'E2 VALE PASSAROS'!B44</f>
        <v>-406853.25294591533</v>
      </c>
      <c r="M25" s="1222">
        <f>'R1 DRE'!M20-'E2 VALE PASSAROS'!C44</f>
        <v>-407020.17509567773</v>
      </c>
      <c r="N25" s="1222">
        <f>'R1 DRE'!N20-'E2 VALE PASSAROS'!D44</f>
        <v>-407182.45888514386</v>
      </c>
      <c r="O25" s="1222">
        <f>'R1 DRE'!O20-'E2 VALE PASSAROS'!E44</f>
        <v>-407343.47436818259</v>
      </c>
      <c r="P25" s="1222">
        <f>'R1 DRE'!P20-'E2 VALE PASSAROS'!F44</f>
        <v>-407408.27985122136</v>
      </c>
      <c r="Q25" s="1222">
        <f>'R1 DRE'!Q20-'E2 VALE PASSAROS'!G44</f>
        <v>-407569.28533426026</v>
      </c>
      <c r="R25" s="1222">
        <f>'R1 DRE'!R20-'E2 VALE PASSAROS'!H44</f>
        <v>-407623.8999841453</v>
      </c>
      <c r="S25" s="1222">
        <f>'R1 DRE'!S20-'E2 VALE PASSAROS'!B61</f>
        <v>-407773.03885431844</v>
      </c>
      <c r="T25" s="1222">
        <f>'R1 DRE'!T20-'E2 VALE PASSAROS'!C61</f>
        <v>-407825.81022612465</v>
      </c>
      <c r="U25" s="1222">
        <f>'R1 DRE'!U20-'E2 VALE PASSAROS'!D61</f>
        <v>-407978.58159793069</v>
      </c>
      <c r="V25" s="1222">
        <f>'R1 DRE'!V20-'E2 VALE PASSAROS'!E61</f>
        <v>-408127.56296973687</v>
      </c>
      <c r="W25" s="1222">
        <f>'R1 DRE'!W20-'E2 VALE PASSAROS'!F61</f>
        <v>-408189.770352769</v>
      </c>
      <c r="X25" s="1222">
        <f>'R1 DRE'!X20-'E2 VALE PASSAROS'!G61</f>
        <v>-408335.65887976176</v>
      </c>
      <c r="Y25" s="1222">
        <f>'R1 DRE'!Y20-'E2 VALE PASSAROS'!H61</f>
        <v>-408380.71758811251</v>
      </c>
      <c r="Z25" s="1222">
        <f>'R1 DRE'!Z20-'E2 VALE PASSAROS'!B78</f>
        <v>-408521.98629646335</v>
      </c>
      <c r="AA25" s="1222">
        <f>'R1 DRE'!AA20-'E2 VALE PASSAROS'!C78</f>
        <v>-408567.04500481393</v>
      </c>
      <c r="AB25" s="1222">
        <f>'R1 DRE'!AB20-'E2 VALE PASSAROS'!D78</f>
        <v>-408723.73670065647</v>
      </c>
      <c r="AC25" s="1222">
        <f>'R1 DRE'!AC20-'E2 VALE PASSAROS'!E78</f>
        <v>-408871.32023704908</v>
      </c>
      <c r="AD25" s="1222">
        <f>'R1 DRE'!AD20-'E2 VALE PASSAROS'!F78</f>
        <v>-409015.62232708366</v>
      </c>
      <c r="AE25" s="1222">
        <f>'R1 DRE'!AE20-'E2 VALE PASSAROS'!G78</f>
        <v>-409065.77614160575</v>
      </c>
      <c r="AF25" s="1222">
        <f>'R1 DRE'!AF20-'E2 VALE PASSAROS'!H78</f>
        <v>-409194.63533489278</v>
      </c>
      <c r="AG25" s="1215">
        <f t="shared" si="7"/>
        <v>-11467538.971833244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9">-D17*0.01</f>
        <v>-23487.364306745756</v>
      </c>
      <c r="E26" s="1212">
        <f t="shared" si="9"/>
        <v>-26078.466711710476</v>
      </c>
      <c r="F26" s="1212">
        <f t="shared" si="9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0">-I17*0.005</f>
        <v>-16724.631693002015</v>
      </c>
      <c r="J26" s="1212">
        <f t="shared" si="10"/>
        <v>-18111.511932221227</v>
      </c>
      <c r="K26" s="1212">
        <f t="shared" si="10"/>
        <v>-18930.106269841799</v>
      </c>
      <c r="L26" s="1212">
        <f t="shared" si="10"/>
        <v>-19498.106762772182</v>
      </c>
      <c r="M26" s="1212">
        <f t="shared" si="10"/>
        <v>-20388.947754529505</v>
      </c>
      <c r="N26" s="1212">
        <f t="shared" si="10"/>
        <v>-21752.471947765298</v>
      </c>
      <c r="O26" s="1212">
        <f t="shared" si="10"/>
        <v>-21840.232041956591</v>
      </c>
      <c r="P26" s="1212">
        <f t="shared" si="10"/>
        <v>-21870.357887457452</v>
      </c>
      <c r="Q26" s="1212">
        <f t="shared" si="10"/>
        <v>-21904.035641505336</v>
      </c>
      <c r="R26" s="1212">
        <f t="shared" si="10"/>
        <v>-21932.76791346895</v>
      </c>
      <c r="S26" s="1212">
        <f t="shared" si="10"/>
        <v>-21814.719660629362</v>
      </c>
      <c r="T26" s="1212">
        <f t="shared" si="10"/>
        <v>-21840.71288934895</v>
      </c>
      <c r="U26" s="1212">
        <f t="shared" si="10"/>
        <v>-21866.706118068534</v>
      </c>
      <c r="V26" s="1212">
        <f t="shared" si="10"/>
        <v>-21890.239744288243</v>
      </c>
      <c r="W26" s="1212">
        <f t="shared" si="10"/>
        <v>-21918.552855135644</v>
      </c>
      <c r="X26" s="1212">
        <f t="shared" si="10"/>
        <v>-21947.145406727184</v>
      </c>
      <c r="Y26" s="1212">
        <f t="shared" si="10"/>
        <v>-21968.359150819077</v>
      </c>
      <c r="Z26" s="1212">
        <f t="shared" si="10"/>
        <v>-21989.153733794748</v>
      </c>
      <c r="AA26" s="1212">
        <f t="shared" si="10"/>
        <v>-22009.94831677042</v>
      </c>
      <c r="AB26" s="1212">
        <f t="shared" si="10"/>
        <v>-22035.662104745865</v>
      </c>
      <c r="AC26" s="1212">
        <f t="shared" si="10"/>
        <v>-22061.655333465456</v>
      </c>
      <c r="AD26" s="1212">
        <f t="shared" si="10"/>
        <v>-22085.188959685151</v>
      </c>
      <c r="AE26" s="1212">
        <f t="shared" si="10"/>
        <v>-22111.042468032669</v>
      </c>
      <c r="AF26" s="1212">
        <f t="shared" si="10"/>
        <v>-22129.656889252601</v>
      </c>
      <c r="AG26" s="1213">
        <f>SUM(C26:AF26)</f>
        <v>-641384.23997290642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1">D17+D18+D21+D26</f>
        <v>725356.85352382285</v>
      </c>
      <c r="E27" s="1212">
        <f t="shared" si="11"/>
        <v>761828.63043885329</v>
      </c>
      <c r="F27" s="1212">
        <f t="shared" si="11"/>
        <v>885889.84541072126</v>
      </c>
      <c r="G27" s="1212">
        <f t="shared" si="11"/>
        <v>987003.66554251267</v>
      </c>
      <c r="H27" s="1212">
        <f t="shared" si="11"/>
        <v>1236097.9959341185</v>
      </c>
      <c r="I27" s="1212">
        <f t="shared" si="11"/>
        <v>1593813.2030140865</v>
      </c>
      <c r="J27" s="1212">
        <f t="shared" si="11"/>
        <v>1818859.3253650826</v>
      </c>
      <c r="K27" s="1212">
        <f t="shared" si="11"/>
        <v>1953492.7471834093</v>
      </c>
      <c r="L27" s="1212">
        <f t="shared" si="11"/>
        <v>2034443.7960340108</v>
      </c>
      <c r="M27" s="1212">
        <f t="shared" si="11"/>
        <v>2210076.3568453528</v>
      </c>
      <c r="N27" s="1212">
        <f t="shared" si="11"/>
        <v>2479747.5033088974</v>
      </c>
      <c r="O27" s="1212">
        <f t="shared" si="11"/>
        <v>2495936.2963533294</v>
      </c>
      <c r="P27" s="1212">
        <f t="shared" si="11"/>
        <v>2501092.5501838522</v>
      </c>
      <c r="Q27" s="1212">
        <f t="shared" si="11"/>
        <v>2506518.8021251559</v>
      </c>
      <c r="R27" s="1212">
        <f t="shared" si="11"/>
        <v>2511518.5819944674</v>
      </c>
      <c r="S27" s="1212">
        <f t="shared" si="11"/>
        <v>2486928.2446260685</v>
      </c>
      <c r="T27" s="1212">
        <f t="shared" si="11"/>
        <v>2491416.7917343825</v>
      </c>
      <c r="U27" s="1212">
        <f t="shared" si="11"/>
        <v>2495806.8600355997</v>
      </c>
      <c r="V27" s="1212">
        <f t="shared" si="11"/>
        <v>2499372.7376093846</v>
      </c>
      <c r="W27" s="1212">
        <f t="shared" si="11"/>
        <v>2504200.0546502816</v>
      </c>
      <c r="X27" s="1212">
        <f t="shared" si="11"/>
        <v>2508817.7827951703</v>
      </c>
      <c r="Y27" s="1212">
        <f t="shared" si="11"/>
        <v>2512456.2607789598</v>
      </c>
      <c r="Z27" s="1212">
        <f t="shared" si="11"/>
        <v>2515572.6017763936</v>
      </c>
      <c r="AA27" s="1212">
        <f t="shared" si="11"/>
        <v>2519125.3002752322</v>
      </c>
      <c r="AB27" s="1212">
        <f t="shared" si="11"/>
        <v>2522958.6593148457</v>
      </c>
      <c r="AC27" s="1212">
        <f t="shared" si="11"/>
        <v>2527088.9368509674</v>
      </c>
      <c r="AD27" s="1212">
        <f t="shared" si="11"/>
        <v>2530707.9941917462</v>
      </c>
      <c r="AE27" s="1212">
        <f t="shared" si="11"/>
        <v>2535192.7668742584</v>
      </c>
      <c r="AF27" s="1212">
        <f t="shared" si="11"/>
        <v>2538048.8239476741</v>
      </c>
      <c r="AG27" s="1213">
        <f t="shared" ref="AG27:AG33" si="12">SUM(C27:AF27)</f>
        <v>62233822.428214751</v>
      </c>
    </row>
    <row r="28" spans="1:36" s="1127" customFormat="1" ht="20.25" customHeight="1">
      <c r="B28" s="1128" t="s">
        <v>221</v>
      </c>
      <c r="C28" s="1211">
        <f t="array" ref="C28:AF28">-TRANSPOSE('E2 R2 DEPR'!AH10:AH39)</f>
        <v>0</v>
      </c>
      <c r="D28" s="1211">
        <v>-19422.835502517231</v>
      </c>
      <c r="E28" s="1211">
        <v>-31767.091368703179</v>
      </c>
      <c r="F28" s="1211">
        <v>-42964.776963557146</v>
      </c>
      <c r="G28" s="1211">
        <v>-96570.054420457061</v>
      </c>
      <c r="H28" s="1211">
        <v>-304965.65942868049</v>
      </c>
      <c r="I28" s="1211">
        <v>-335294.75656698272</v>
      </c>
      <c r="J28" s="1211">
        <v>-409777.60554813145</v>
      </c>
      <c r="K28" s="1211">
        <v>-463947.68852428254</v>
      </c>
      <c r="L28" s="1211">
        <v>-555574.63704043371</v>
      </c>
      <c r="M28" s="1211">
        <v>-639851.37971933221</v>
      </c>
      <c r="N28" s="1211">
        <v>-779509.5628573146</v>
      </c>
      <c r="O28" s="1211">
        <v>-910232.35205126985</v>
      </c>
      <c r="P28" s="1211">
        <v>-914255.10227198375</v>
      </c>
      <c r="Q28" s="1211">
        <v>-918529.27438149229</v>
      </c>
      <c r="R28" s="1211">
        <v>-923088.3912983014</v>
      </c>
      <c r="S28" s="1211">
        <v>-927595.44513773976</v>
      </c>
      <c r="T28" s="1211">
        <v>-932449.19542636571</v>
      </c>
      <c r="U28" s="1211">
        <v>-937707.42490571039</v>
      </c>
      <c r="V28" s="1211">
        <v>-943443.67524681368</v>
      </c>
      <c r="W28" s="1211">
        <v>-949753.55062202737</v>
      </c>
      <c r="X28" s="1211">
        <v>-957397.30103893147</v>
      </c>
      <c r="Y28" s="1211">
        <v>-964827.14525794855</v>
      </c>
      <c r="Z28" s="1211">
        <v>-973318.39579396811</v>
      </c>
      <c r="AA28" s="1211">
        <v>-983224.85475265759</v>
      </c>
      <c r="AB28" s="1211">
        <v>-995112.60550308495</v>
      </c>
      <c r="AC28" s="1211">
        <v>-1012311.0439411191</v>
      </c>
      <c r="AD28" s="1211">
        <v>-1032395.2951918313</v>
      </c>
      <c r="AE28" s="1211">
        <v>-1062928.6720678995</v>
      </c>
      <c r="AF28" s="1211">
        <v>-1184660.6738167689</v>
      </c>
      <c r="AG28" s="1217">
        <f t="shared" si="12"/>
        <v>-21202876.446646307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3">D27+D28</f>
        <v>705934.01802130567</v>
      </c>
      <c r="E29" s="1212">
        <f t="shared" si="13"/>
        <v>730061.53907015012</v>
      </c>
      <c r="F29" s="1212">
        <f t="shared" si="13"/>
        <v>842925.06844716414</v>
      </c>
      <c r="G29" s="1212">
        <f t="shared" si="13"/>
        <v>890433.61112205556</v>
      </c>
      <c r="H29" s="1212">
        <f t="shared" si="13"/>
        <v>931132.33650543797</v>
      </c>
      <c r="I29" s="1212">
        <f t="shared" si="13"/>
        <v>1258518.4464471037</v>
      </c>
      <c r="J29" s="1212">
        <f t="shared" si="13"/>
        <v>1409081.7198169511</v>
      </c>
      <c r="K29" s="1212">
        <f t="shared" si="13"/>
        <v>1489545.0586591267</v>
      </c>
      <c r="L29" s="1212">
        <f t="shared" si="13"/>
        <v>1478869.1589935771</v>
      </c>
      <c r="M29" s="1212">
        <f t="shared" si="13"/>
        <v>1570224.9771260205</v>
      </c>
      <c r="N29" s="1212">
        <f t="shared" si="13"/>
        <v>1700237.9404515829</v>
      </c>
      <c r="O29" s="1212">
        <f t="shared" si="13"/>
        <v>1585703.9443020597</v>
      </c>
      <c r="P29" s="1212">
        <f t="shared" si="13"/>
        <v>1586837.4479118683</v>
      </c>
      <c r="Q29" s="1212">
        <f t="shared" si="13"/>
        <v>1587989.5277436636</v>
      </c>
      <c r="R29" s="1212">
        <f t="shared" si="13"/>
        <v>1588430.1906961659</v>
      </c>
      <c r="S29" s="1212">
        <f t="shared" si="13"/>
        <v>1559332.7994883289</v>
      </c>
      <c r="T29" s="1212">
        <f t="shared" si="13"/>
        <v>1558967.5963080167</v>
      </c>
      <c r="U29" s="1212">
        <f t="shared" si="13"/>
        <v>1558099.4351298893</v>
      </c>
      <c r="V29" s="1212">
        <f t="shared" si="13"/>
        <v>1555929.0623625708</v>
      </c>
      <c r="W29" s="1212">
        <f t="shared" si="13"/>
        <v>1554446.5040282542</v>
      </c>
      <c r="X29" s="1212">
        <f t="shared" si="13"/>
        <v>1551420.4817562387</v>
      </c>
      <c r="Y29" s="1212">
        <f t="shared" si="13"/>
        <v>1547629.1155210114</v>
      </c>
      <c r="Z29" s="1212">
        <f t="shared" si="13"/>
        <v>1542254.2059824255</v>
      </c>
      <c r="AA29" s="1212">
        <f t="shared" si="13"/>
        <v>1535900.4455225747</v>
      </c>
      <c r="AB29" s="1212">
        <f t="shared" si="13"/>
        <v>1527846.0538117606</v>
      </c>
      <c r="AC29" s="1212">
        <f t="shared" si="13"/>
        <v>1514777.8929098481</v>
      </c>
      <c r="AD29" s="1212">
        <f t="shared" si="13"/>
        <v>1498312.6989999148</v>
      </c>
      <c r="AE29" s="1212">
        <f t="shared" si="13"/>
        <v>1472264.0948063589</v>
      </c>
      <c r="AF29" s="1212">
        <f t="shared" si="13"/>
        <v>1353388.1501309052</v>
      </c>
      <c r="AG29" s="1213">
        <f t="shared" si="12"/>
        <v>41030945.981568441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4">D31+D32</f>
        <v>-216017.56612724392</v>
      </c>
      <c r="E30" s="1212">
        <f t="shared" si="14"/>
        <v>-224220.92328385104</v>
      </c>
      <c r="F30" s="1212">
        <f t="shared" si="14"/>
        <v>-262594.52327203582</v>
      </c>
      <c r="G30" s="1212">
        <f t="shared" si="14"/>
        <v>-278747.42778149887</v>
      </c>
      <c r="H30" s="1212">
        <f t="shared" si="14"/>
        <v>-292584.99441184889</v>
      </c>
      <c r="I30" s="1212">
        <f t="shared" si="14"/>
        <v>-403896.27179201529</v>
      </c>
      <c r="J30" s="1212">
        <f t="shared" si="14"/>
        <v>-455087.78473776334</v>
      </c>
      <c r="K30" s="1212">
        <f t="shared" si="14"/>
        <v>-482445.31994410313</v>
      </c>
      <c r="L30" s="1212">
        <f t="shared" si="14"/>
        <v>-478815.51405781624</v>
      </c>
      <c r="M30" s="1212">
        <f t="shared" si="14"/>
        <v>-509876.49222284695</v>
      </c>
      <c r="N30" s="1212">
        <f t="shared" si="14"/>
        <v>-554080.89975353819</v>
      </c>
      <c r="O30" s="1212">
        <f t="shared" si="14"/>
        <v>-515139.34106270026</v>
      </c>
      <c r="P30" s="1212">
        <f t="shared" si="14"/>
        <v>-515524.73229003523</v>
      </c>
      <c r="Q30" s="1212">
        <f t="shared" si="14"/>
        <v>-515916.43943284563</v>
      </c>
      <c r="R30" s="1212">
        <f t="shared" si="14"/>
        <v>-516066.26483669644</v>
      </c>
      <c r="S30" s="1212">
        <f t="shared" si="14"/>
        <v>-506173.1518260318</v>
      </c>
      <c r="T30" s="1212">
        <f t="shared" si="14"/>
        <v>-506048.98274472565</v>
      </c>
      <c r="U30" s="1212">
        <f t="shared" si="14"/>
        <v>-505753.80794416234</v>
      </c>
      <c r="V30" s="1212">
        <f t="shared" si="14"/>
        <v>-505015.88120327407</v>
      </c>
      <c r="W30" s="1212">
        <f t="shared" si="14"/>
        <v>-504511.81136960641</v>
      </c>
      <c r="X30" s="1212">
        <f t="shared" si="14"/>
        <v>-503482.96379712119</v>
      </c>
      <c r="Y30" s="1212">
        <f t="shared" si="14"/>
        <v>-502193.89927714388</v>
      </c>
      <c r="Z30" s="1212">
        <f t="shared" si="14"/>
        <v>-500366.43003402464</v>
      </c>
      <c r="AA30" s="1212">
        <f t="shared" si="14"/>
        <v>-498206.15147767542</v>
      </c>
      <c r="AB30" s="1212">
        <f t="shared" si="14"/>
        <v>-495467.65829599858</v>
      </c>
      <c r="AC30" s="1212">
        <f t="shared" si="14"/>
        <v>-491024.48358934838</v>
      </c>
      <c r="AD30" s="1212">
        <f t="shared" si="14"/>
        <v>-485426.31765997107</v>
      </c>
      <c r="AE30" s="1212">
        <f t="shared" si="14"/>
        <v>-476569.79223416199</v>
      </c>
      <c r="AF30" s="1212">
        <f t="shared" si="14"/>
        <v>-436151.97104450775</v>
      </c>
      <c r="AG30" s="1213">
        <f t="shared" si="12"/>
        <v>-13137407.797504591</v>
      </c>
    </row>
    <row r="31" spans="1:36" s="89" customFormat="1" ht="20.25" customHeight="1">
      <c r="B31" s="477" t="s">
        <v>224</v>
      </c>
      <c r="C31" s="1214"/>
      <c r="D31" s="1214">
        <f t="shared" ref="D31:AF31" si="15">-((D29*0.15)+((D29-240000)*0.1))</f>
        <v>-152483.50450532642</v>
      </c>
      <c r="E31" s="1214">
        <f t="shared" si="15"/>
        <v>-158515.38476753753</v>
      </c>
      <c r="F31" s="1214">
        <f t="shared" si="15"/>
        <v>-186731.26711179104</v>
      </c>
      <c r="G31" s="1214">
        <f t="shared" si="15"/>
        <v>-198608.40278051386</v>
      </c>
      <c r="H31" s="1214">
        <f t="shared" si="15"/>
        <v>-208783.08412635949</v>
      </c>
      <c r="I31" s="1214">
        <f t="shared" si="15"/>
        <v>-290629.61161177594</v>
      </c>
      <c r="J31" s="1214">
        <f t="shared" si="15"/>
        <v>-328270.42995423777</v>
      </c>
      <c r="K31" s="1214">
        <f t="shared" si="15"/>
        <v>-348386.26466478169</v>
      </c>
      <c r="L31" s="1214">
        <f t="shared" si="15"/>
        <v>-345717.28974839428</v>
      </c>
      <c r="M31" s="1214">
        <f t="shared" si="15"/>
        <v>-368556.24428150512</v>
      </c>
      <c r="N31" s="1214">
        <f t="shared" si="15"/>
        <v>-401059.48511289572</v>
      </c>
      <c r="O31" s="1214">
        <f t="shared" si="15"/>
        <v>-372425.98607551493</v>
      </c>
      <c r="P31" s="1214">
        <f t="shared" si="15"/>
        <v>-372709.36197796708</v>
      </c>
      <c r="Q31" s="1214">
        <f t="shared" si="15"/>
        <v>-372997.38193591591</v>
      </c>
      <c r="R31" s="1214">
        <f t="shared" si="15"/>
        <v>-373107.54767404147</v>
      </c>
      <c r="S31" s="1214">
        <f t="shared" si="15"/>
        <v>-365833.19987208222</v>
      </c>
      <c r="T31" s="1214">
        <f t="shared" si="15"/>
        <v>-365741.89907700417</v>
      </c>
      <c r="U31" s="1214">
        <f t="shared" si="15"/>
        <v>-365524.85878247232</v>
      </c>
      <c r="V31" s="1214">
        <f t="shared" si="15"/>
        <v>-364982.2655906427</v>
      </c>
      <c r="W31" s="1214">
        <f t="shared" si="15"/>
        <v>-364611.62600706355</v>
      </c>
      <c r="X31" s="1214">
        <f t="shared" si="15"/>
        <v>-363855.12043905968</v>
      </c>
      <c r="Y31" s="1214">
        <f t="shared" si="15"/>
        <v>-362907.27888025285</v>
      </c>
      <c r="Z31" s="1214">
        <f t="shared" si="15"/>
        <v>-361563.55149560637</v>
      </c>
      <c r="AA31" s="1214">
        <f t="shared" si="15"/>
        <v>-359975.11138064368</v>
      </c>
      <c r="AB31" s="1214">
        <f t="shared" si="15"/>
        <v>-357961.51345294015</v>
      </c>
      <c r="AC31" s="1214">
        <f t="shared" si="15"/>
        <v>-354694.47322746203</v>
      </c>
      <c r="AD31" s="1214">
        <f t="shared" si="15"/>
        <v>-350578.1747499787</v>
      </c>
      <c r="AE31" s="1214">
        <f t="shared" si="15"/>
        <v>-344066.02370158973</v>
      </c>
      <c r="AF31" s="1214">
        <f t="shared" si="15"/>
        <v>-314347.0375327263</v>
      </c>
      <c r="AG31" s="1213">
        <f t="shared" si="12"/>
        <v>-9475623.3805180807</v>
      </c>
    </row>
    <row r="32" spans="1:36" s="89" customFormat="1" ht="20.25" customHeight="1">
      <c r="B32" s="477" t="s">
        <v>225</v>
      </c>
      <c r="C32" s="1214"/>
      <c r="D32" s="1214">
        <f t="shared" ref="D32:AF32" si="16">-(D29*0.09)</f>
        <v>-63534.061621917506</v>
      </c>
      <c r="E32" s="1214">
        <f t="shared" si="16"/>
        <v>-65705.538516313507</v>
      </c>
      <c r="F32" s="1214">
        <f t="shared" si="16"/>
        <v>-75863.256160244768</v>
      </c>
      <c r="G32" s="1214">
        <f t="shared" si="16"/>
        <v>-80139.025000984999</v>
      </c>
      <c r="H32" s="1214">
        <f t="shared" si="16"/>
        <v>-83801.910285489415</v>
      </c>
      <c r="I32" s="1214">
        <f t="shared" si="16"/>
        <v>-113266.66018023933</v>
      </c>
      <c r="J32" s="1214">
        <f t="shared" si="16"/>
        <v>-126817.35478352559</v>
      </c>
      <c r="K32" s="1214">
        <f t="shared" si="16"/>
        <v>-134059.05527932142</v>
      </c>
      <c r="L32" s="1214">
        <f t="shared" si="16"/>
        <v>-133098.22430942193</v>
      </c>
      <c r="M32" s="1214">
        <f t="shared" si="16"/>
        <v>-141320.24794134183</v>
      </c>
      <c r="N32" s="1214">
        <f t="shared" si="16"/>
        <v>-153021.41464064244</v>
      </c>
      <c r="O32" s="1214">
        <f t="shared" si="16"/>
        <v>-142713.35498718536</v>
      </c>
      <c r="P32" s="1214">
        <f t="shared" si="16"/>
        <v>-142815.37031206815</v>
      </c>
      <c r="Q32" s="1214">
        <f t="shared" si="16"/>
        <v>-142919.05749692972</v>
      </c>
      <c r="R32" s="1214">
        <f t="shared" si="16"/>
        <v>-142958.71716265494</v>
      </c>
      <c r="S32" s="1214">
        <f t="shared" si="16"/>
        <v>-140339.95195394958</v>
      </c>
      <c r="T32" s="1214">
        <f t="shared" si="16"/>
        <v>-140307.08366772148</v>
      </c>
      <c r="U32" s="1214">
        <f t="shared" si="16"/>
        <v>-140228.94916169002</v>
      </c>
      <c r="V32" s="1214">
        <f t="shared" si="16"/>
        <v>-140033.61561263137</v>
      </c>
      <c r="W32" s="1214">
        <f t="shared" si="16"/>
        <v>-139900.18536254286</v>
      </c>
      <c r="X32" s="1214">
        <f t="shared" si="16"/>
        <v>-139627.84335806148</v>
      </c>
      <c r="Y32" s="1214">
        <f t="shared" si="16"/>
        <v>-139286.62039689103</v>
      </c>
      <c r="Z32" s="1214">
        <f t="shared" si="16"/>
        <v>-138802.8785384183</v>
      </c>
      <c r="AA32" s="1214">
        <f t="shared" si="16"/>
        <v>-138231.04009703171</v>
      </c>
      <c r="AB32" s="1214">
        <f t="shared" si="16"/>
        <v>-137506.14484305846</v>
      </c>
      <c r="AC32" s="1214">
        <f t="shared" si="16"/>
        <v>-136330.01036188632</v>
      </c>
      <c r="AD32" s="1214">
        <f t="shared" si="16"/>
        <v>-134848.14290999234</v>
      </c>
      <c r="AE32" s="1214">
        <f t="shared" si="16"/>
        <v>-132503.76853257229</v>
      </c>
      <c r="AF32" s="1214">
        <f t="shared" si="16"/>
        <v>-121804.93351178146</v>
      </c>
      <c r="AG32" s="1213">
        <f t="shared" si="12"/>
        <v>-3661784.4169865097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7">D29+D30</f>
        <v>489916.45189406176</v>
      </c>
      <c r="E33" s="1219">
        <f t="shared" si="17"/>
        <v>505840.61578629911</v>
      </c>
      <c r="F33" s="1219">
        <f t="shared" si="17"/>
        <v>580330.54517512838</v>
      </c>
      <c r="G33" s="1219">
        <f t="shared" si="17"/>
        <v>611686.18334055669</v>
      </c>
      <c r="H33" s="1219">
        <f t="shared" si="17"/>
        <v>638547.34209358902</v>
      </c>
      <c r="I33" s="1219">
        <f t="shared" si="17"/>
        <v>854622.17465508846</v>
      </c>
      <c r="J33" s="1219">
        <f t="shared" si="17"/>
        <v>953993.93507918774</v>
      </c>
      <c r="K33" s="1219">
        <f t="shared" si="17"/>
        <v>1007099.7387150236</v>
      </c>
      <c r="L33" s="1219">
        <f t="shared" si="17"/>
        <v>1000053.6449357609</v>
      </c>
      <c r="M33" s="1219">
        <f t="shared" si="17"/>
        <v>1060348.4849031735</v>
      </c>
      <c r="N33" s="1219">
        <f t="shared" si="17"/>
        <v>1146157.0406980447</v>
      </c>
      <c r="O33" s="1219">
        <f t="shared" si="17"/>
        <v>1070564.6032393593</v>
      </c>
      <c r="P33" s="1219">
        <f t="shared" si="17"/>
        <v>1071312.7156218332</v>
      </c>
      <c r="Q33" s="1219">
        <f t="shared" si="17"/>
        <v>1072073.088310818</v>
      </c>
      <c r="R33" s="1219">
        <f t="shared" si="17"/>
        <v>1072363.9258594695</v>
      </c>
      <c r="S33" s="1219">
        <f t="shared" si="17"/>
        <v>1053159.6476622971</v>
      </c>
      <c r="T33" s="1219">
        <f t="shared" si="17"/>
        <v>1052918.613563291</v>
      </c>
      <c r="U33" s="1219">
        <f t="shared" si="17"/>
        <v>1052345.627185727</v>
      </c>
      <c r="V33" s="1219">
        <f t="shared" si="17"/>
        <v>1050913.1811592968</v>
      </c>
      <c r="W33" s="1219">
        <f t="shared" si="17"/>
        <v>1049934.6926586479</v>
      </c>
      <c r="X33" s="1219">
        <f t="shared" si="17"/>
        <v>1047937.5179591175</v>
      </c>
      <c r="Y33" s="1219">
        <f t="shared" si="17"/>
        <v>1045435.2162438675</v>
      </c>
      <c r="Z33" s="1219">
        <f t="shared" si="17"/>
        <v>1041887.7759484008</v>
      </c>
      <c r="AA33" s="1219">
        <f t="shared" si="17"/>
        <v>1037694.2940448993</v>
      </c>
      <c r="AB33" s="1219">
        <f t="shared" si="17"/>
        <v>1032378.395515762</v>
      </c>
      <c r="AC33" s="1219">
        <f t="shared" si="17"/>
        <v>1023753.4093204997</v>
      </c>
      <c r="AD33" s="1219">
        <f t="shared" si="17"/>
        <v>1012886.3813399437</v>
      </c>
      <c r="AE33" s="1219">
        <f t="shared" si="17"/>
        <v>995694.30257219693</v>
      </c>
      <c r="AF33" s="1219">
        <f t="shared" si="17"/>
        <v>917236.1790863974</v>
      </c>
      <c r="AG33" s="1220">
        <f t="shared" si="12"/>
        <v>27893538.184063859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139669.85047581568</v>
      </c>
      <c r="I35" s="135">
        <f t="shared" si="18"/>
        <v>188777.76696706555</v>
      </c>
      <c r="J35" s="135">
        <f t="shared" si="18"/>
        <v>211362.25797254266</v>
      </c>
      <c r="K35" s="135">
        <f t="shared" si="18"/>
        <v>223431.75879886901</v>
      </c>
      <c r="L35" s="135">
        <f t="shared" si="18"/>
        <v>221830.37384903655</v>
      </c>
      <c r="M35" s="135">
        <f t="shared" si="18"/>
        <v>235533.74656890307</v>
      </c>
      <c r="N35" s="135">
        <f t="shared" si="18"/>
        <v>255035.69106773741</v>
      </c>
      <c r="O35" s="135">
        <f t="shared" si="18"/>
        <v>237855.59164530894</v>
      </c>
      <c r="P35" s="135">
        <f t="shared" si="18"/>
        <v>238025.61718678023</v>
      </c>
      <c r="Q35" s="135">
        <f t="shared" si="18"/>
        <v>238198.42916154955</v>
      </c>
      <c r="R35" s="135">
        <f t="shared" si="18"/>
        <v>238264.52860442488</v>
      </c>
      <c r="S35" s="135">
        <f t="shared" si="18"/>
        <v>233899.91992324931</v>
      </c>
      <c r="T35" s="135">
        <f t="shared" si="18"/>
        <v>233845.13944620249</v>
      </c>
      <c r="U35" s="135">
        <f t="shared" si="18"/>
        <v>233714.91526948338</v>
      </c>
      <c r="V35" s="135">
        <f t="shared" si="18"/>
        <v>233389.35935438561</v>
      </c>
      <c r="W35" s="135">
        <f t="shared" si="18"/>
        <v>233166.97560423813</v>
      </c>
      <c r="X35" s="135">
        <f t="shared" si="18"/>
        <v>232713.07226343581</v>
      </c>
      <c r="Y35" s="135">
        <f t="shared" si="18"/>
        <v>232144.36732815171</v>
      </c>
      <c r="Z35" s="135">
        <f t="shared" si="18"/>
        <v>231338.13089736382</v>
      </c>
      <c r="AA35" s="135">
        <f t="shared" si="18"/>
        <v>230385.06682838619</v>
      </c>
      <c r="AB35" s="135">
        <f t="shared" si="18"/>
        <v>229176.90807176408</v>
      </c>
      <c r="AC35" s="135">
        <f t="shared" si="18"/>
        <v>227216.6839364772</v>
      </c>
      <c r="AD35" s="135">
        <f t="shared" si="18"/>
        <v>224746.90484998722</v>
      </c>
      <c r="AE35" s="135">
        <f t="shared" si="18"/>
        <v>220839.61422095384</v>
      </c>
      <c r="AF35" s="135">
        <f t="shared" si="18"/>
        <v>203008.22251963578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69113.2336505438</v>
      </c>
      <c r="I36" s="135">
        <f t="shared" si="19"/>
        <v>101851.84464471038</v>
      </c>
      <c r="J36" s="135">
        <f t="shared" si="19"/>
        <v>116908.17198169511</v>
      </c>
      <c r="K36" s="135">
        <f t="shared" si="19"/>
        <v>124954.50586591268</v>
      </c>
      <c r="L36" s="135">
        <f t="shared" si="19"/>
        <v>123886.91589935771</v>
      </c>
      <c r="M36" s="135">
        <f t="shared" si="19"/>
        <v>133022.49771260205</v>
      </c>
      <c r="N36" s="135">
        <f t="shared" si="19"/>
        <v>146023.79404515828</v>
      </c>
      <c r="O36" s="135">
        <f t="shared" si="19"/>
        <v>134570.39443020598</v>
      </c>
      <c r="P36" s="135">
        <f t="shared" si="19"/>
        <v>134683.74479118685</v>
      </c>
      <c r="Q36" s="135">
        <f t="shared" si="19"/>
        <v>134798.95277436636</v>
      </c>
      <c r="R36" s="135">
        <f t="shared" si="19"/>
        <v>134843.0190696166</v>
      </c>
      <c r="S36" s="135">
        <f t="shared" si="19"/>
        <v>131933.2799488329</v>
      </c>
      <c r="T36" s="135">
        <f t="shared" si="19"/>
        <v>131896.75963080168</v>
      </c>
      <c r="U36" s="135">
        <f t="shared" si="19"/>
        <v>131809.94351298895</v>
      </c>
      <c r="V36" s="135">
        <f t="shared" si="19"/>
        <v>131592.90623625708</v>
      </c>
      <c r="W36" s="135">
        <f t="shared" si="19"/>
        <v>131444.65040282541</v>
      </c>
      <c r="X36" s="135">
        <f t="shared" si="19"/>
        <v>131142.04817562387</v>
      </c>
      <c r="Y36" s="135">
        <f t="shared" si="19"/>
        <v>130762.91155210114</v>
      </c>
      <c r="Z36" s="135">
        <f t="shared" si="19"/>
        <v>130225.42059824255</v>
      </c>
      <c r="AA36" s="135">
        <f t="shared" si="19"/>
        <v>129590.04455225747</v>
      </c>
      <c r="AB36" s="135">
        <f t="shared" si="19"/>
        <v>128784.60538117606</v>
      </c>
      <c r="AC36" s="135">
        <f t="shared" si="19"/>
        <v>127477.78929098482</v>
      </c>
      <c r="AD36" s="135">
        <f t="shared" si="19"/>
        <v>125831.26989999149</v>
      </c>
      <c r="AE36" s="135">
        <f t="shared" si="19"/>
        <v>123226.40948063589</v>
      </c>
      <c r="AF36" s="135">
        <f t="shared" si="19"/>
        <v>111338.81501309053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208783.08412635949</v>
      </c>
      <c r="I37" s="135">
        <f t="shared" si="20"/>
        <v>290629.61161177594</v>
      </c>
      <c r="J37" s="135">
        <f t="shared" si="20"/>
        <v>328270.42995423777</v>
      </c>
      <c r="K37" s="135">
        <f t="shared" si="20"/>
        <v>348386.26466478169</v>
      </c>
      <c r="L37" s="135">
        <f t="shared" si="20"/>
        <v>345717.28974839428</v>
      </c>
      <c r="M37" s="135">
        <f t="shared" si="20"/>
        <v>368556.24428150512</v>
      </c>
      <c r="N37" s="135">
        <f t="shared" si="20"/>
        <v>401059.48511289572</v>
      </c>
      <c r="O37" s="135">
        <f t="shared" si="20"/>
        <v>372425.98607551493</v>
      </c>
      <c r="P37" s="135">
        <f t="shared" si="20"/>
        <v>372709.36197796708</v>
      </c>
      <c r="Q37" s="135">
        <f t="shared" si="20"/>
        <v>372997.38193591591</v>
      </c>
      <c r="R37" s="135">
        <f t="shared" si="20"/>
        <v>373107.54767404147</v>
      </c>
      <c r="S37" s="135">
        <f t="shared" si="20"/>
        <v>365833.19987208222</v>
      </c>
      <c r="T37" s="135">
        <f t="shared" si="20"/>
        <v>365741.89907700417</v>
      </c>
      <c r="U37" s="135">
        <f t="shared" si="20"/>
        <v>365524.85878247232</v>
      </c>
      <c r="V37" s="135">
        <f t="shared" si="20"/>
        <v>364982.2655906427</v>
      </c>
      <c r="W37" s="135">
        <f t="shared" si="20"/>
        <v>364611.62600706355</v>
      </c>
      <c r="X37" s="135">
        <f t="shared" si="20"/>
        <v>363855.12043905968</v>
      </c>
      <c r="Y37" s="135">
        <f t="shared" si="20"/>
        <v>362907.27888025285</v>
      </c>
      <c r="Z37" s="135">
        <f t="shared" si="20"/>
        <v>361563.55149560637</v>
      </c>
      <c r="AA37" s="135">
        <f t="shared" si="20"/>
        <v>359975.11138064368</v>
      </c>
      <c r="AB37" s="135">
        <f t="shared" si="20"/>
        <v>357961.51345294015</v>
      </c>
      <c r="AC37" s="135">
        <f t="shared" si="20"/>
        <v>354694.47322746203</v>
      </c>
      <c r="AD37" s="135">
        <f t="shared" si="20"/>
        <v>350578.1747499787</v>
      </c>
      <c r="AE37" s="135">
        <f t="shared" si="20"/>
        <v>344066.02370158973</v>
      </c>
      <c r="AF37" s="135">
        <f t="shared" si="20"/>
        <v>314347.0375327263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2">D27</f>
        <v>725356.85352382285</v>
      </c>
      <c r="E45" s="1227">
        <f t="shared" si="22"/>
        <v>761828.63043885329</v>
      </c>
      <c r="F45" s="1227">
        <f t="shared" si="22"/>
        <v>885889.84541072126</v>
      </c>
      <c r="G45" s="1227">
        <f t="shared" si="22"/>
        <v>987003.66554251267</v>
      </c>
      <c r="H45" s="1227">
        <f t="shared" si="22"/>
        <v>1236097.9959341185</v>
      </c>
      <c r="I45" s="1227">
        <f t="shared" si="22"/>
        <v>1593813.2030140865</v>
      </c>
      <c r="J45" s="1227">
        <f t="shared" si="22"/>
        <v>1818859.3253650826</v>
      </c>
      <c r="K45" s="1227">
        <f t="shared" si="22"/>
        <v>1953492.7471834093</v>
      </c>
      <c r="L45" s="1227">
        <f t="shared" si="22"/>
        <v>2034443.7960340108</v>
      </c>
      <c r="M45" s="1227">
        <f t="shared" si="22"/>
        <v>2210076.3568453528</v>
      </c>
      <c r="N45" s="1227">
        <f t="shared" si="22"/>
        <v>2479747.5033088974</v>
      </c>
      <c r="O45" s="1227">
        <f t="shared" si="22"/>
        <v>2495936.2963533294</v>
      </c>
      <c r="P45" s="1227">
        <f t="shared" si="22"/>
        <v>2501092.5501838522</v>
      </c>
      <c r="Q45" s="1227">
        <f t="shared" si="22"/>
        <v>2506518.8021251559</v>
      </c>
      <c r="R45" s="1227">
        <f t="shared" si="22"/>
        <v>2511518.5819944674</v>
      </c>
      <c r="S45" s="1227">
        <f t="shared" si="22"/>
        <v>2486928.2446260685</v>
      </c>
      <c r="T45" s="1227">
        <f t="shared" si="22"/>
        <v>2491416.7917343825</v>
      </c>
      <c r="U45" s="1227">
        <f t="shared" si="22"/>
        <v>2495806.8600355997</v>
      </c>
      <c r="V45" s="1227">
        <f t="shared" si="22"/>
        <v>2499372.7376093846</v>
      </c>
      <c r="W45" s="1227">
        <f t="shared" si="22"/>
        <v>2504200.0546502816</v>
      </c>
      <c r="X45" s="1227">
        <f t="shared" si="22"/>
        <v>2508817.7827951703</v>
      </c>
      <c r="Y45" s="1227">
        <f t="shared" si="22"/>
        <v>2512456.2607789598</v>
      </c>
      <c r="Z45" s="1227">
        <f t="shared" si="22"/>
        <v>2515572.6017763936</v>
      </c>
      <c r="AA45" s="1227">
        <f t="shared" si="22"/>
        <v>2519125.3002752322</v>
      </c>
      <c r="AB45" s="1227">
        <f t="shared" si="22"/>
        <v>2522958.6593148457</v>
      </c>
      <c r="AC45" s="1227">
        <f t="shared" si="22"/>
        <v>2527088.9368509674</v>
      </c>
      <c r="AD45" s="1227">
        <f t="shared" si="22"/>
        <v>2530707.9941917462</v>
      </c>
      <c r="AE45" s="1227">
        <f t="shared" si="22"/>
        <v>2535192.7668742584</v>
      </c>
      <c r="AF45" s="1227">
        <f t="shared" si="22"/>
        <v>2538048.8239476741</v>
      </c>
      <c r="AG45" s="1229">
        <f>SUM(C45:AF45)</f>
        <v>62233822.428214751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6" si="23">SUM(C46:AF46)</f>
        <v>0</v>
      </c>
    </row>
    <row r="47" spans="2:34" s="205" customFormat="1" ht="21" customHeight="1">
      <c r="B47" s="468" t="s">
        <v>229</v>
      </c>
      <c r="C47" s="1212">
        <f>C48+C53</f>
        <v>-563262.22957299976</v>
      </c>
      <c r="D47" s="1212">
        <f t="shared" ref="D47:AF47" si="24">D48+D53</f>
        <v>-561656.73038045038</v>
      </c>
      <c r="E47" s="1212">
        <f t="shared" si="24"/>
        <v>-526558.43434490811</v>
      </c>
      <c r="F47" s="1212">
        <f t="shared" si="24"/>
        <v>-1656331.7371514337</v>
      </c>
      <c r="G47" s="1212">
        <f t="shared" si="24"/>
        <v>-5488637.5529870847</v>
      </c>
      <c r="H47" s="1212">
        <f t="shared" si="24"/>
        <v>-1020483.3257311017</v>
      </c>
      <c r="I47" s="1212">
        <f t="shared" si="24"/>
        <v>-2117001.7983584367</v>
      </c>
      <c r="J47" s="1212">
        <f t="shared" si="24"/>
        <v>-1646829.6102130874</v>
      </c>
      <c r="K47" s="1212">
        <f t="shared" si="24"/>
        <v>-2406611.2387832785</v>
      </c>
      <c r="L47" s="1212">
        <f t="shared" si="24"/>
        <v>-2164350.367635787</v>
      </c>
      <c r="M47" s="1212">
        <f t="shared" si="24"/>
        <v>-3163381.9718445125</v>
      </c>
      <c r="N47" s="1212">
        <f t="shared" si="24"/>
        <v>-2907091.1052447325</v>
      </c>
      <c r="O47" s="1212">
        <f t="shared" si="24"/>
        <v>-583526.09481483686</v>
      </c>
      <c r="P47" s="1212">
        <f t="shared" si="24"/>
        <v>-583911.48604217183</v>
      </c>
      <c r="Q47" s="1212">
        <f t="shared" si="24"/>
        <v>-584303.19318498217</v>
      </c>
      <c r="R47" s="1212">
        <f t="shared" si="24"/>
        <v>-579165.01858883305</v>
      </c>
      <c r="S47" s="1212">
        <f t="shared" si="24"/>
        <v>-569271.90557816834</v>
      </c>
      <c r="T47" s="1212">
        <f t="shared" si="24"/>
        <v>-569147.73649686226</v>
      </c>
      <c r="U47" s="1212">
        <f t="shared" si="24"/>
        <v>-568852.56169629889</v>
      </c>
      <c r="V47" s="1212">
        <f t="shared" si="24"/>
        <v>-568114.63495541061</v>
      </c>
      <c r="W47" s="1212">
        <f t="shared" si="24"/>
        <v>-573305.56512174301</v>
      </c>
      <c r="X47" s="1212">
        <f t="shared" si="24"/>
        <v>-562921.7175492578</v>
      </c>
      <c r="Y47" s="1212">
        <f t="shared" si="24"/>
        <v>-561632.65302928048</v>
      </c>
      <c r="Z47" s="1212">
        <f t="shared" si="24"/>
        <v>-559805.18378616124</v>
      </c>
      <c r="AA47" s="1212">
        <f t="shared" si="24"/>
        <v>-557644.90522981202</v>
      </c>
      <c r="AB47" s="1212">
        <f t="shared" si="24"/>
        <v>-564261.41204813519</v>
      </c>
      <c r="AC47" s="1212">
        <f t="shared" si="24"/>
        <v>-551277.23734148499</v>
      </c>
      <c r="AD47" s="1212">
        <f t="shared" si="24"/>
        <v>-546493.07141210767</v>
      </c>
      <c r="AE47" s="1212">
        <f t="shared" si="24"/>
        <v>-538854.54598629859</v>
      </c>
      <c r="AF47" s="1228">
        <f t="shared" si="24"/>
        <v>-495599.21904124069</v>
      </c>
      <c r="AG47" s="1231">
        <f t="shared" si="23"/>
        <v>-34340284.244150907</v>
      </c>
    </row>
    <row r="48" spans="2:34" s="206" customFormat="1" ht="21" customHeight="1">
      <c r="B48" s="468" t="s">
        <v>230</v>
      </c>
      <c r="C48" s="1212">
        <f>SUM(C49:C52)</f>
        <v>-563262.22957299976</v>
      </c>
      <c r="D48" s="1212">
        <f t="shared" ref="D48:AF48" si="25">SUM(D49:D52)</f>
        <v>-345639.16425320646</v>
      </c>
      <c r="E48" s="1212">
        <f t="shared" si="25"/>
        <v>-302337.51106105704</v>
      </c>
      <c r="F48" s="1212">
        <f t="shared" si="25"/>
        <v>-1393737.2138793978</v>
      </c>
      <c r="G48" s="1212">
        <f t="shared" si="25"/>
        <v>-5209890.1252055857</v>
      </c>
      <c r="H48" s="1212">
        <f t="shared" si="25"/>
        <v>-727898.33131925284</v>
      </c>
      <c r="I48" s="1212">
        <f t="shared" si="25"/>
        <v>-1713105.5265664214</v>
      </c>
      <c r="J48" s="1212">
        <f t="shared" si="25"/>
        <v>-1191741.8254753242</v>
      </c>
      <c r="K48" s="1212">
        <f t="shared" si="25"/>
        <v>-1924165.9188391753</v>
      </c>
      <c r="L48" s="1211">
        <f t="shared" si="25"/>
        <v>-1685534.8535779708</v>
      </c>
      <c r="M48" s="1211">
        <f t="shared" si="25"/>
        <v>-2653505.4796216656</v>
      </c>
      <c r="N48" s="1211">
        <f t="shared" si="25"/>
        <v>-2353010.2054911945</v>
      </c>
      <c r="O48" s="1211">
        <f t="shared" si="25"/>
        <v>-68386.753752136574</v>
      </c>
      <c r="P48" s="1211">
        <f t="shared" si="25"/>
        <v>-68386.753752136574</v>
      </c>
      <c r="Q48" s="1211">
        <f t="shared" si="25"/>
        <v>-68386.753752136574</v>
      </c>
      <c r="R48" s="1211">
        <f t="shared" si="25"/>
        <v>-63098.753752136574</v>
      </c>
      <c r="S48" s="1211">
        <f t="shared" si="25"/>
        <v>-63098.753752136574</v>
      </c>
      <c r="T48" s="1211">
        <f t="shared" si="25"/>
        <v>-63098.753752136574</v>
      </c>
      <c r="U48" s="1211">
        <f t="shared" si="25"/>
        <v>-63098.753752136574</v>
      </c>
      <c r="V48" s="1211">
        <f t="shared" si="25"/>
        <v>-63098.753752136574</v>
      </c>
      <c r="W48" s="1211">
        <f t="shared" si="25"/>
        <v>-68793.753752136574</v>
      </c>
      <c r="X48" s="1211">
        <f t="shared" si="25"/>
        <v>-59438.753752136574</v>
      </c>
      <c r="Y48" s="1211">
        <f t="shared" si="25"/>
        <v>-59438.753752136574</v>
      </c>
      <c r="Z48" s="1211">
        <f t="shared" si="25"/>
        <v>-59438.753752136574</v>
      </c>
      <c r="AA48" s="1211">
        <f t="shared" si="25"/>
        <v>-59438.753752136574</v>
      </c>
      <c r="AB48" s="1211">
        <f t="shared" si="25"/>
        <v>-68793.753752136574</v>
      </c>
      <c r="AC48" s="1211">
        <f t="shared" si="25"/>
        <v>-60252.753752136574</v>
      </c>
      <c r="AD48" s="1211">
        <f t="shared" si="25"/>
        <v>-61066.753752136574</v>
      </c>
      <c r="AE48" s="1211">
        <f t="shared" si="25"/>
        <v>-62284.753752136574</v>
      </c>
      <c r="AF48" s="1211">
        <f t="shared" si="25"/>
        <v>-59447.247996732927</v>
      </c>
      <c r="AG48" s="1231">
        <f t="shared" si="23"/>
        <v>-21202876.446646273</v>
      </c>
      <c r="AH48" s="207"/>
    </row>
    <row r="49" spans="2:34" s="206" customFormat="1" ht="21" customHeight="1">
      <c r="B49" s="1258" t="s">
        <v>231</v>
      </c>
      <c r="C49" s="1214">
        <f t="array" ref="C49:AF49">-TRANSPOSE('18 R1 Invest Total'!C4:C33)</f>
        <v>-408428.3754822117</v>
      </c>
      <c r="D49" s="1214">
        <v>-329783.01199834509</v>
      </c>
      <c r="E49" s="1214">
        <v>-226602.31678867349</v>
      </c>
      <c r="F49" s="1214">
        <v>-1359859.3479073208</v>
      </c>
      <c r="G49" s="1214">
        <v>-423362.0777800596</v>
      </c>
      <c r="H49" s="1214">
        <v>-99278.617780059591</v>
      </c>
      <c r="I49" s="1214">
        <v>-14581.887780059598</v>
      </c>
      <c r="J49" s="1214">
        <v>-14581.887780059598</v>
      </c>
      <c r="K49" s="1214">
        <v>-14581.887780059598</v>
      </c>
      <c r="L49" s="1214">
        <v>-15189.887780059598</v>
      </c>
      <c r="M49" s="1214">
        <v>-14785.887780059598</v>
      </c>
      <c r="N49" s="1214">
        <v>-14275.887780059598</v>
      </c>
      <c r="O49" s="1214">
        <v>-14275.887780059598</v>
      </c>
      <c r="P49" s="1214">
        <v>-14275.887780059598</v>
      </c>
      <c r="Q49" s="1214">
        <v>-14275.887780059598</v>
      </c>
      <c r="R49" s="1214">
        <v>-12851.887780059598</v>
      </c>
      <c r="S49" s="1214">
        <v>-12851.887780059598</v>
      </c>
      <c r="T49" s="1214">
        <v>-12851.887780059598</v>
      </c>
      <c r="U49" s="1214">
        <v>-12851.887780059598</v>
      </c>
      <c r="V49" s="1214">
        <v>-12851.887780059598</v>
      </c>
      <c r="W49" s="1214">
        <v>-14377.887780059598</v>
      </c>
      <c r="X49" s="1214">
        <v>-11835.887780059598</v>
      </c>
      <c r="Y49" s="1214">
        <v>-11835.887780059598</v>
      </c>
      <c r="Z49" s="1214">
        <v>-11835.887780059598</v>
      </c>
      <c r="AA49" s="1214">
        <v>-11835.887780059598</v>
      </c>
      <c r="AB49" s="1214">
        <v>-14377.887780059598</v>
      </c>
      <c r="AC49" s="1214">
        <v>-12039.887780059598</v>
      </c>
      <c r="AD49" s="1214">
        <v>-12243.887780059598</v>
      </c>
      <c r="AE49" s="1214">
        <v>-12647.887780059598</v>
      </c>
      <c r="AF49" s="1230">
        <v>-9773.2620246559418</v>
      </c>
      <c r="AG49" s="1231">
        <f t="shared" si="23"/>
        <v>-3165202.4287026967</v>
      </c>
    </row>
    <row r="50" spans="2:34" s="206" customFormat="1" ht="21" customHeight="1">
      <c r="B50" s="1259" t="s">
        <v>749</v>
      </c>
      <c r="C50" s="1214"/>
      <c r="D50" s="1214"/>
      <c r="E50" s="1214"/>
      <c r="F50" s="1214"/>
      <c r="G50" s="1214"/>
      <c r="H50" s="1214"/>
      <c r="I50" s="1214"/>
      <c r="J50" s="1214"/>
      <c r="K50" s="1214"/>
      <c r="L50" s="1222">
        <f>-'E2 VALE PASSAROS'!B38</f>
        <v>-685756.7830182102</v>
      </c>
      <c r="M50" s="1222">
        <f>-'E2 VALE PASSAROS'!C38</f>
        <v>0</v>
      </c>
      <c r="N50" s="1222">
        <f>-'E2 VALE PASSAROS'!D38</f>
        <v>0</v>
      </c>
      <c r="O50" s="1222">
        <f>-'E2 VALE PASSAROS'!E38</f>
        <v>0</v>
      </c>
      <c r="P50" s="1222">
        <f>-'E2 VALE PASSAROS'!F38</f>
        <v>0</v>
      </c>
      <c r="Q50" s="1222">
        <f>-'E2 VALE PASSAROS'!G38</f>
        <v>0</v>
      </c>
      <c r="R50" s="1222">
        <f>-'E2 VALE PASSAROS'!H38</f>
        <v>0</v>
      </c>
      <c r="S50" s="1222">
        <f>-'E2 VALE PASSAROS'!B55</f>
        <v>0</v>
      </c>
      <c r="T50" s="1222">
        <f>-'E2 VALE PASSAROS'!C55</f>
        <v>0</v>
      </c>
      <c r="U50" s="1222">
        <f>-'E2 VALE PASSAROS'!D55</f>
        <v>0</v>
      </c>
      <c r="V50" s="1222">
        <f>-'E2 VALE PASSAROS'!E55</f>
        <v>0</v>
      </c>
      <c r="W50" s="1222">
        <f>-'E2 VALE PASSAROS'!F55</f>
        <v>0</v>
      </c>
      <c r="X50" s="1222">
        <f>-'E2 VALE PASSAROS'!G55</f>
        <v>0</v>
      </c>
      <c r="Y50" s="1222">
        <f>-'E2 VALE PASSAROS'!H55</f>
        <v>0</v>
      </c>
      <c r="Z50" s="1222">
        <f>-'E2 VALE PASSAROS'!B72</f>
        <v>0</v>
      </c>
      <c r="AA50" s="1222">
        <f>-'E2 VALE PASSAROS'!C72</f>
        <v>0</v>
      </c>
      <c r="AB50" s="1222">
        <f>-'E2 VALE PASSAROS'!D72</f>
        <v>0</v>
      </c>
      <c r="AC50" s="1222">
        <f>-'E2 VALE PASSAROS'!E72</f>
        <v>0</v>
      </c>
      <c r="AD50" s="1222">
        <f>-'E2 VALE PASSAROS'!F72</f>
        <v>0</v>
      </c>
      <c r="AE50" s="1222">
        <f>-'E2 VALE PASSAROS'!G72</f>
        <v>0</v>
      </c>
      <c r="AF50" s="1222">
        <f>-'E2 VALE PASSAROS'!H72</f>
        <v>0</v>
      </c>
      <c r="AG50" s="1231">
        <f t="shared" si="23"/>
        <v>-685756.7830182102</v>
      </c>
    </row>
    <row r="51" spans="2:34" s="206" customFormat="1" ht="21" customHeight="1">
      <c r="B51" s="470" t="s">
        <v>232</v>
      </c>
      <c r="C51" s="1214">
        <f t="array" ref="C51:AF51">-TRANSPOSE('18 R1 Invest Total'!D4:D33)</f>
        <v>-37879.125589369905</v>
      </c>
      <c r="D51" s="1214">
        <v>-571.94869673148537</v>
      </c>
      <c r="E51" s="1214">
        <v>-9420.8028316306008</v>
      </c>
      <c r="F51" s="1214">
        <v>-816</v>
      </c>
      <c r="G51" s="1214">
        <v>-4753466.1814534497</v>
      </c>
      <c r="H51" s="1214">
        <v>-595557.84756711626</v>
      </c>
      <c r="I51" s="1214">
        <v>-1665461.7728142848</v>
      </c>
      <c r="J51" s="1214">
        <v>-1144098.0717231876</v>
      </c>
      <c r="K51" s="1214">
        <v>-1876522.1650870387</v>
      </c>
      <c r="L51" s="1214">
        <v>-951526.31680762395</v>
      </c>
      <c r="M51" s="1214">
        <v>-2605657.7258695289</v>
      </c>
      <c r="N51" s="1214">
        <v>-2305672.4517390579</v>
      </c>
      <c r="O51" s="1214">
        <v>-21049</v>
      </c>
      <c r="P51" s="1214">
        <v>-21049</v>
      </c>
      <c r="Q51" s="1214">
        <v>-21049</v>
      </c>
      <c r="R51" s="1214">
        <v>-17185</v>
      </c>
      <c r="S51" s="1214">
        <v>-17185</v>
      </c>
      <c r="T51" s="1214">
        <v>-17185</v>
      </c>
      <c r="U51" s="1214">
        <v>-17185</v>
      </c>
      <c r="V51" s="1214">
        <v>-17185</v>
      </c>
      <c r="W51" s="1214">
        <v>-21354</v>
      </c>
      <c r="X51" s="1214">
        <v>-14541</v>
      </c>
      <c r="Y51" s="1214">
        <v>-14541</v>
      </c>
      <c r="Z51" s="1214">
        <v>-14541</v>
      </c>
      <c r="AA51" s="1214">
        <v>-14541</v>
      </c>
      <c r="AB51" s="1214">
        <v>-21354</v>
      </c>
      <c r="AC51" s="1214">
        <v>-15151</v>
      </c>
      <c r="AD51" s="1214">
        <v>-15761</v>
      </c>
      <c r="AE51" s="1214">
        <v>-16575</v>
      </c>
      <c r="AF51" s="1230">
        <v>-16612.120000000003</v>
      </c>
      <c r="AG51" s="1231">
        <f t="shared" si="23"/>
        <v>-16260693.530179018</v>
      </c>
    </row>
    <row r="52" spans="2:34" s="206" customFormat="1" ht="21" customHeight="1">
      <c r="B52" s="470" t="s">
        <v>233</v>
      </c>
      <c r="C52" s="1214">
        <f t="array" ref="C52:AF52">-TRANSPOSE('18 R1 Invest Total'!E4:E33)</f>
        <v>-116954.72850141811</v>
      </c>
      <c r="D52" s="1214">
        <v>-15284.203558129915</v>
      </c>
      <c r="E52" s="1214">
        <v>-66314.391440752952</v>
      </c>
      <c r="F52" s="1214">
        <v>-33061.865972076979</v>
      </c>
      <c r="G52" s="1214">
        <v>-33061.865972076979</v>
      </c>
      <c r="H52" s="1214">
        <v>-33061.865972076979</v>
      </c>
      <c r="I52" s="1214">
        <v>-33061.865972076979</v>
      </c>
      <c r="J52" s="1214">
        <v>-33061.865972076979</v>
      </c>
      <c r="K52" s="1214">
        <v>-33061.865972076979</v>
      </c>
      <c r="L52" s="1214">
        <v>-33061.865972076979</v>
      </c>
      <c r="M52" s="1214">
        <v>-33061.865972076979</v>
      </c>
      <c r="N52" s="1214">
        <v>-33061.865972076979</v>
      </c>
      <c r="O52" s="1214">
        <v>-33061.865972076979</v>
      </c>
      <c r="P52" s="1214">
        <v>-33061.865972076979</v>
      </c>
      <c r="Q52" s="1214">
        <v>-33061.865972076979</v>
      </c>
      <c r="R52" s="1214">
        <v>-33061.865972076979</v>
      </c>
      <c r="S52" s="1214">
        <v>-33061.865972076979</v>
      </c>
      <c r="T52" s="1214">
        <v>-33061.865972076979</v>
      </c>
      <c r="U52" s="1214">
        <v>-33061.865972076979</v>
      </c>
      <c r="V52" s="1214">
        <v>-33061.865972076979</v>
      </c>
      <c r="W52" s="1214">
        <v>-33061.865972076979</v>
      </c>
      <c r="X52" s="1214">
        <v>-33061.865972076979</v>
      </c>
      <c r="Y52" s="1214">
        <v>-33061.865972076979</v>
      </c>
      <c r="Z52" s="1214">
        <v>-33061.865972076979</v>
      </c>
      <c r="AA52" s="1214">
        <v>-33061.865972076979</v>
      </c>
      <c r="AB52" s="1214">
        <v>-33061.865972076979</v>
      </c>
      <c r="AC52" s="1214">
        <v>-33061.865972076979</v>
      </c>
      <c r="AD52" s="1214">
        <v>-33061.865972076979</v>
      </c>
      <c r="AE52" s="1214">
        <v>-33061.865972076979</v>
      </c>
      <c r="AF52" s="1230">
        <v>-33061.865972076979</v>
      </c>
      <c r="AG52" s="1231">
        <f t="shared" si="23"/>
        <v>-1091223.70474638</v>
      </c>
    </row>
    <row r="53" spans="2:34" s="206" customFormat="1" ht="21" customHeight="1">
      <c r="B53" s="468" t="s">
        <v>234</v>
      </c>
      <c r="C53" s="1212">
        <f>C54+C55</f>
        <v>0</v>
      </c>
      <c r="D53" s="1212">
        <f t="shared" ref="D53:AF53" si="26">D54+D55</f>
        <v>-216017.56612724392</v>
      </c>
      <c r="E53" s="1212">
        <f t="shared" si="26"/>
        <v>-224220.92328385104</v>
      </c>
      <c r="F53" s="1212">
        <f t="shared" si="26"/>
        <v>-262594.52327203582</v>
      </c>
      <c r="G53" s="1212">
        <f t="shared" si="26"/>
        <v>-278747.42778149887</v>
      </c>
      <c r="H53" s="1212">
        <f t="shared" si="26"/>
        <v>-292584.99441184889</v>
      </c>
      <c r="I53" s="1212">
        <f t="shared" si="26"/>
        <v>-403896.27179201529</v>
      </c>
      <c r="J53" s="1212">
        <f t="shared" si="26"/>
        <v>-455087.78473776334</v>
      </c>
      <c r="K53" s="1212">
        <f t="shared" si="26"/>
        <v>-482445.31994410313</v>
      </c>
      <c r="L53" s="1212">
        <f t="shared" si="26"/>
        <v>-478815.51405781624</v>
      </c>
      <c r="M53" s="1212">
        <f t="shared" si="26"/>
        <v>-509876.49222284695</v>
      </c>
      <c r="N53" s="1212">
        <f t="shared" si="26"/>
        <v>-554080.89975353819</v>
      </c>
      <c r="O53" s="1212">
        <f t="shared" si="26"/>
        <v>-515139.34106270026</v>
      </c>
      <c r="P53" s="1212">
        <f t="shared" si="26"/>
        <v>-515524.73229003523</v>
      </c>
      <c r="Q53" s="1212">
        <f t="shared" si="26"/>
        <v>-515916.43943284563</v>
      </c>
      <c r="R53" s="1212">
        <f t="shared" si="26"/>
        <v>-516066.26483669644</v>
      </c>
      <c r="S53" s="1212">
        <f t="shared" si="26"/>
        <v>-506173.1518260318</v>
      </c>
      <c r="T53" s="1212">
        <f t="shared" si="26"/>
        <v>-506048.98274472565</v>
      </c>
      <c r="U53" s="1212">
        <f t="shared" si="26"/>
        <v>-505753.80794416234</v>
      </c>
      <c r="V53" s="1212">
        <f t="shared" si="26"/>
        <v>-505015.88120327407</v>
      </c>
      <c r="W53" s="1212">
        <f t="shared" si="26"/>
        <v>-504511.81136960641</v>
      </c>
      <c r="X53" s="1212">
        <f t="shared" si="26"/>
        <v>-503482.96379712119</v>
      </c>
      <c r="Y53" s="1212">
        <f t="shared" si="26"/>
        <v>-502193.89927714388</v>
      </c>
      <c r="Z53" s="1212">
        <f t="shared" si="26"/>
        <v>-500366.43003402464</v>
      </c>
      <c r="AA53" s="1212">
        <f t="shared" si="26"/>
        <v>-498206.15147767542</v>
      </c>
      <c r="AB53" s="1212">
        <f t="shared" si="26"/>
        <v>-495467.65829599858</v>
      </c>
      <c r="AC53" s="1212">
        <f t="shared" si="26"/>
        <v>-491024.48358934838</v>
      </c>
      <c r="AD53" s="1212">
        <f t="shared" si="26"/>
        <v>-485426.31765997107</v>
      </c>
      <c r="AE53" s="1212">
        <f t="shared" si="26"/>
        <v>-476569.79223416199</v>
      </c>
      <c r="AF53" s="1228">
        <f t="shared" si="26"/>
        <v>-436151.97104450775</v>
      </c>
      <c r="AG53" s="1231">
        <f t="shared" si="23"/>
        <v>-13137407.797504591</v>
      </c>
    </row>
    <row r="54" spans="2:34" s="206" customFormat="1" ht="21" customHeight="1">
      <c r="B54" s="469" t="s">
        <v>235</v>
      </c>
      <c r="C54" s="1214">
        <f>C31</f>
        <v>0</v>
      </c>
      <c r="D54" s="1214">
        <f t="shared" ref="D54:AF55" si="27">D31</f>
        <v>-152483.50450532642</v>
      </c>
      <c r="E54" s="1214">
        <f t="shared" si="27"/>
        <v>-158515.38476753753</v>
      </c>
      <c r="F54" s="1214">
        <f t="shared" si="27"/>
        <v>-186731.26711179104</v>
      </c>
      <c r="G54" s="1214">
        <f t="shared" si="27"/>
        <v>-198608.40278051386</v>
      </c>
      <c r="H54" s="1214">
        <f t="shared" si="27"/>
        <v>-208783.08412635949</v>
      </c>
      <c r="I54" s="1214">
        <f t="shared" si="27"/>
        <v>-290629.61161177594</v>
      </c>
      <c r="J54" s="1214">
        <f t="shared" si="27"/>
        <v>-328270.42995423777</v>
      </c>
      <c r="K54" s="1214">
        <f t="shared" si="27"/>
        <v>-348386.26466478169</v>
      </c>
      <c r="L54" s="1214">
        <f t="shared" si="27"/>
        <v>-345717.28974839428</v>
      </c>
      <c r="M54" s="1214">
        <f t="shared" si="27"/>
        <v>-368556.24428150512</v>
      </c>
      <c r="N54" s="1214">
        <f t="shared" si="27"/>
        <v>-401059.48511289572</v>
      </c>
      <c r="O54" s="1214">
        <f t="shared" si="27"/>
        <v>-372425.98607551493</v>
      </c>
      <c r="P54" s="1214">
        <f t="shared" si="27"/>
        <v>-372709.36197796708</v>
      </c>
      <c r="Q54" s="1214">
        <f t="shared" si="27"/>
        <v>-372997.38193591591</v>
      </c>
      <c r="R54" s="1214">
        <f t="shared" si="27"/>
        <v>-373107.54767404147</v>
      </c>
      <c r="S54" s="1214">
        <f t="shared" si="27"/>
        <v>-365833.19987208222</v>
      </c>
      <c r="T54" s="1214">
        <f t="shared" si="27"/>
        <v>-365741.89907700417</v>
      </c>
      <c r="U54" s="1214">
        <f t="shared" si="27"/>
        <v>-365524.85878247232</v>
      </c>
      <c r="V54" s="1214">
        <f t="shared" si="27"/>
        <v>-364982.2655906427</v>
      </c>
      <c r="W54" s="1214">
        <f t="shared" si="27"/>
        <v>-364611.62600706355</v>
      </c>
      <c r="X54" s="1214">
        <f t="shared" si="27"/>
        <v>-363855.12043905968</v>
      </c>
      <c r="Y54" s="1214">
        <f t="shared" si="27"/>
        <v>-362907.27888025285</v>
      </c>
      <c r="Z54" s="1214">
        <f t="shared" si="27"/>
        <v>-361563.55149560637</v>
      </c>
      <c r="AA54" s="1214">
        <f t="shared" si="27"/>
        <v>-359975.11138064368</v>
      </c>
      <c r="AB54" s="1214">
        <f t="shared" si="27"/>
        <v>-357961.51345294015</v>
      </c>
      <c r="AC54" s="1214">
        <f t="shared" si="27"/>
        <v>-354694.47322746203</v>
      </c>
      <c r="AD54" s="1214">
        <f t="shared" si="27"/>
        <v>-350578.1747499787</v>
      </c>
      <c r="AE54" s="1214">
        <f t="shared" si="27"/>
        <v>-344066.02370158973</v>
      </c>
      <c r="AF54" s="1214">
        <f t="shared" si="27"/>
        <v>-314347.0375327263</v>
      </c>
      <c r="AG54" s="1231">
        <f t="shared" si="23"/>
        <v>-9475623.3805180807</v>
      </c>
    </row>
    <row r="55" spans="2:34" s="206" customFormat="1" ht="21" customHeight="1" thickBot="1">
      <c r="B55" s="476" t="s">
        <v>236</v>
      </c>
      <c r="C55" s="1214">
        <f>C32</f>
        <v>0</v>
      </c>
      <c r="D55" s="1214">
        <f t="shared" si="27"/>
        <v>-63534.061621917506</v>
      </c>
      <c r="E55" s="1214">
        <f t="shared" si="27"/>
        <v>-65705.538516313507</v>
      </c>
      <c r="F55" s="1214">
        <f t="shared" si="27"/>
        <v>-75863.256160244768</v>
      </c>
      <c r="G55" s="1214">
        <f t="shared" si="27"/>
        <v>-80139.025000984999</v>
      </c>
      <c r="H55" s="1214">
        <f t="shared" si="27"/>
        <v>-83801.910285489415</v>
      </c>
      <c r="I55" s="1214">
        <f t="shared" si="27"/>
        <v>-113266.66018023933</v>
      </c>
      <c r="J55" s="1214">
        <f t="shared" si="27"/>
        <v>-126817.35478352559</v>
      </c>
      <c r="K55" s="1214">
        <f t="shared" si="27"/>
        <v>-134059.05527932142</v>
      </c>
      <c r="L55" s="1214">
        <f t="shared" si="27"/>
        <v>-133098.22430942193</v>
      </c>
      <c r="M55" s="1214">
        <f t="shared" si="27"/>
        <v>-141320.24794134183</v>
      </c>
      <c r="N55" s="1214">
        <f t="shared" si="27"/>
        <v>-153021.41464064244</v>
      </c>
      <c r="O55" s="1214">
        <f t="shared" si="27"/>
        <v>-142713.35498718536</v>
      </c>
      <c r="P55" s="1214">
        <f t="shared" si="27"/>
        <v>-142815.37031206815</v>
      </c>
      <c r="Q55" s="1214">
        <f t="shared" si="27"/>
        <v>-142919.05749692972</v>
      </c>
      <c r="R55" s="1214">
        <f t="shared" si="27"/>
        <v>-142958.71716265494</v>
      </c>
      <c r="S55" s="1214">
        <f t="shared" si="27"/>
        <v>-140339.95195394958</v>
      </c>
      <c r="T55" s="1214">
        <f t="shared" si="27"/>
        <v>-140307.08366772148</v>
      </c>
      <c r="U55" s="1214">
        <f t="shared" si="27"/>
        <v>-140228.94916169002</v>
      </c>
      <c r="V55" s="1214">
        <f t="shared" si="27"/>
        <v>-140033.61561263137</v>
      </c>
      <c r="W55" s="1214">
        <f t="shared" si="27"/>
        <v>-139900.18536254286</v>
      </c>
      <c r="X55" s="1214">
        <f t="shared" si="27"/>
        <v>-139627.84335806148</v>
      </c>
      <c r="Y55" s="1214">
        <f t="shared" si="27"/>
        <v>-139286.62039689103</v>
      </c>
      <c r="Z55" s="1214">
        <f t="shared" si="27"/>
        <v>-138802.8785384183</v>
      </c>
      <c r="AA55" s="1214">
        <f t="shared" si="27"/>
        <v>-138231.04009703171</v>
      </c>
      <c r="AB55" s="1214">
        <f t="shared" si="27"/>
        <v>-137506.14484305846</v>
      </c>
      <c r="AC55" s="1214">
        <f t="shared" si="27"/>
        <v>-136330.01036188632</v>
      </c>
      <c r="AD55" s="1214">
        <f t="shared" si="27"/>
        <v>-134848.14290999234</v>
      </c>
      <c r="AE55" s="1214">
        <f t="shared" si="27"/>
        <v>-132503.76853257229</v>
      </c>
      <c r="AF55" s="1214">
        <f t="shared" si="27"/>
        <v>-121804.93351178146</v>
      </c>
      <c r="AG55" s="1232">
        <f t="shared" si="23"/>
        <v>-3661784.4169865097</v>
      </c>
    </row>
    <row r="56" spans="2:34" s="206" customFormat="1" ht="21" customHeight="1" thickBot="1">
      <c r="B56" s="472" t="s">
        <v>237</v>
      </c>
      <c r="C56" s="1233">
        <f>C45+C47</f>
        <v>-218809.77007688157</v>
      </c>
      <c r="D56" s="1233">
        <f t="shared" ref="D56:AF56" si="28">D45+D47</f>
        <v>163700.12314337248</v>
      </c>
      <c r="E56" s="1233">
        <f t="shared" si="28"/>
        <v>235270.19609394518</v>
      </c>
      <c r="F56" s="1233">
        <f t="shared" si="28"/>
        <v>-770441.89174071245</v>
      </c>
      <c r="G56" s="1233">
        <f t="shared" si="28"/>
        <v>-4501633.8874445725</v>
      </c>
      <c r="H56" s="1233">
        <f t="shared" si="28"/>
        <v>215614.67020301684</v>
      </c>
      <c r="I56" s="1233">
        <f t="shared" si="28"/>
        <v>-523188.59534435021</v>
      </c>
      <c r="J56" s="1233">
        <f t="shared" si="28"/>
        <v>172029.71515199519</v>
      </c>
      <c r="K56" s="1233">
        <f t="shared" si="28"/>
        <v>-453118.49159986922</v>
      </c>
      <c r="L56" s="1233">
        <f t="shared" si="28"/>
        <v>-129906.57160177617</v>
      </c>
      <c r="M56" s="1233">
        <f t="shared" si="28"/>
        <v>-953305.6149991597</v>
      </c>
      <c r="N56" s="1233">
        <f t="shared" si="28"/>
        <v>-427343.60193583509</v>
      </c>
      <c r="O56" s="1233">
        <f t="shared" si="28"/>
        <v>1912410.2015384925</v>
      </c>
      <c r="P56" s="1233">
        <f t="shared" si="28"/>
        <v>1917181.0641416805</v>
      </c>
      <c r="Q56" s="1233">
        <f t="shared" si="28"/>
        <v>1922215.6089401739</v>
      </c>
      <c r="R56" s="1233">
        <f t="shared" si="28"/>
        <v>1932353.5634056344</v>
      </c>
      <c r="S56" s="1233">
        <f t="shared" si="28"/>
        <v>1917656.3390479002</v>
      </c>
      <c r="T56" s="1233">
        <f t="shared" si="28"/>
        <v>1922269.0552375203</v>
      </c>
      <c r="U56" s="1233">
        <f t="shared" si="28"/>
        <v>1926954.2983393008</v>
      </c>
      <c r="V56" s="1233">
        <f t="shared" si="28"/>
        <v>1931258.102653974</v>
      </c>
      <c r="W56" s="1233">
        <f t="shared" si="28"/>
        <v>1930894.4895285387</v>
      </c>
      <c r="X56" s="1233">
        <f t="shared" si="28"/>
        <v>1945896.0652459124</v>
      </c>
      <c r="Y56" s="1233">
        <f t="shared" si="28"/>
        <v>1950823.6077496794</v>
      </c>
      <c r="Z56" s="1233">
        <f t="shared" si="28"/>
        <v>1955767.4179902324</v>
      </c>
      <c r="AA56" s="1233">
        <f t="shared" si="28"/>
        <v>1961480.3950454202</v>
      </c>
      <c r="AB56" s="1233">
        <f t="shared" si="28"/>
        <v>1958697.2472667105</v>
      </c>
      <c r="AC56" s="1233">
        <f t="shared" si="28"/>
        <v>1975811.6995094824</v>
      </c>
      <c r="AD56" s="1233">
        <f t="shared" si="28"/>
        <v>1984214.9227796386</v>
      </c>
      <c r="AE56" s="1233">
        <f t="shared" si="28"/>
        <v>1996338.2208879599</v>
      </c>
      <c r="AF56" s="1234">
        <f t="shared" si="28"/>
        <v>2042449.6049064335</v>
      </c>
      <c r="AG56" s="1235">
        <f t="shared" si="23"/>
        <v>27893538.184063852</v>
      </c>
      <c r="AH56" s="207"/>
    </row>
    <row r="57" spans="2:34" s="206" customFormat="1" ht="21" customHeight="1" thickBot="1">
      <c r="B57" s="472" t="s">
        <v>238</v>
      </c>
      <c r="C57" s="886">
        <f>IRR(C56:AF56)</f>
        <v>0.12026572732016327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36"/>
    </row>
    <row r="58" spans="2:34" ht="15" thickBot="1"/>
    <row r="59" spans="2:34" ht="15.75" thickBot="1">
      <c r="B59" s="472" t="s">
        <v>714</v>
      </c>
      <c r="C59" s="886">
        <v>0.1203</v>
      </c>
    </row>
    <row r="60" spans="2:34" ht="15" thickBot="1"/>
    <row r="61" spans="2:34" ht="15.75" thickBot="1">
      <c r="B61" s="472" t="s">
        <v>659</v>
      </c>
      <c r="C61" s="886">
        <f>C57-C59</f>
        <v>-3.4272679836730435E-5</v>
      </c>
    </row>
    <row r="64" spans="2:34">
      <c r="AF64" s="41">
        <v>567.50879541981226</v>
      </c>
    </row>
    <row r="67" spans="32:32">
      <c r="AF67" s="41">
        <f>AF64*35%</f>
        <v>198.62807839693428</v>
      </c>
    </row>
  </sheetData>
  <mergeCells count="1">
    <mergeCell ref="AC42:AG42"/>
  </mergeCells>
  <conditionalFormatting sqref="B39">
    <cfRule type="cellIs" dxfId="27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EA0A5-45EF-40F8-AC2A-253DDE52B014}">
  <sheetPr>
    <tabColor theme="7"/>
  </sheetPr>
  <dimension ref="A1:O88"/>
  <sheetViews>
    <sheetView showGridLines="0" zoomScaleNormal="100" workbookViewId="0"/>
  </sheetViews>
  <sheetFormatPr defaultRowHeight="12.75"/>
  <cols>
    <col min="1" max="1" width="40.28515625" customWidth="1"/>
    <col min="2" max="22" width="15.7109375" customWidth="1"/>
    <col min="23" max="23" width="11.7109375" bestFit="1" customWidth="1"/>
    <col min="24" max="24" width="12.7109375" bestFit="1" customWidth="1"/>
  </cols>
  <sheetData>
    <row r="1" spans="1:8" ht="23.25">
      <c r="A1" s="1236" t="s">
        <v>757</v>
      </c>
    </row>
    <row r="2" spans="1:8" ht="23.25">
      <c r="A2" s="1236" t="s">
        <v>756</v>
      </c>
      <c r="B2" s="1192"/>
    </row>
    <row r="3" spans="1:8">
      <c r="B3" s="1192"/>
    </row>
    <row r="4" spans="1:8">
      <c r="A4" s="1248" t="s">
        <v>664</v>
      </c>
      <c r="B4" s="1249"/>
      <c r="C4" s="1250"/>
    </row>
    <row r="5" spans="1:8">
      <c r="A5" s="1194" t="s">
        <v>786</v>
      </c>
      <c r="B5" s="1013">
        <v>41944</v>
      </c>
      <c r="C5" s="1015">
        <v>4028.44</v>
      </c>
    </row>
    <row r="6" spans="1:8">
      <c r="B6" s="1013">
        <v>45170</v>
      </c>
      <c r="C6" s="1015">
        <v>6700.66</v>
      </c>
    </row>
    <row r="7" spans="1:8">
      <c r="B7" s="1013">
        <v>45108</v>
      </c>
      <c r="C7" s="1015">
        <v>6667.94</v>
      </c>
    </row>
    <row r="8" spans="1:8">
      <c r="C8" s="1245"/>
      <c r="D8" s="1192"/>
      <c r="E8" s="1245"/>
      <c r="F8" s="1245"/>
    </row>
    <row r="9" spans="1:8" ht="38.25">
      <c r="A9" s="1202" t="s">
        <v>717</v>
      </c>
      <c r="B9" s="1202" t="s">
        <v>718</v>
      </c>
      <c r="C9" s="1251" t="s">
        <v>719</v>
      </c>
      <c r="D9" s="1252" t="s">
        <v>720</v>
      </c>
      <c r="E9" s="1253" t="s">
        <v>721</v>
      </c>
      <c r="F9" s="1253" t="s">
        <v>919</v>
      </c>
      <c r="G9" s="1202" t="s">
        <v>722</v>
      </c>
    </row>
    <row r="10" spans="1:8">
      <c r="A10" s="1015" t="s">
        <v>725</v>
      </c>
      <c r="B10" s="1015" t="s">
        <v>724</v>
      </c>
      <c r="C10" s="1195">
        <v>1702847.94</v>
      </c>
      <c r="D10" s="1013">
        <v>45170</v>
      </c>
      <c r="E10" s="1195">
        <f>C10/(C6/C5)</f>
        <v>1023752.9967814514</v>
      </c>
      <c r="F10" s="1195">
        <f>C10*(C7/C6)</f>
        <v>1694532.7614061299</v>
      </c>
      <c r="G10" s="1021">
        <v>9</v>
      </c>
    </row>
    <row r="11" spans="1:8">
      <c r="A11" s="1015" t="s">
        <v>725</v>
      </c>
      <c r="B11" s="1197" t="s">
        <v>871</v>
      </c>
      <c r="C11" s="1195">
        <v>732206.14</v>
      </c>
      <c r="D11" s="1013">
        <v>45170</v>
      </c>
      <c r="E11" s="1195">
        <f>C11/(C6/C5)</f>
        <v>440202.68191813945</v>
      </c>
      <c r="F11" s="1195">
        <f>C11*(C7/C6)</f>
        <v>728630.70341602166</v>
      </c>
      <c r="G11" s="1021">
        <v>9</v>
      </c>
    </row>
    <row r="14" spans="1:8">
      <c r="A14" s="1248" t="s">
        <v>663</v>
      </c>
      <c r="B14" s="1250"/>
    </row>
    <row r="15" spans="1:8" ht="25.5">
      <c r="A15" s="1248"/>
      <c r="B15" s="1250"/>
      <c r="C15" s="1261" t="s">
        <v>212</v>
      </c>
      <c r="D15" s="1261" t="s">
        <v>213</v>
      </c>
      <c r="E15" s="1261" t="s">
        <v>215</v>
      </c>
      <c r="F15" s="1261" t="s">
        <v>216</v>
      </c>
      <c r="G15" s="1190" t="s">
        <v>217</v>
      </c>
      <c r="H15" s="1261" t="s">
        <v>218</v>
      </c>
    </row>
    <row r="16" spans="1:8">
      <c r="A16" s="1197" t="s">
        <v>758</v>
      </c>
      <c r="B16" s="1260" t="s">
        <v>730</v>
      </c>
      <c r="C16" s="1195">
        <f>SUM('16 R1 OPEX'!H14:H34)</f>
        <v>4681309.5</v>
      </c>
      <c r="D16" s="1195">
        <f>SUM('16 R1 OPEX'!I14:I34)</f>
        <v>2938018.94803529</v>
      </c>
      <c r="E16" s="1195">
        <f>SUM('16 R1 OPEX'!D14:D34)</f>
        <v>10410775.243503092</v>
      </c>
      <c r="F16" s="1195">
        <f>SUM('16 R1 OPEX'!E14:E34)</f>
        <v>339853.94964334345</v>
      </c>
      <c r="G16" s="1195">
        <f>SUM('16 R1 OPEX'!C14:C34)</f>
        <v>11618289.900000004</v>
      </c>
      <c r="H16" s="1195">
        <f>SUM('16 R1 OPEX'!F14:F34)</f>
        <v>8448253.3689758647</v>
      </c>
    </row>
    <row r="17" spans="1:9">
      <c r="A17" s="1197" t="s">
        <v>760</v>
      </c>
      <c r="B17" s="1260" t="s">
        <v>731</v>
      </c>
      <c r="C17" s="1254">
        <f>SUM('3 Vol'!E12:E33)</f>
        <v>14140851.795638708</v>
      </c>
      <c r="D17" s="1254">
        <f>C17</f>
        <v>14140851.795638708</v>
      </c>
      <c r="E17" s="1254">
        <f t="shared" ref="E17:H17" si="0">D17</f>
        <v>14140851.795638708</v>
      </c>
      <c r="F17" s="1254">
        <f t="shared" si="0"/>
        <v>14140851.795638708</v>
      </c>
      <c r="G17" s="1254">
        <f t="shared" si="0"/>
        <v>14140851.795638708</v>
      </c>
      <c r="H17" s="1254">
        <f t="shared" si="0"/>
        <v>14140851.795638708</v>
      </c>
    </row>
    <row r="18" spans="1:9">
      <c r="A18" s="1197" t="s">
        <v>729</v>
      </c>
      <c r="B18" s="1260" t="s">
        <v>732</v>
      </c>
      <c r="C18" s="1023">
        <f>ROUND(C16/C17,2)</f>
        <v>0.33</v>
      </c>
      <c r="D18" s="1023">
        <f t="shared" ref="D18:H18" si="1">ROUND(D16/D17,2)</f>
        <v>0.21</v>
      </c>
      <c r="E18" s="1023">
        <f t="shared" si="1"/>
        <v>0.74</v>
      </c>
      <c r="F18" s="1023">
        <f t="shared" si="1"/>
        <v>0.02</v>
      </c>
      <c r="G18" s="1023">
        <f t="shared" si="1"/>
        <v>0.82</v>
      </c>
      <c r="H18" s="1023">
        <f t="shared" si="1"/>
        <v>0.6</v>
      </c>
      <c r="I18" s="1262"/>
    </row>
    <row r="19" spans="1:9">
      <c r="F19" s="1187"/>
    </row>
    <row r="20" spans="1:9">
      <c r="A20" s="1248" t="s">
        <v>742</v>
      </c>
      <c r="B20" s="1248"/>
      <c r="C20" s="1248"/>
    </row>
    <row r="21" spans="1:9">
      <c r="A21" s="1197" t="s">
        <v>759</v>
      </c>
      <c r="B21" s="1197" t="s">
        <v>730</v>
      </c>
      <c r="C21" s="1195">
        <f>SUM('14 R1 FAT 2'!C13:C34)</f>
        <v>49504231.558930948</v>
      </c>
    </row>
    <row r="22" spans="1:9">
      <c r="A22" s="1197" t="s">
        <v>760</v>
      </c>
      <c r="B22" s="1197" t="s">
        <v>731</v>
      </c>
      <c r="C22" s="1254">
        <f>SUM('3 Vol'!E12:E33)</f>
        <v>14140851.795638708</v>
      </c>
    </row>
    <row r="23" spans="1:9">
      <c r="A23" s="1197" t="s">
        <v>741</v>
      </c>
      <c r="B23" s="1197" t="s">
        <v>732</v>
      </c>
      <c r="C23" s="1023">
        <f>ROUND(C21/C22,2)</f>
        <v>3.5</v>
      </c>
    </row>
    <row r="24" spans="1:9">
      <c r="A24" s="1187"/>
      <c r="B24" s="1187"/>
      <c r="C24" s="1257"/>
    </row>
    <row r="25" spans="1:9">
      <c r="A25" s="1248" t="s">
        <v>857</v>
      </c>
      <c r="B25" s="1248"/>
      <c r="C25" s="1248"/>
    </row>
    <row r="26" spans="1:9">
      <c r="A26" s="1197" t="s">
        <v>761</v>
      </c>
      <c r="B26" s="1197" t="s">
        <v>730</v>
      </c>
      <c r="C26" s="1195">
        <f>SUM('14 R1 FAT 2'!D13:D34)</f>
        <v>51612700.814250521</v>
      </c>
    </row>
    <row r="27" spans="1:9">
      <c r="A27" s="1197" t="s">
        <v>760</v>
      </c>
      <c r="B27" s="1197" t="s">
        <v>731</v>
      </c>
      <c r="C27" s="1254">
        <f>C22</f>
        <v>14140851.795638708</v>
      </c>
    </row>
    <row r="28" spans="1:9">
      <c r="A28" s="1197" t="s">
        <v>745</v>
      </c>
      <c r="B28" s="1197" t="s">
        <v>732</v>
      </c>
      <c r="C28" s="1023">
        <f>ROUND(C26/C27,2)</f>
        <v>3.65</v>
      </c>
    </row>
    <row r="29" spans="1:9">
      <c r="A29" s="1187"/>
      <c r="B29" s="1187"/>
      <c r="C29" s="1257"/>
    </row>
    <row r="30" spans="1:9">
      <c r="A30" s="1187"/>
      <c r="B30" s="1187"/>
      <c r="C30" s="1257"/>
    </row>
    <row r="31" spans="1:9">
      <c r="A31" s="1194" t="s">
        <v>743</v>
      </c>
      <c r="B31" s="1187"/>
      <c r="C31" s="1257"/>
    </row>
    <row r="33" spans="1:9">
      <c r="A33" s="1573" t="s">
        <v>856</v>
      </c>
      <c r="B33" s="1247" t="s">
        <v>369</v>
      </c>
      <c r="C33" s="1247" t="s">
        <v>370</v>
      </c>
      <c r="D33" s="1247" t="s">
        <v>371</v>
      </c>
      <c r="E33" s="1247" t="s">
        <v>372</v>
      </c>
      <c r="F33" s="1247" t="s">
        <v>373</v>
      </c>
      <c r="G33" s="1247" t="s">
        <v>374</v>
      </c>
      <c r="H33" s="1247" t="s">
        <v>375</v>
      </c>
      <c r="I33" s="1247" t="s">
        <v>376</v>
      </c>
    </row>
    <row r="34" spans="1:9">
      <c r="A34" s="1574"/>
      <c r="B34" s="1255">
        <v>2024</v>
      </c>
      <c r="C34" s="1255">
        <v>2025</v>
      </c>
      <c r="D34" s="1255">
        <v>2026</v>
      </c>
      <c r="E34" s="1255">
        <v>2027</v>
      </c>
      <c r="F34" s="1255">
        <v>2028</v>
      </c>
      <c r="G34" s="1255">
        <v>2029</v>
      </c>
      <c r="H34" s="1255">
        <v>2030</v>
      </c>
      <c r="I34" s="1255">
        <v>2031</v>
      </c>
    </row>
    <row r="35" spans="1:9">
      <c r="A35" s="1197" t="s">
        <v>867</v>
      </c>
      <c r="B35" s="1470">
        <v>2</v>
      </c>
      <c r="C35" s="1470">
        <v>4</v>
      </c>
      <c r="D35" s="1470">
        <v>6</v>
      </c>
      <c r="E35" s="1470">
        <v>8</v>
      </c>
      <c r="F35" s="1470">
        <f>E35</f>
        <v>8</v>
      </c>
      <c r="G35" s="1470">
        <f t="shared" ref="G35:H35" si="2">F35</f>
        <v>8</v>
      </c>
      <c r="H35" s="1470">
        <f t="shared" si="2"/>
        <v>8</v>
      </c>
      <c r="I35" s="1470">
        <f>H35</f>
        <v>8</v>
      </c>
    </row>
    <row r="36" spans="1:9">
      <c r="A36" s="1197" t="s">
        <v>748</v>
      </c>
      <c r="B36" s="1471">
        <f t="shared" ref="B36:I36" si="3">ROUNDUP(B35*$B$88,0)</f>
        <v>783</v>
      </c>
      <c r="C36" s="1471">
        <f t="shared" si="3"/>
        <v>1566</v>
      </c>
      <c r="D36" s="1471">
        <f t="shared" si="3"/>
        <v>2349</v>
      </c>
      <c r="E36" s="1471">
        <f t="shared" si="3"/>
        <v>3132</v>
      </c>
      <c r="F36" s="1471">
        <f t="shared" si="3"/>
        <v>3132</v>
      </c>
      <c r="G36" s="1471">
        <f t="shared" si="3"/>
        <v>3132</v>
      </c>
      <c r="H36" s="1471">
        <f t="shared" si="3"/>
        <v>3132</v>
      </c>
      <c r="I36" s="1471">
        <f t="shared" si="3"/>
        <v>3132</v>
      </c>
    </row>
    <row r="37" spans="1:9" s="1194" customFormat="1">
      <c r="A37" s="1199" t="s">
        <v>764</v>
      </c>
      <c r="B37" s="1246">
        <f>E10</f>
        <v>1023752.9967814514</v>
      </c>
      <c r="C37" s="1246"/>
      <c r="D37" s="1199"/>
      <c r="E37" s="1199"/>
      <c r="F37" s="1199"/>
      <c r="G37" s="1199"/>
      <c r="H37" s="1199"/>
      <c r="I37" s="1199"/>
    </row>
    <row r="38" spans="1:9" s="1194" customFormat="1">
      <c r="A38" s="1199" t="s">
        <v>765</v>
      </c>
      <c r="B38" s="1246">
        <f>E11</f>
        <v>440202.68191813945</v>
      </c>
      <c r="C38" s="1246"/>
      <c r="D38" s="1199"/>
      <c r="E38" s="1199"/>
      <c r="F38" s="1199"/>
      <c r="G38" s="1199"/>
      <c r="H38" s="1199"/>
      <c r="I38" s="1199"/>
    </row>
    <row r="39" spans="1:9" s="1194" customFormat="1">
      <c r="A39" s="1199" t="s">
        <v>750</v>
      </c>
      <c r="B39" s="1246">
        <f>ROUND($C$18*B$36,2)</f>
        <v>258.39</v>
      </c>
      <c r="C39" s="1246">
        <f>ROUND($C$18*C$36,2)</f>
        <v>516.78</v>
      </c>
      <c r="D39" s="1246">
        <f t="shared" ref="D39:H39" si="4">ROUND($C$18*D36,2)</f>
        <v>775.17</v>
      </c>
      <c r="E39" s="1246">
        <f t="shared" si="4"/>
        <v>1033.56</v>
      </c>
      <c r="F39" s="1246">
        <f t="shared" si="4"/>
        <v>1033.56</v>
      </c>
      <c r="G39" s="1246">
        <f t="shared" si="4"/>
        <v>1033.56</v>
      </c>
      <c r="H39" s="1246">
        <f t="shared" si="4"/>
        <v>1033.56</v>
      </c>
      <c r="I39" s="1246">
        <f>ROUND($C$18*I36,2)</f>
        <v>1033.56</v>
      </c>
    </row>
    <row r="40" spans="1:9" s="1194" customFormat="1">
      <c r="A40" s="1199" t="s">
        <v>751</v>
      </c>
      <c r="B40" s="1246">
        <f t="shared" ref="B40:H40" si="5">ROUND($D$18*B$36,2)</f>
        <v>164.43</v>
      </c>
      <c r="C40" s="1246">
        <f t="shared" si="5"/>
        <v>328.86</v>
      </c>
      <c r="D40" s="1246">
        <f t="shared" si="5"/>
        <v>493.29</v>
      </c>
      <c r="E40" s="1246">
        <f t="shared" si="5"/>
        <v>657.72</v>
      </c>
      <c r="F40" s="1246">
        <f t="shared" si="5"/>
        <v>657.72</v>
      </c>
      <c r="G40" s="1246">
        <f t="shared" si="5"/>
        <v>657.72</v>
      </c>
      <c r="H40" s="1246">
        <f t="shared" si="5"/>
        <v>657.72</v>
      </c>
      <c r="I40" s="1246">
        <f>ROUND($D$18*I$36,2)</f>
        <v>657.72</v>
      </c>
    </row>
    <row r="41" spans="1:9" s="1194" customFormat="1">
      <c r="A41" s="1199" t="s">
        <v>752</v>
      </c>
      <c r="B41" s="1246">
        <f t="shared" ref="B41:H41" si="6">ROUND($E$18*B$36,2)</f>
        <v>579.41999999999996</v>
      </c>
      <c r="C41" s="1246">
        <f t="shared" si="6"/>
        <v>1158.8399999999999</v>
      </c>
      <c r="D41" s="1246">
        <f t="shared" si="6"/>
        <v>1738.26</v>
      </c>
      <c r="E41" s="1246">
        <f t="shared" si="6"/>
        <v>2317.6799999999998</v>
      </c>
      <c r="F41" s="1246">
        <f t="shared" si="6"/>
        <v>2317.6799999999998</v>
      </c>
      <c r="G41" s="1246">
        <f t="shared" si="6"/>
        <v>2317.6799999999998</v>
      </c>
      <c r="H41" s="1246">
        <f t="shared" si="6"/>
        <v>2317.6799999999998</v>
      </c>
      <c r="I41" s="1246">
        <f>ROUND($E$18*I$36,2)</f>
        <v>2317.6799999999998</v>
      </c>
    </row>
    <row r="42" spans="1:9" s="1194" customFormat="1">
      <c r="A42" s="1199" t="s">
        <v>753</v>
      </c>
      <c r="B42" s="1246">
        <f t="shared" ref="B42:H42" si="7">ROUND($F$18*B$36,2)</f>
        <v>15.66</v>
      </c>
      <c r="C42" s="1246">
        <f t="shared" si="7"/>
        <v>31.32</v>
      </c>
      <c r="D42" s="1246">
        <f t="shared" si="7"/>
        <v>46.98</v>
      </c>
      <c r="E42" s="1246">
        <f t="shared" si="7"/>
        <v>62.64</v>
      </c>
      <c r="F42" s="1246">
        <f t="shared" si="7"/>
        <v>62.64</v>
      </c>
      <c r="G42" s="1246">
        <f t="shared" si="7"/>
        <v>62.64</v>
      </c>
      <c r="H42" s="1246">
        <f t="shared" si="7"/>
        <v>62.64</v>
      </c>
      <c r="I42" s="1246">
        <f>ROUND($F$18*I$36,2)</f>
        <v>62.64</v>
      </c>
    </row>
    <row r="43" spans="1:9" s="1194" customFormat="1">
      <c r="A43" s="1199" t="s">
        <v>755</v>
      </c>
      <c r="B43" s="1246">
        <f t="shared" ref="B43:H43" si="8">ROUND($G$18*B$36,2)</f>
        <v>642.05999999999995</v>
      </c>
      <c r="C43" s="1246">
        <f t="shared" si="8"/>
        <v>1284.1199999999999</v>
      </c>
      <c r="D43" s="1246">
        <f t="shared" si="8"/>
        <v>1926.18</v>
      </c>
      <c r="E43" s="1246">
        <f t="shared" si="8"/>
        <v>2568.2399999999998</v>
      </c>
      <c r="F43" s="1246">
        <f t="shared" si="8"/>
        <v>2568.2399999999998</v>
      </c>
      <c r="G43" s="1246">
        <f t="shared" si="8"/>
        <v>2568.2399999999998</v>
      </c>
      <c r="H43" s="1246">
        <f t="shared" si="8"/>
        <v>2568.2399999999998</v>
      </c>
      <c r="I43" s="1246">
        <f>ROUND($G$18*I$36,2)</f>
        <v>2568.2399999999998</v>
      </c>
    </row>
    <row r="44" spans="1:9" s="1194" customFormat="1">
      <c r="A44" s="1199" t="s">
        <v>754</v>
      </c>
      <c r="B44" s="1246">
        <f t="shared" ref="B44:H44" si="9">ROUND($H$18*B$36,2)</f>
        <v>469.8</v>
      </c>
      <c r="C44" s="1246">
        <f t="shared" si="9"/>
        <v>939.6</v>
      </c>
      <c r="D44" s="1246">
        <f t="shared" si="9"/>
        <v>1409.4</v>
      </c>
      <c r="E44" s="1246">
        <f t="shared" si="9"/>
        <v>1879.2</v>
      </c>
      <c r="F44" s="1246">
        <f t="shared" si="9"/>
        <v>1879.2</v>
      </c>
      <c r="G44" s="1246">
        <f t="shared" si="9"/>
        <v>1879.2</v>
      </c>
      <c r="H44" s="1246">
        <f t="shared" si="9"/>
        <v>1879.2</v>
      </c>
      <c r="I44" s="1246">
        <f>ROUND($H$18*I$36,2)</f>
        <v>1879.2</v>
      </c>
    </row>
    <row r="45" spans="1:9" s="1194" customFormat="1">
      <c r="A45" s="1199" t="s">
        <v>746</v>
      </c>
      <c r="B45" s="1246">
        <f>ROUND($C$23*B36,2)</f>
        <v>2740.5</v>
      </c>
      <c r="C45" s="1246">
        <f t="shared" ref="C45:H45" si="10">ROUND($C$23*C36,2)</f>
        <v>5481</v>
      </c>
      <c r="D45" s="1246">
        <f t="shared" si="10"/>
        <v>8221.5</v>
      </c>
      <c r="E45" s="1246">
        <f t="shared" si="10"/>
        <v>10962</v>
      </c>
      <c r="F45" s="1246">
        <f t="shared" si="10"/>
        <v>10962</v>
      </c>
      <c r="G45" s="1246">
        <f t="shared" si="10"/>
        <v>10962</v>
      </c>
      <c r="H45" s="1246">
        <f t="shared" si="10"/>
        <v>10962</v>
      </c>
      <c r="I45" s="1246">
        <f>ROUND($C$23*I36,2)</f>
        <v>10962</v>
      </c>
    </row>
    <row r="46" spans="1:9" s="1194" customFormat="1">
      <c r="A46" s="1199" t="s">
        <v>747</v>
      </c>
      <c r="B46" s="1246">
        <v>0</v>
      </c>
      <c r="C46" s="1246">
        <v>0</v>
      </c>
      <c r="D46" s="1246">
        <v>0</v>
      </c>
      <c r="E46" s="1246">
        <v>0</v>
      </c>
      <c r="F46" s="1246">
        <f>ROUND($C$28*F36,2)</f>
        <v>11431.8</v>
      </c>
      <c r="G46" s="1246">
        <f t="shared" ref="G46:H46" si="11">ROUND($C$28*G36,2)</f>
        <v>11431.8</v>
      </c>
      <c r="H46" s="1246">
        <f t="shared" si="11"/>
        <v>11431.8</v>
      </c>
      <c r="I46" s="1246">
        <f>ROUND($C$28*I36,2)</f>
        <v>11431.8</v>
      </c>
    </row>
    <row r="48" spans="1:9">
      <c r="A48" s="1573" t="s">
        <v>856</v>
      </c>
      <c r="B48" s="1247" t="s">
        <v>377</v>
      </c>
      <c r="C48" s="1247" t="s">
        <v>378</v>
      </c>
      <c r="D48" s="1247" t="s">
        <v>379</v>
      </c>
      <c r="E48" s="1247" t="s">
        <v>380</v>
      </c>
      <c r="F48" s="1247" t="s">
        <v>381</v>
      </c>
      <c r="G48" s="1247" t="s">
        <v>382</v>
      </c>
      <c r="H48" s="1247" t="s">
        <v>383</v>
      </c>
      <c r="I48" s="1247" t="s">
        <v>384</v>
      </c>
    </row>
    <row r="49" spans="1:9">
      <c r="A49" s="1574"/>
      <c r="B49" s="1255">
        <v>2032</v>
      </c>
      <c r="C49" s="1255">
        <v>2033</v>
      </c>
      <c r="D49" s="1255">
        <v>2034</v>
      </c>
      <c r="E49" s="1255">
        <v>2035</v>
      </c>
      <c r="F49" s="1255">
        <v>2036</v>
      </c>
      <c r="G49" s="1255">
        <v>2037</v>
      </c>
      <c r="H49" s="1255">
        <v>2038</v>
      </c>
      <c r="I49" s="1255">
        <v>2039</v>
      </c>
    </row>
    <row r="50" spans="1:9">
      <c r="A50" s="1197" t="s">
        <v>867</v>
      </c>
      <c r="B50" s="1470">
        <f>I35</f>
        <v>8</v>
      </c>
      <c r="C50" s="1470">
        <f t="shared" ref="C50:I50" si="12">B50</f>
        <v>8</v>
      </c>
      <c r="D50" s="1470">
        <f t="shared" si="12"/>
        <v>8</v>
      </c>
      <c r="E50" s="1470">
        <f t="shared" si="12"/>
        <v>8</v>
      </c>
      <c r="F50" s="1470">
        <f t="shared" si="12"/>
        <v>8</v>
      </c>
      <c r="G50" s="1470">
        <f t="shared" si="12"/>
        <v>8</v>
      </c>
      <c r="H50" s="1470">
        <f t="shared" si="12"/>
        <v>8</v>
      </c>
      <c r="I50" s="1470">
        <f t="shared" si="12"/>
        <v>8</v>
      </c>
    </row>
    <row r="51" spans="1:9">
      <c r="A51" s="1197" t="s">
        <v>748</v>
      </c>
      <c r="B51" s="1471">
        <f t="shared" ref="B51:I51" si="13">ROUNDUP(B50*$B$88,0)</f>
        <v>3132</v>
      </c>
      <c r="C51" s="1471">
        <f t="shared" si="13"/>
        <v>3132</v>
      </c>
      <c r="D51" s="1471">
        <f t="shared" si="13"/>
        <v>3132</v>
      </c>
      <c r="E51" s="1471">
        <f t="shared" si="13"/>
        <v>3132</v>
      </c>
      <c r="F51" s="1471">
        <f t="shared" si="13"/>
        <v>3132</v>
      </c>
      <c r="G51" s="1471">
        <f t="shared" si="13"/>
        <v>3132</v>
      </c>
      <c r="H51" s="1471">
        <f t="shared" si="13"/>
        <v>3132</v>
      </c>
      <c r="I51" s="1471">
        <f t="shared" si="13"/>
        <v>3132</v>
      </c>
    </row>
    <row r="52" spans="1:9">
      <c r="A52" s="1199" t="s">
        <v>764</v>
      </c>
      <c r="B52" s="1199"/>
      <c r="C52" s="1199"/>
      <c r="D52" s="1199"/>
      <c r="E52" s="1199"/>
      <c r="F52" s="1199"/>
      <c r="G52" s="1199"/>
      <c r="H52" s="1199"/>
      <c r="I52" s="1199"/>
    </row>
    <row r="53" spans="1:9">
      <c r="A53" s="1199" t="s">
        <v>765</v>
      </c>
      <c r="B53" s="1199"/>
      <c r="C53" s="1199"/>
      <c r="D53" s="1199"/>
      <c r="E53" s="1199"/>
      <c r="F53" s="1199"/>
      <c r="G53" s="1199"/>
      <c r="H53" s="1199"/>
      <c r="I53" s="1199"/>
    </row>
    <row r="54" spans="1:9">
      <c r="A54" s="1199" t="s">
        <v>750</v>
      </c>
      <c r="B54" s="1246">
        <f t="shared" ref="B54:I54" si="14">ROUND($C$18*B51,2)</f>
        <v>1033.56</v>
      </c>
      <c r="C54" s="1246">
        <f t="shared" si="14"/>
        <v>1033.56</v>
      </c>
      <c r="D54" s="1246">
        <f t="shared" si="14"/>
        <v>1033.56</v>
      </c>
      <c r="E54" s="1246">
        <f t="shared" si="14"/>
        <v>1033.56</v>
      </c>
      <c r="F54" s="1246">
        <f t="shared" si="14"/>
        <v>1033.56</v>
      </c>
      <c r="G54" s="1246">
        <f t="shared" si="14"/>
        <v>1033.56</v>
      </c>
      <c r="H54" s="1246">
        <f t="shared" si="14"/>
        <v>1033.56</v>
      </c>
      <c r="I54" s="1246">
        <f t="shared" si="14"/>
        <v>1033.56</v>
      </c>
    </row>
    <row r="55" spans="1:9">
      <c r="A55" s="1199" t="s">
        <v>751</v>
      </c>
      <c r="B55" s="1246">
        <f t="shared" ref="B55:I55" si="15">ROUND($D$18*B$51,2)</f>
        <v>657.72</v>
      </c>
      <c r="C55" s="1246">
        <f t="shared" si="15"/>
        <v>657.72</v>
      </c>
      <c r="D55" s="1246">
        <f t="shared" si="15"/>
        <v>657.72</v>
      </c>
      <c r="E55" s="1246">
        <f t="shared" si="15"/>
        <v>657.72</v>
      </c>
      <c r="F55" s="1246">
        <f t="shared" si="15"/>
        <v>657.72</v>
      </c>
      <c r="G55" s="1246">
        <f t="shared" si="15"/>
        <v>657.72</v>
      </c>
      <c r="H55" s="1246">
        <f t="shared" si="15"/>
        <v>657.72</v>
      </c>
      <c r="I55" s="1246">
        <f t="shared" si="15"/>
        <v>657.72</v>
      </c>
    </row>
    <row r="56" spans="1:9">
      <c r="A56" s="1199" t="s">
        <v>752</v>
      </c>
      <c r="B56" s="1246">
        <f t="shared" ref="B56:I56" si="16">ROUND($E$18*B$51,2)</f>
        <v>2317.6799999999998</v>
      </c>
      <c r="C56" s="1246">
        <f t="shared" si="16"/>
        <v>2317.6799999999998</v>
      </c>
      <c r="D56" s="1246">
        <f t="shared" si="16"/>
        <v>2317.6799999999998</v>
      </c>
      <c r="E56" s="1246">
        <f t="shared" si="16"/>
        <v>2317.6799999999998</v>
      </c>
      <c r="F56" s="1246">
        <f t="shared" si="16"/>
        <v>2317.6799999999998</v>
      </c>
      <c r="G56" s="1246">
        <f t="shared" si="16"/>
        <v>2317.6799999999998</v>
      </c>
      <c r="H56" s="1246">
        <f t="shared" si="16"/>
        <v>2317.6799999999998</v>
      </c>
      <c r="I56" s="1246">
        <f t="shared" si="16"/>
        <v>2317.6799999999998</v>
      </c>
    </row>
    <row r="57" spans="1:9">
      <c r="A57" s="1199" t="s">
        <v>753</v>
      </c>
      <c r="B57" s="1246">
        <f t="shared" ref="B57:I57" si="17">ROUND($F$18*B$51,2)</f>
        <v>62.64</v>
      </c>
      <c r="C57" s="1246">
        <f t="shared" si="17"/>
        <v>62.64</v>
      </c>
      <c r="D57" s="1246">
        <f t="shared" si="17"/>
        <v>62.64</v>
      </c>
      <c r="E57" s="1246">
        <f t="shared" si="17"/>
        <v>62.64</v>
      </c>
      <c r="F57" s="1246">
        <f t="shared" si="17"/>
        <v>62.64</v>
      </c>
      <c r="G57" s="1246">
        <f t="shared" si="17"/>
        <v>62.64</v>
      </c>
      <c r="H57" s="1246">
        <f t="shared" si="17"/>
        <v>62.64</v>
      </c>
      <c r="I57" s="1246">
        <f t="shared" si="17"/>
        <v>62.64</v>
      </c>
    </row>
    <row r="58" spans="1:9">
      <c r="A58" s="1199" t="s">
        <v>755</v>
      </c>
      <c r="B58" s="1246">
        <f t="shared" ref="B58:I58" si="18">ROUND($G$18*B$51,2)</f>
        <v>2568.2399999999998</v>
      </c>
      <c r="C58" s="1246">
        <f t="shared" si="18"/>
        <v>2568.2399999999998</v>
      </c>
      <c r="D58" s="1246">
        <f t="shared" si="18"/>
        <v>2568.2399999999998</v>
      </c>
      <c r="E58" s="1246">
        <f t="shared" si="18"/>
        <v>2568.2399999999998</v>
      </c>
      <c r="F58" s="1246">
        <f t="shared" si="18"/>
        <v>2568.2399999999998</v>
      </c>
      <c r="G58" s="1246">
        <f t="shared" si="18"/>
        <v>2568.2399999999998</v>
      </c>
      <c r="H58" s="1246">
        <f t="shared" si="18"/>
        <v>2568.2399999999998</v>
      </c>
      <c r="I58" s="1246">
        <f t="shared" si="18"/>
        <v>2568.2399999999998</v>
      </c>
    </row>
    <row r="59" spans="1:9">
      <c r="A59" s="1199" t="s">
        <v>754</v>
      </c>
      <c r="B59" s="1246">
        <f t="shared" ref="B59:I59" si="19">ROUND($H$18*B$51,2)</f>
        <v>1879.2</v>
      </c>
      <c r="C59" s="1246">
        <f t="shared" si="19"/>
        <v>1879.2</v>
      </c>
      <c r="D59" s="1246">
        <f t="shared" si="19"/>
        <v>1879.2</v>
      </c>
      <c r="E59" s="1246">
        <f t="shared" si="19"/>
        <v>1879.2</v>
      </c>
      <c r="F59" s="1246">
        <f t="shared" si="19"/>
        <v>1879.2</v>
      </c>
      <c r="G59" s="1246">
        <f t="shared" si="19"/>
        <v>1879.2</v>
      </c>
      <c r="H59" s="1246">
        <f t="shared" si="19"/>
        <v>1879.2</v>
      </c>
      <c r="I59" s="1246">
        <f t="shared" si="19"/>
        <v>1879.2</v>
      </c>
    </row>
    <row r="60" spans="1:9">
      <c r="A60" s="1199" t="s">
        <v>746</v>
      </c>
      <c r="B60" s="1246">
        <f t="shared" ref="B60:I60" si="20">ROUND($C$23*B51,2)</f>
        <v>10962</v>
      </c>
      <c r="C60" s="1246">
        <f t="shared" si="20"/>
        <v>10962</v>
      </c>
      <c r="D60" s="1246">
        <f t="shared" si="20"/>
        <v>10962</v>
      </c>
      <c r="E60" s="1246">
        <f t="shared" si="20"/>
        <v>10962</v>
      </c>
      <c r="F60" s="1246">
        <f t="shared" si="20"/>
        <v>10962</v>
      </c>
      <c r="G60" s="1246">
        <f t="shared" si="20"/>
        <v>10962</v>
      </c>
      <c r="H60" s="1246">
        <f t="shared" si="20"/>
        <v>10962</v>
      </c>
      <c r="I60" s="1246">
        <f t="shared" si="20"/>
        <v>10962</v>
      </c>
    </row>
    <row r="61" spans="1:9">
      <c r="A61" s="1199" t="s">
        <v>747</v>
      </c>
      <c r="B61" s="1246">
        <f t="shared" ref="B61:I61" si="21">ROUND($C$28*B51,2)</f>
        <v>11431.8</v>
      </c>
      <c r="C61" s="1246">
        <f t="shared" si="21"/>
        <v>11431.8</v>
      </c>
      <c r="D61" s="1246">
        <f t="shared" si="21"/>
        <v>11431.8</v>
      </c>
      <c r="E61" s="1246">
        <f t="shared" si="21"/>
        <v>11431.8</v>
      </c>
      <c r="F61" s="1246">
        <f t="shared" si="21"/>
        <v>11431.8</v>
      </c>
      <c r="G61" s="1246">
        <f t="shared" si="21"/>
        <v>11431.8</v>
      </c>
      <c r="H61" s="1246">
        <f t="shared" si="21"/>
        <v>11431.8</v>
      </c>
      <c r="I61" s="1246">
        <f t="shared" si="21"/>
        <v>11431.8</v>
      </c>
    </row>
    <row r="63" spans="1:9">
      <c r="A63" s="1573" t="s">
        <v>856</v>
      </c>
      <c r="B63" s="1247" t="s">
        <v>385</v>
      </c>
      <c r="C63" s="1247" t="s">
        <v>386</v>
      </c>
      <c r="D63" s="1247" t="s">
        <v>387</v>
      </c>
      <c r="E63" s="1247" t="s">
        <v>388</v>
      </c>
      <c r="F63" s="1247" t="s">
        <v>389</v>
      </c>
      <c r="G63" s="1247" t="s">
        <v>390</v>
      </c>
      <c r="H63" s="1575" t="s">
        <v>121</v>
      </c>
    </row>
    <row r="64" spans="1:9">
      <c r="A64" s="1574"/>
      <c r="B64" s="1255">
        <v>2040</v>
      </c>
      <c r="C64" s="1255">
        <v>2041</v>
      </c>
      <c r="D64" s="1255">
        <v>2042</v>
      </c>
      <c r="E64" s="1255">
        <v>2043</v>
      </c>
      <c r="F64" s="1255">
        <v>2044</v>
      </c>
      <c r="G64" s="1255">
        <v>2045</v>
      </c>
      <c r="H64" s="1575"/>
    </row>
    <row r="65" spans="1:8">
      <c r="A65" s="1197" t="s">
        <v>867</v>
      </c>
      <c r="B65" s="1470">
        <f>I50</f>
        <v>8</v>
      </c>
      <c r="C65" s="1470">
        <f>B65</f>
        <v>8</v>
      </c>
      <c r="D65" s="1470">
        <f>C65</f>
        <v>8</v>
      </c>
      <c r="E65" s="1470">
        <f>D65</f>
        <v>8</v>
      </c>
      <c r="F65" s="1470">
        <f>E65</f>
        <v>8</v>
      </c>
      <c r="G65" s="1470">
        <f>F65</f>
        <v>8</v>
      </c>
      <c r="H65" s="1252"/>
    </row>
    <row r="66" spans="1:8">
      <c r="A66" s="1197" t="s">
        <v>748</v>
      </c>
      <c r="B66" s="1471">
        <f t="shared" ref="B66:G66" si="22">ROUNDUP(B65*$B$88,0)</f>
        <v>3132</v>
      </c>
      <c r="C66" s="1471">
        <f t="shared" si="22"/>
        <v>3132</v>
      </c>
      <c r="D66" s="1471">
        <f t="shared" si="22"/>
        <v>3132</v>
      </c>
      <c r="E66" s="1471">
        <f t="shared" si="22"/>
        <v>3132</v>
      </c>
      <c r="F66" s="1471">
        <f t="shared" si="22"/>
        <v>3132</v>
      </c>
      <c r="G66" s="1471">
        <f t="shared" si="22"/>
        <v>3132</v>
      </c>
      <c r="H66" s="1246">
        <f>SUM(B36:W36)</f>
        <v>20358</v>
      </c>
    </row>
    <row r="67" spans="1:8">
      <c r="A67" s="1199" t="s">
        <v>764</v>
      </c>
      <c r="B67" s="1199"/>
      <c r="C67" s="1199"/>
      <c r="D67" s="1199"/>
      <c r="E67" s="1199"/>
      <c r="F67" s="1199"/>
      <c r="G67" s="1199"/>
      <c r="H67" s="1246">
        <f>SUM(B37:W37)</f>
        <v>1023752.9967814514</v>
      </c>
    </row>
    <row r="68" spans="1:8">
      <c r="A68" s="1199" t="s">
        <v>765</v>
      </c>
      <c r="B68" s="1199"/>
      <c r="C68" s="1199"/>
      <c r="D68" s="1199"/>
      <c r="E68" s="1199"/>
      <c r="F68" s="1199"/>
      <c r="G68" s="1199"/>
      <c r="H68" s="1246"/>
    </row>
    <row r="69" spans="1:8">
      <c r="A69" s="1199" t="s">
        <v>750</v>
      </c>
      <c r="B69" s="1246">
        <f t="shared" ref="B69:G69" si="23">ROUND($C$18*B66,2)</f>
        <v>1033.56</v>
      </c>
      <c r="C69" s="1246">
        <f t="shared" si="23"/>
        <v>1033.56</v>
      </c>
      <c r="D69" s="1246">
        <f t="shared" si="23"/>
        <v>1033.56</v>
      </c>
      <c r="E69" s="1246">
        <f t="shared" si="23"/>
        <v>1033.56</v>
      </c>
      <c r="F69" s="1246">
        <f t="shared" si="23"/>
        <v>1033.56</v>
      </c>
      <c r="G69" s="1246">
        <f t="shared" si="23"/>
        <v>1033.56</v>
      </c>
      <c r="H69" s="1246">
        <f t="shared" ref="H69:H76" si="24">SUM(B39:W39)</f>
        <v>6718.1399999999994</v>
      </c>
    </row>
    <row r="70" spans="1:8">
      <c r="A70" s="1199" t="s">
        <v>751</v>
      </c>
      <c r="B70" s="1246">
        <f t="shared" ref="B70:G70" si="25">ROUND($D$18*B$66,2)</f>
        <v>657.72</v>
      </c>
      <c r="C70" s="1246">
        <f t="shared" si="25"/>
        <v>657.72</v>
      </c>
      <c r="D70" s="1246">
        <f t="shared" si="25"/>
        <v>657.72</v>
      </c>
      <c r="E70" s="1246">
        <f t="shared" si="25"/>
        <v>657.72</v>
      </c>
      <c r="F70" s="1246">
        <f t="shared" si="25"/>
        <v>657.72</v>
      </c>
      <c r="G70" s="1246">
        <f t="shared" si="25"/>
        <v>657.72</v>
      </c>
      <c r="H70" s="1246">
        <f t="shared" si="24"/>
        <v>4275.1800000000012</v>
      </c>
    </row>
    <row r="71" spans="1:8">
      <c r="A71" s="1199" t="s">
        <v>752</v>
      </c>
      <c r="B71" s="1246">
        <f t="shared" ref="B71:G71" si="26">ROUND($E$18*B$66,2)</f>
        <v>2317.6799999999998</v>
      </c>
      <c r="C71" s="1246">
        <f t="shared" si="26"/>
        <v>2317.6799999999998</v>
      </c>
      <c r="D71" s="1246">
        <f t="shared" si="26"/>
        <v>2317.6799999999998</v>
      </c>
      <c r="E71" s="1246">
        <f t="shared" si="26"/>
        <v>2317.6799999999998</v>
      </c>
      <c r="F71" s="1246">
        <f t="shared" si="26"/>
        <v>2317.6799999999998</v>
      </c>
      <c r="G71" s="1246">
        <f t="shared" si="26"/>
        <v>2317.6799999999998</v>
      </c>
      <c r="H71" s="1246">
        <f t="shared" si="24"/>
        <v>15064.92</v>
      </c>
    </row>
    <row r="72" spans="1:8">
      <c r="A72" s="1199" t="s">
        <v>753</v>
      </c>
      <c r="B72" s="1246">
        <f t="shared" ref="B72:G72" si="27">ROUND($F$18*B$66,2)</f>
        <v>62.64</v>
      </c>
      <c r="C72" s="1246">
        <f t="shared" si="27"/>
        <v>62.64</v>
      </c>
      <c r="D72" s="1246">
        <f t="shared" si="27"/>
        <v>62.64</v>
      </c>
      <c r="E72" s="1246">
        <f t="shared" si="27"/>
        <v>62.64</v>
      </c>
      <c r="F72" s="1246">
        <f t="shared" si="27"/>
        <v>62.64</v>
      </c>
      <c r="G72" s="1246">
        <f t="shared" si="27"/>
        <v>62.64</v>
      </c>
      <c r="H72" s="1246">
        <f t="shared" si="24"/>
        <v>407.15999999999997</v>
      </c>
    </row>
    <row r="73" spans="1:8">
      <c r="A73" s="1199" t="s">
        <v>755</v>
      </c>
      <c r="B73" s="1246">
        <f t="shared" ref="B73:G73" si="28">ROUND($G$18*B$66,2)</f>
        <v>2568.2399999999998</v>
      </c>
      <c r="C73" s="1246">
        <f t="shared" si="28"/>
        <v>2568.2399999999998</v>
      </c>
      <c r="D73" s="1246">
        <f t="shared" si="28"/>
        <v>2568.2399999999998</v>
      </c>
      <c r="E73" s="1246">
        <f t="shared" si="28"/>
        <v>2568.2399999999998</v>
      </c>
      <c r="F73" s="1246">
        <f t="shared" si="28"/>
        <v>2568.2399999999998</v>
      </c>
      <c r="G73" s="1246">
        <f t="shared" si="28"/>
        <v>2568.2399999999998</v>
      </c>
      <c r="H73" s="1246">
        <f t="shared" si="24"/>
        <v>16693.559999999998</v>
      </c>
    </row>
    <row r="74" spans="1:8">
      <c r="A74" s="1199" t="s">
        <v>754</v>
      </c>
      <c r="B74" s="1246">
        <f t="shared" ref="B74:G74" si="29">ROUND($H$18*B$66,2)</f>
        <v>1879.2</v>
      </c>
      <c r="C74" s="1246">
        <f t="shared" si="29"/>
        <v>1879.2</v>
      </c>
      <c r="D74" s="1246">
        <f t="shared" si="29"/>
        <v>1879.2</v>
      </c>
      <c r="E74" s="1246">
        <f t="shared" si="29"/>
        <v>1879.2</v>
      </c>
      <c r="F74" s="1246">
        <f t="shared" si="29"/>
        <v>1879.2</v>
      </c>
      <c r="G74" s="1246">
        <f t="shared" si="29"/>
        <v>1879.2</v>
      </c>
      <c r="H74" s="1246">
        <f t="shared" si="24"/>
        <v>12214.800000000001</v>
      </c>
    </row>
    <row r="75" spans="1:8">
      <c r="A75" s="1199" t="s">
        <v>746</v>
      </c>
      <c r="B75" s="1246">
        <f t="shared" ref="B75:G75" si="30">ROUND($C$23*B66,2)</f>
        <v>10962</v>
      </c>
      <c r="C75" s="1246">
        <f t="shared" si="30"/>
        <v>10962</v>
      </c>
      <c r="D75" s="1246">
        <f t="shared" si="30"/>
        <v>10962</v>
      </c>
      <c r="E75" s="1246">
        <f t="shared" si="30"/>
        <v>10962</v>
      </c>
      <c r="F75" s="1246">
        <f t="shared" si="30"/>
        <v>10962</v>
      </c>
      <c r="G75" s="1246">
        <f t="shared" si="30"/>
        <v>10962</v>
      </c>
      <c r="H75" s="1246">
        <f t="shared" si="24"/>
        <v>71253</v>
      </c>
    </row>
    <row r="76" spans="1:8">
      <c r="A76" s="1199" t="s">
        <v>747</v>
      </c>
      <c r="B76" s="1246">
        <f t="shared" ref="B76:G76" si="31">ROUND($C$28*B66,2)</f>
        <v>11431.8</v>
      </c>
      <c r="C76" s="1246">
        <f t="shared" si="31"/>
        <v>11431.8</v>
      </c>
      <c r="D76" s="1246">
        <f t="shared" si="31"/>
        <v>11431.8</v>
      </c>
      <c r="E76" s="1246">
        <f t="shared" si="31"/>
        <v>11431.8</v>
      </c>
      <c r="F76" s="1246">
        <f t="shared" si="31"/>
        <v>11431.8</v>
      </c>
      <c r="G76" s="1246">
        <f t="shared" si="31"/>
        <v>11431.8</v>
      </c>
      <c r="H76" s="1246">
        <f t="shared" si="24"/>
        <v>45727.199999999997</v>
      </c>
    </row>
    <row r="80" spans="1:8">
      <c r="A80" s="1194" t="s">
        <v>874</v>
      </c>
    </row>
    <row r="81" spans="1:15" s="64" customFormat="1" ht="25.5">
      <c r="A81" s="1202" t="s">
        <v>875</v>
      </c>
      <c r="B81" s="1203" t="s">
        <v>881</v>
      </c>
      <c r="C81" s="1475">
        <v>44682</v>
      </c>
      <c r="D81" s="1475">
        <v>44713</v>
      </c>
      <c r="E81" s="1475">
        <v>44743</v>
      </c>
      <c r="F81" s="1475">
        <v>44774</v>
      </c>
      <c r="G81" s="1475">
        <v>44805</v>
      </c>
      <c r="H81" s="1475">
        <v>44835</v>
      </c>
      <c r="I81" s="1475">
        <v>44866</v>
      </c>
      <c r="J81" s="1475">
        <v>44896</v>
      </c>
      <c r="K81" s="1475">
        <v>44927</v>
      </c>
      <c r="L81" s="1475">
        <v>44958</v>
      </c>
      <c r="M81" s="1475">
        <v>44986</v>
      </c>
      <c r="N81" s="1475">
        <v>45017</v>
      </c>
      <c r="O81" s="1475">
        <v>45047</v>
      </c>
    </row>
    <row r="82" spans="1:15">
      <c r="A82" s="1197" t="s">
        <v>877</v>
      </c>
      <c r="B82" s="1469">
        <v>166.46153846153845</v>
      </c>
      <c r="C82" s="1015">
        <v>157</v>
      </c>
      <c r="D82" s="1015">
        <v>159</v>
      </c>
      <c r="E82" s="1015">
        <v>173</v>
      </c>
      <c r="F82" s="1015">
        <v>201</v>
      </c>
      <c r="G82" s="1015">
        <v>158</v>
      </c>
      <c r="H82" s="1015">
        <v>186</v>
      </c>
      <c r="I82" s="1015">
        <v>168</v>
      </c>
      <c r="J82" s="1015">
        <v>166</v>
      </c>
      <c r="K82" s="1015">
        <v>136</v>
      </c>
      <c r="L82" s="1015">
        <v>124</v>
      </c>
      <c r="M82" s="1015">
        <v>179</v>
      </c>
      <c r="N82" s="1015">
        <v>190</v>
      </c>
      <c r="O82" s="1015">
        <v>167</v>
      </c>
    </row>
    <row r="83" spans="1:15">
      <c r="A83" s="1197" t="s">
        <v>878</v>
      </c>
      <c r="B83" s="1469">
        <v>36.384615384615387</v>
      </c>
      <c r="C83" s="1015">
        <v>22</v>
      </c>
      <c r="D83" s="1015">
        <v>12</v>
      </c>
      <c r="E83" s="1015">
        <v>14</v>
      </c>
      <c r="F83" s="1015">
        <v>23</v>
      </c>
      <c r="G83" s="1015">
        <v>49</v>
      </c>
      <c r="H83" s="1015">
        <v>33</v>
      </c>
      <c r="I83" s="1015">
        <v>51</v>
      </c>
      <c r="J83" s="1015">
        <v>45</v>
      </c>
      <c r="K83" s="1015">
        <v>36</v>
      </c>
      <c r="L83" s="1015">
        <v>36</v>
      </c>
      <c r="M83" s="1015">
        <v>36</v>
      </c>
      <c r="N83" s="1015">
        <v>41</v>
      </c>
      <c r="O83" s="1015">
        <v>75</v>
      </c>
    </row>
    <row r="84" spans="1:15">
      <c r="A84" s="1197" t="s">
        <v>880</v>
      </c>
      <c r="B84" s="1469">
        <v>21.76923076923077</v>
      </c>
      <c r="C84" s="1015">
        <v>22</v>
      </c>
      <c r="D84" s="1015">
        <v>19</v>
      </c>
      <c r="E84" s="1015">
        <v>18</v>
      </c>
      <c r="F84" s="1015">
        <v>19</v>
      </c>
      <c r="G84" s="1015">
        <v>22</v>
      </c>
      <c r="H84" s="1015">
        <v>23</v>
      </c>
      <c r="I84" s="1015">
        <v>20</v>
      </c>
      <c r="J84" s="1015">
        <v>22</v>
      </c>
      <c r="K84" s="1015">
        <v>29</v>
      </c>
      <c r="L84" s="1015">
        <v>25</v>
      </c>
      <c r="M84" s="1015">
        <v>25</v>
      </c>
      <c r="N84" s="1015">
        <v>21</v>
      </c>
      <c r="O84" s="1015">
        <v>18</v>
      </c>
    </row>
    <row r="85" spans="1:15">
      <c r="A85" s="1197" t="s">
        <v>879</v>
      </c>
      <c r="B85" s="1469">
        <v>32.615384615384613</v>
      </c>
      <c r="C85" s="1015">
        <v>31</v>
      </c>
      <c r="D85" s="1015">
        <v>34</v>
      </c>
      <c r="E85" s="1015">
        <v>34</v>
      </c>
      <c r="F85" s="1015">
        <v>37</v>
      </c>
      <c r="G85" s="1015">
        <v>42</v>
      </c>
      <c r="H85" s="1015">
        <v>37</v>
      </c>
      <c r="I85" s="1015">
        <v>32</v>
      </c>
      <c r="J85" s="1015">
        <v>30</v>
      </c>
      <c r="K85" s="1015">
        <v>18</v>
      </c>
      <c r="L85" s="1015">
        <v>32</v>
      </c>
      <c r="M85" s="1015">
        <v>35</v>
      </c>
      <c r="N85" s="1015">
        <v>31</v>
      </c>
      <c r="O85" s="1015">
        <v>31</v>
      </c>
    </row>
    <row r="86" spans="1:15">
      <c r="A86" s="1197" t="s">
        <v>882</v>
      </c>
      <c r="B86" s="1477">
        <v>34.5</v>
      </c>
    </row>
    <row r="87" spans="1:15">
      <c r="A87" s="1199" t="s">
        <v>866</v>
      </c>
      <c r="B87" s="1474">
        <v>32.615384615384613</v>
      </c>
    </row>
    <row r="88" spans="1:15">
      <c r="A88" s="1199" t="s">
        <v>876</v>
      </c>
      <c r="B88" s="1476">
        <f>12*B87</f>
        <v>391.38461538461536</v>
      </c>
    </row>
  </sheetData>
  <mergeCells count="4">
    <mergeCell ref="A33:A34"/>
    <mergeCell ref="H63:H64"/>
    <mergeCell ref="A48:A49"/>
    <mergeCell ref="A63:A64"/>
  </mergeCells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5E550-139E-449C-9D92-8CEBED70DCD2}">
  <sheetPr>
    <tabColor theme="7"/>
    <pageSetUpPr fitToPage="1"/>
  </sheetPr>
  <dimension ref="A1:AL371"/>
  <sheetViews>
    <sheetView workbookViewId="0">
      <selection activeCell="Z20" sqref="Z20"/>
    </sheetView>
  </sheetViews>
  <sheetFormatPr defaultRowHeight="12.75"/>
  <cols>
    <col min="1" max="1" width="14" style="13" bestFit="1" customWidth="1"/>
    <col min="2" max="2" width="14.85546875" style="13" customWidth="1"/>
    <col min="3" max="3" width="8.85546875" style="13"/>
    <col min="4" max="4" width="10.42578125" style="13" customWidth="1"/>
    <col min="5" max="5" width="9.140625" style="13" customWidth="1"/>
    <col min="6" max="33" width="8.85546875" style="13"/>
    <col min="34" max="34" width="11" style="13" customWidth="1"/>
    <col min="35" max="256" width="8.85546875" style="13"/>
    <col min="257" max="257" width="14" style="13" bestFit="1" customWidth="1"/>
    <col min="258" max="258" width="14.85546875" style="13" customWidth="1"/>
    <col min="259" max="260" width="8.85546875" style="13"/>
    <col min="261" max="261" width="9.140625" style="13" customWidth="1"/>
    <col min="262" max="289" width="8.85546875" style="13"/>
    <col min="290" max="290" width="11" style="13" customWidth="1"/>
    <col min="291" max="512" width="8.85546875" style="13"/>
    <col min="513" max="513" width="14" style="13" bestFit="1" customWidth="1"/>
    <col min="514" max="514" width="14.85546875" style="13" customWidth="1"/>
    <col min="515" max="516" width="8.85546875" style="13"/>
    <col min="517" max="517" width="9.140625" style="13" customWidth="1"/>
    <col min="518" max="545" width="8.85546875" style="13"/>
    <col min="546" max="546" width="11" style="13" customWidth="1"/>
    <col min="547" max="768" width="8.85546875" style="13"/>
    <col min="769" max="769" width="14" style="13" bestFit="1" customWidth="1"/>
    <col min="770" max="770" width="14.85546875" style="13" customWidth="1"/>
    <col min="771" max="772" width="8.85546875" style="13"/>
    <col min="773" max="773" width="9.140625" style="13" customWidth="1"/>
    <col min="774" max="801" width="8.85546875" style="13"/>
    <col min="802" max="802" width="11" style="13" customWidth="1"/>
    <col min="803" max="1024" width="8.85546875" style="13"/>
    <col min="1025" max="1025" width="14" style="13" bestFit="1" customWidth="1"/>
    <col min="1026" max="1026" width="14.85546875" style="13" customWidth="1"/>
    <col min="1027" max="1028" width="8.85546875" style="13"/>
    <col min="1029" max="1029" width="9.140625" style="13" customWidth="1"/>
    <col min="1030" max="1057" width="8.85546875" style="13"/>
    <col min="1058" max="1058" width="11" style="13" customWidth="1"/>
    <col min="1059" max="1280" width="8.85546875" style="13"/>
    <col min="1281" max="1281" width="14" style="13" bestFit="1" customWidth="1"/>
    <col min="1282" max="1282" width="14.85546875" style="13" customWidth="1"/>
    <col min="1283" max="1284" width="8.85546875" style="13"/>
    <col min="1285" max="1285" width="9.140625" style="13" customWidth="1"/>
    <col min="1286" max="1313" width="8.85546875" style="13"/>
    <col min="1314" max="1314" width="11" style="13" customWidth="1"/>
    <col min="1315" max="1536" width="8.85546875" style="13"/>
    <col min="1537" max="1537" width="14" style="13" bestFit="1" customWidth="1"/>
    <col min="1538" max="1538" width="14.85546875" style="13" customWidth="1"/>
    <col min="1539" max="1540" width="8.85546875" style="13"/>
    <col min="1541" max="1541" width="9.140625" style="13" customWidth="1"/>
    <col min="1542" max="1569" width="8.85546875" style="13"/>
    <col min="1570" max="1570" width="11" style="13" customWidth="1"/>
    <col min="1571" max="1792" width="8.85546875" style="13"/>
    <col min="1793" max="1793" width="14" style="13" bestFit="1" customWidth="1"/>
    <col min="1794" max="1794" width="14.85546875" style="13" customWidth="1"/>
    <col min="1795" max="1796" width="8.85546875" style="13"/>
    <col min="1797" max="1797" width="9.140625" style="13" customWidth="1"/>
    <col min="1798" max="1825" width="8.85546875" style="13"/>
    <col min="1826" max="1826" width="11" style="13" customWidth="1"/>
    <col min="1827" max="2048" width="8.85546875" style="13"/>
    <col min="2049" max="2049" width="14" style="13" bestFit="1" customWidth="1"/>
    <col min="2050" max="2050" width="14.85546875" style="13" customWidth="1"/>
    <col min="2051" max="2052" width="8.85546875" style="13"/>
    <col min="2053" max="2053" width="9.140625" style="13" customWidth="1"/>
    <col min="2054" max="2081" width="8.85546875" style="13"/>
    <col min="2082" max="2082" width="11" style="13" customWidth="1"/>
    <col min="2083" max="2304" width="8.85546875" style="13"/>
    <col min="2305" max="2305" width="14" style="13" bestFit="1" customWidth="1"/>
    <col min="2306" max="2306" width="14.85546875" style="13" customWidth="1"/>
    <col min="2307" max="2308" width="8.85546875" style="13"/>
    <col min="2309" max="2309" width="9.140625" style="13" customWidth="1"/>
    <col min="2310" max="2337" width="8.85546875" style="13"/>
    <col min="2338" max="2338" width="11" style="13" customWidth="1"/>
    <col min="2339" max="2560" width="8.85546875" style="13"/>
    <col min="2561" max="2561" width="14" style="13" bestFit="1" customWidth="1"/>
    <col min="2562" max="2562" width="14.85546875" style="13" customWidth="1"/>
    <col min="2563" max="2564" width="8.85546875" style="13"/>
    <col min="2565" max="2565" width="9.140625" style="13" customWidth="1"/>
    <col min="2566" max="2593" width="8.85546875" style="13"/>
    <col min="2594" max="2594" width="11" style="13" customWidth="1"/>
    <col min="2595" max="2816" width="8.85546875" style="13"/>
    <col min="2817" max="2817" width="14" style="13" bestFit="1" customWidth="1"/>
    <col min="2818" max="2818" width="14.85546875" style="13" customWidth="1"/>
    <col min="2819" max="2820" width="8.85546875" style="13"/>
    <col min="2821" max="2821" width="9.140625" style="13" customWidth="1"/>
    <col min="2822" max="2849" width="8.85546875" style="13"/>
    <col min="2850" max="2850" width="11" style="13" customWidth="1"/>
    <col min="2851" max="3072" width="8.85546875" style="13"/>
    <col min="3073" max="3073" width="14" style="13" bestFit="1" customWidth="1"/>
    <col min="3074" max="3074" width="14.85546875" style="13" customWidth="1"/>
    <col min="3075" max="3076" width="8.85546875" style="13"/>
    <col min="3077" max="3077" width="9.140625" style="13" customWidth="1"/>
    <col min="3078" max="3105" width="8.85546875" style="13"/>
    <col min="3106" max="3106" width="11" style="13" customWidth="1"/>
    <col min="3107" max="3328" width="8.85546875" style="13"/>
    <col min="3329" max="3329" width="14" style="13" bestFit="1" customWidth="1"/>
    <col min="3330" max="3330" width="14.85546875" style="13" customWidth="1"/>
    <col min="3331" max="3332" width="8.85546875" style="13"/>
    <col min="3333" max="3333" width="9.140625" style="13" customWidth="1"/>
    <col min="3334" max="3361" width="8.85546875" style="13"/>
    <col min="3362" max="3362" width="11" style="13" customWidth="1"/>
    <col min="3363" max="3584" width="8.85546875" style="13"/>
    <col min="3585" max="3585" width="14" style="13" bestFit="1" customWidth="1"/>
    <col min="3586" max="3586" width="14.85546875" style="13" customWidth="1"/>
    <col min="3587" max="3588" width="8.85546875" style="13"/>
    <col min="3589" max="3589" width="9.140625" style="13" customWidth="1"/>
    <col min="3590" max="3617" width="8.85546875" style="13"/>
    <col min="3618" max="3618" width="11" style="13" customWidth="1"/>
    <col min="3619" max="3840" width="8.85546875" style="13"/>
    <col min="3841" max="3841" width="14" style="13" bestFit="1" customWidth="1"/>
    <col min="3842" max="3842" width="14.85546875" style="13" customWidth="1"/>
    <col min="3843" max="3844" width="8.85546875" style="13"/>
    <col min="3845" max="3845" width="9.140625" style="13" customWidth="1"/>
    <col min="3846" max="3873" width="8.85546875" style="13"/>
    <col min="3874" max="3874" width="11" style="13" customWidth="1"/>
    <col min="3875" max="4096" width="8.85546875" style="13"/>
    <col min="4097" max="4097" width="14" style="13" bestFit="1" customWidth="1"/>
    <col min="4098" max="4098" width="14.85546875" style="13" customWidth="1"/>
    <col min="4099" max="4100" width="8.85546875" style="13"/>
    <col min="4101" max="4101" width="9.140625" style="13" customWidth="1"/>
    <col min="4102" max="4129" width="8.85546875" style="13"/>
    <col min="4130" max="4130" width="11" style="13" customWidth="1"/>
    <col min="4131" max="4352" width="8.85546875" style="13"/>
    <col min="4353" max="4353" width="14" style="13" bestFit="1" customWidth="1"/>
    <col min="4354" max="4354" width="14.85546875" style="13" customWidth="1"/>
    <col min="4355" max="4356" width="8.85546875" style="13"/>
    <col min="4357" max="4357" width="9.140625" style="13" customWidth="1"/>
    <col min="4358" max="4385" width="8.85546875" style="13"/>
    <col min="4386" max="4386" width="11" style="13" customWidth="1"/>
    <col min="4387" max="4608" width="8.85546875" style="13"/>
    <col min="4609" max="4609" width="14" style="13" bestFit="1" customWidth="1"/>
    <col min="4610" max="4610" width="14.85546875" style="13" customWidth="1"/>
    <col min="4611" max="4612" width="8.85546875" style="13"/>
    <col min="4613" max="4613" width="9.140625" style="13" customWidth="1"/>
    <col min="4614" max="4641" width="8.85546875" style="13"/>
    <col min="4642" max="4642" width="11" style="13" customWidth="1"/>
    <col min="4643" max="4864" width="8.85546875" style="13"/>
    <col min="4865" max="4865" width="14" style="13" bestFit="1" customWidth="1"/>
    <col min="4866" max="4866" width="14.85546875" style="13" customWidth="1"/>
    <col min="4867" max="4868" width="8.85546875" style="13"/>
    <col min="4869" max="4869" width="9.140625" style="13" customWidth="1"/>
    <col min="4870" max="4897" width="8.85546875" style="13"/>
    <col min="4898" max="4898" width="11" style="13" customWidth="1"/>
    <col min="4899" max="5120" width="8.85546875" style="13"/>
    <col min="5121" max="5121" width="14" style="13" bestFit="1" customWidth="1"/>
    <col min="5122" max="5122" width="14.85546875" style="13" customWidth="1"/>
    <col min="5123" max="5124" width="8.85546875" style="13"/>
    <col min="5125" max="5125" width="9.140625" style="13" customWidth="1"/>
    <col min="5126" max="5153" width="8.85546875" style="13"/>
    <col min="5154" max="5154" width="11" style="13" customWidth="1"/>
    <col min="5155" max="5376" width="8.85546875" style="13"/>
    <col min="5377" max="5377" width="14" style="13" bestFit="1" customWidth="1"/>
    <col min="5378" max="5378" width="14.85546875" style="13" customWidth="1"/>
    <col min="5379" max="5380" width="8.85546875" style="13"/>
    <col min="5381" max="5381" width="9.140625" style="13" customWidth="1"/>
    <col min="5382" max="5409" width="8.85546875" style="13"/>
    <col min="5410" max="5410" width="11" style="13" customWidth="1"/>
    <col min="5411" max="5632" width="8.85546875" style="13"/>
    <col min="5633" max="5633" width="14" style="13" bestFit="1" customWidth="1"/>
    <col min="5634" max="5634" width="14.85546875" style="13" customWidth="1"/>
    <col min="5635" max="5636" width="8.85546875" style="13"/>
    <col min="5637" max="5637" width="9.140625" style="13" customWidth="1"/>
    <col min="5638" max="5665" width="8.85546875" style="13"/>
    <col min="5666" max="5666" width="11" style="13" customWidth="1"/>
    <col min="5667" max="5888" width="8.85546875" style="13"/>
    <col min="5889" max="5889" width="14" style="13" bestFit="1" customWidth="1"/>
    <col min="5890" max="5890" width="14.85546875" style="13" customWidth="1"/>
    <col min="5891" max="5892" width="8.85546875" style="13"/>
    <col min="5893" max="5893" width="9.140625" style="13" customWidth="1"/>
    <col min="5894" max="5921" width="8.85546875" style="13"/>
    <col min="5922" max="5922" width="11" style="13" customWidth="1"/>
    <col min="5923" max="6144" width="8.85546875" style="13"/>
    <col min="6145" max="6145" width="14" style="13" bestFit="1" customWidth="1"/>
    <col min="6146" max="6146" width="14.85546875" style="13" customWidth="1"/>
    <col min="6147" max="6148" width="8.85546875" style="13"/>
    <col min="6149" max="6149" width="9.140625" style="13" customWidth="1"/>
    <col min="6150" max="6177" width="8.85546875" style="13"/>
    <col min="6178" max="6178" width="11" style="13" customWidth="1"/>
    <col min="6179" max="6400" width="8.85546875" style="13"/>
    <col min="6401" max="6401" width="14" style="13" bestFit="1" customWidth="1"/>
    <col min="6402" max="6402" width="14.85546875" style="13" customWidth="1"/>
    <col min="6403" max="6404" width="8.85546875" style="13"/>
    <col min="6405" max="6405" width="9.140625" style="13" customWidth="1"/>
    <col min="6406" max="6433" width="8.85546875" style="13"/>
    <col min="6434" max="6434" width="11" style="13" customWidth="1"/>
    <col min="6435" max="6656" width="8.85546875" style="13"/>
    <col min="6657" max="6657" width="14" style="13" bestFit="1" customWidth="1"/>
    <col min="6658" max="6658" width="14.85546875" style="13" customWidth="1"/>
    <col min="6659" max="6660" width="8.85546875" style="13"/>
    <col min="6661" max="6661" width="9.140625" style="13" customWidth="1"/>
    <col min="6662" max="6689" width="8.85546875" style="13"/>
    <col min="6690" max="6690" width="11" style="13" customWidth="1"/>
    <col min="6691" max="6912" width="8.85546875" style="13"/>
    <col min="6913" max="6913" width="14" style="13" bestFit="1" customWidth="1"/>
    <col min="6914" max="6914" width="14.85546875" style="13" customWidth="1"/>
    <col min="6915" max="6916" width="8.85546875" style="13"/>
    <col min="6917" max="6917" width="9.140625" style="13" customWidth="1"/>
    <col min="6918" max="6945" width="8.85546875" style="13"/>
    <col min="6946" max="6946" width="11" style="13" customWidth="1"/>
    <col min="6947" max="7168" width="8.85546875" style="13"/>
    <col min="7169" max="7169" width="14" style="13" bestFit="1" customWidth="1"/>
    <col min="7170" max="7170" width="14.85546875" style="13" customWidth="1"/>
    <col min="7171" max="7172" width="8.85546875" style="13"/>
    <col min="7173" max="7173" width="9.140625" style="13" customWidth="1"/>
    <col min="7174" max="7201" width="8.85546875" style="13"/>
    <col min="7202" max="7202" width="11" style="13" customWidth="1"/>
    <col min="7203" max="7424" width="8.85546875" style="13"/>
    <col min="7425" max="7425" width="14" style="13" bestFit="1" customWidth="1"/>
    <col min="7426" max="7426" width="14.85546875" style="13" customWidth="1"/>
    <col min="7427" max="7428" width="8.85546875" style="13"/>
    <col min="7429" max="7429" width="9.140625" style="13" customWidth="1"/>
    <col min="7430" max="7457" width="8.85546875" style="13"/>
    <col min="7458" max="7458" width="11" style="13" customWidth="1"/>
    <col min="7459" max="7680" width="8.85546875" style="13"/>
    <col min="7681" max="7681" width="14" style="13" bestFit="1" customWidth="1"/>
    <col min="7682" max="7682" width="14.85546875" style="13" customWidth="1"/>
    <col min="7683" max="7684" width="8.85546875" style="13"/>
    <col min="7685" max="7685" width="9.140625" style="13" customWidth="1"/>
    <col min="7686" max="7713" width="8.85546875" style="13"/>
    <col min="7714" max="7714" width="11" style="13" customWidth="1"/>
    <col min="7715" max="7936" width="8.85546875" style="13"/>
    <col min="7937" max="7937" width="14" style="13" bestFit="1" customWidth="1"/>
    <col min="7938" max="7938" width="14.85546875" style="13" customWidth="1"/>
    <col min="7939" max="7940" width="8.85546875" style="13"/>
    <col min="7941" max="7941" width="9.140625" style="13" customWidth="1"/>
    <col min="7942" max="7969" width="8.85546875" style="13"/>
    <col min="7970" max="7970" width="11" style="13" customWidth="1"/>
    <col min="7971" max="8192" width="8.85546875" style="13"/>
    <col min="8193" max="8193" width="14" style="13" bestFit="1" customWidth="1"/>
    <col min="8194" max="8194" width="14.85546875" style="13" customWidth="1"/>
    <col min="8195" max="8196" width="8.85546875" style="13"/>
    <col min="8197" max="8197" width="9.140625" style="13" customWidth="1"/>
    <col min="8198" max="8225" width="8.85546875" style="13"/>
    <col min="8226" max="8226" width="11" style="13" customWidth="1"/>
    <col min="8227" max="8448" width="8.85546875" style="13"/>
    <col min="8449" max="8449" width="14" style="13" bestFit="1" customWidth="1"/>
    <col min="8450" max="8450" width="14.85546875" style="13" customWidth="1"/>
    <col min="8451" max="8452" width="8.85546875" style="13"/>
    <col min="8453" max="8453" width="9.140625" style="13" customWidth="1"/>
    <col min="8454" max="8481" width="8.85546875" style="13"/>
    <col min="8482" max="8482" width="11" style="13" customWidth="1"/>
    <col min="8483" max="8704" width="8.85546875" style="13"/>
    <col min="8705" max="8705" width="14" style="13" bestFit="1" customWidth="1"/>
    <col min="8706" max="8706" width="14.85546875" style="13" customWidth="1"/>
    <col min="8707" max="8708" width="8.85546875" style="13"/>
    <col min="8709" max="8709" width="9.140625" style="13" customWidth="1"/>
    <col min="8710" max="8737" width="8.85546875" style="13"/>
    <col min="8738" max="8738" width="11" style="13" customWidth="1"/>
    <col min="8739" max="8960" width="8.85546875" style="13"/>
    <col min="8961" max="8961" width="14" style="13" bestFit="1" customWidth="1"/>
    <col min="8962" max="8962" width="14.85546875" style="13" customWidth="1"/>
    <col min="8963" max="8964" width="8.85546875" style="13"/>
    <col min="8965" max="8965" width="9.140625" style="13" customWidth="1"/>
    <col min="8966" max="8993" width="8.85546875" style="13"/>
    <col min="8994" max="8994" width="11" style="13" customWidth="1"/>
    <col min="8995" max="9216" width="8.85546875" style="13"/>
    <col min="9217" max="9217" width="14" style="13" bestFit="1" customWidth="1"/>
    <col min="9218" max="9218" width="14.85546875" style="13" customWidth="1"/>
    <col min="9219" max="9220" width="8.85546875" style="13"/>
    <col min="9221" max="9221" width="9.140625" style="13" customWidth="1"/>
    <col min="9222" max="9249" width="8.85546875" style="13"/>
    <col min="9250" max="9250" width="11" style="13" customWidth="1"/>
    <col min="9251" max="9472" width="8.85546875" style="13"/>
    <col min="9473" max="9473" width="14" style="13" bestFit="1" customWidth="1"/>
    <col min="9474" max="9474" width="14.85546875" style="13" customWidth="1"/>
    <col min="9475" max="9476" width="8.85546875" style="13"/>
    <col min="9477" max="9477" width="9.140625" style="13" customWidth="1"/>
    <col min="9478" max="9505" width="8.85546875" style="13"/>
    <col min="9506" max="9506" width="11" style="13" customWidth="1"/>
    <col min="9507" max="9728" width="8.85546875" style="13"/>
    <col min="9729" max="9729" width="14" style="13" bestFit="1" customWidth="1"/>
    <col min="9730" max="9730" width="14.85546875" style="13" customWidth="1"/>
    <col min="9731" max="9732" width="8.85546875" style="13"/>
    <col min="9733" max="9733" width="9.140625" style="13" customWidth="1"/>
    <col min="9734" max="9761" width="8.85546875" style="13"/>
    <col min="9762" max="9762" width="11" style="13" customWidth="1"/>
    <col min="9763" max="9984" width="8.85546875" style="13"/>
    <col min="9985" max="9985" width="14" style="13" bestFit="1" customWidth="1"/>
    <col min="9986" max="9986" width="14.85546875" style="13" customWidth="1"/>
    <col min="9987" max="9988" width="8.85546875" style="13"/>
    <col min="9989" max="9989" width="9.140625" style="13" customWidth="1"/>
    <col min="9990" max="10017" width="8.85546875" style="13"/>
    <col min="10018" max="10018" width="11" style="13" customWidth="1"/>
    <col min="10019" max="10240" width="8.85546875" style="13"/>
    <col min="10241" max="10241" width="14" style="13" bestFit="1" customWidth="1"/>
    <col min="10242" max="10242" width="14.85546875" style="13" customWidth="1"/>
    <col min="10243" max="10244" width="8.85546875" style="13"/>
    <col min="10245" max="10245" width="9.140625" style="13" customWidth="1"/>
    <col min="10246" max="10273" width="8.85546875" style="13"/>
    <col min="10274" max="10274" width="11" style="13" customWidth="1"/>
    <col min="10275" max="10496" width="8.85546875" style="13"/>
    <col min="10497" max="10497" width="14" style="13" bestFit="1" customWidth="1"/>
    <col min="10498" max="10498" width="14.85546875" style="13" customWidth="1"/>
    <col min="10499" max="10500" width="8.85546875" style="13"/>
    <col min="10501" max="10501" width="9.140625" style="13" customWidth="1"/>
    <col min="10502" max="10529" width="8.85546875" style="13"/>
    <col min="10530" max="10530" width="11" style="13" customWidth="1"/>
    <col min="10531" max="10752" width="8.85546875" style="13"/>
    <col min="10753" max="10753" width="14" style="13" bestFit="1" customWidth="1"/>
    <col min="10754" max="10754" width="14.85546875" style="13" customWidth="1"/>
    <col min="10755" max="10756" width="8.85546875" style="13"/>
    <col min="10757" max="10757" width="9.140625" style="13" customWidth="1"/>
    <col min="10758" max="10785" width="8.85546875" style="13"/>
    <col min="10786" max="10786" width="11" style="13" customWidth="1"/>
    <col min="10787" max="11008" width="8.85546875" style="13"/>
    <col min="11009" max="11009" width="14" style="13" bestFit="1" customWidth="1"/>
    <col min="11010" max="11010" width="14.85546875" style="13" customWidth="1"/>
    <col min="11011" max="11012" width="8.85546875" style="13"/>
    <col min="11013" max="11013" width="9.140625" style="13" customWidth="1"/>
    <col min="11014" max="11041" width="8.85546875" style="13"/>
    <col min="11042" max="11042" width="11" style="13" customWidth="1"/>
    <col min="11043" max="11264" width="8.85546875" style="13"/>
    <col min="11265" max="11265" width="14" style="13" bestFit="1" customWidth="1"/>
    <col min="11266" max="11266" width="14.85546875" style="13" customWidth="1"/>
    <col min="11267" max="11268" width="8.85546875" style="13"/>
    <col min="11269" max="11269" width="9.140625" style="13" customWidth="1"/>
    <col min="11270" max="11297" width="8.85546875" style="13"/>
    <col min="11298" max="11298" width="11" style="13" customWidth="1"/>
    <col min="11299" max="11520" width="8.85546875" style="13"/>
    <col min="11521" max="11521" width="14" style="13" bestFit="1" customWidth="1"/>
    <col min="11522" max="11522" width="14.85546875" style="13" customWidth="1"/>
    <col min="11523" max="11524" width="8.85546875" style="13"/>
    <col min="11525" max="11525" width="9.140625" style="13" customWidth="1"/>
    <col min="11526" max="11553" width="8.85546875" style="13"/>
    <col min="11554" max="11554" width="11" style="13" customWidth="1"/>
    <col min="11555" max="11776" width="8.85546875" style="13"/>
    <col min="11777" max="11777" width="14" style="13" bestFit="1" customWidth="1"/>
    <col min="11778" max="11778" width="14.85546875" style="13" customWidth="1"/>
    <col min="11779" max="11780" width="8.85546875" style="13"/>
    <col min="11781" max="11781" width="9.140625" style="13" customWidth="1"/>
    <col min="11782" max="11809" width="8.85546875" style="13"/>
    <col min="11810" max="11810" width="11" style="13" customWidth="1"/>
    <col min="11811" max="12032" width="8.85546875" style="13"/>
    <col min="12033" max="12033" width="14" style="13" bestFit="1" customWidth="1"/>
    <col min="12034" max="12034" width="14.85546875" style="13" customWidth="1"/>
    <col min="12035" max="12036" width="8.85546875" style="13"/>
    <col min="12037" max="12037" width="9.140625" style="13" customWidth="1"/>
    <col min="12038" max="12065" width="8.85546875" style="13"/>
    <col min="12066" max="12066" width="11" style="13" customWidth="1"/>
    <col min="12067" max="12288" width="8.85546875" style="13"/>
    <col min="12289" max="12289" width="14" style="13" bestFit="1" customWidth="1"/>
    <col min="12290" max="12290" width="14.85546875" style="13" customWidth="1"/>
    <col min="12291" max="12292" width="8.85546875" style="13"/>
    <col min="12293" max="12293" width="9.140625" style="13" customWidth="1"/>
    <col min="12294" max="12321" width="8.85546875" style="13"/>
    <col min="12322" max="12322" width="11" style="13" customWidth="1"/>
    <col min="12323" max="12544" width="8.85546875" style="13"/>
    <col min="12545" max="12545" width="14" style="13" bestFit="1" customWidth="1"/>
    <col min="12546" max="12546" width="14.85546875" style="13" customWidth="1"/>
    <col min="12547" max="12548" width="8.85546875" style="13"/>
    <col min="12549" max="12549" width="9.140625" style="13" customWidth="1"/>
    <col min="12550" max="12577" width="8.85546875" style="13"/>
    <col min="12578" max="12578" width="11" style="13" customWidth="1"/>
    <col min="12579" max="12800" width="8.85546875" style="13"/>
    <col min="12801" max="12801" width="14" style="13" bestFit="1" customWidth="1"/>
    <col min="12802" max="12802" width="14.85546875" style="13" customWidth="1"/>
    <col min="12803" max="12804" width="8.85546875" style="13"/>
    <col min="12805" max="12805" width="9.140625" style="13" customWidth="1"/>
    <col min="12806" max="12833" width="8.85546875" style="13"/>
    <col min="12834" max="12834" width="11" style="13" customWidth="1"/>
    <col min="12835" max="13056" width="8.85546875" style="13"/>
    <col min="13057" max="13057" width="14" style="13" bestFit="1" customWidth="1"/>
    <col min="13058" max="13058" width="14.85546875" style="13" customWidth="1"/>
    <col min="13059" max="13060" width="8.85546875" style="13"/>
    <col min="13061" max="13061" width="9.140625" style="13" customWidth="1"/>
    <col min="13062" max="13089" width="8.85546875" style="13"/>
    <col min="13090" max="13090" width="11" style="13" customWidth="1"/>
    <col min="13091" max="13312" width="8.85546875" style="13"/>
    <col min="13313" max="13313" width="14" style="13" bestFit="1" customWidth="1"/>
    <col min="13314" max="13314" width="14.85546875" style="13" customWidth="1"/>
    <col min="13315" max="13316" width="8.85546875" style="13"/>
    <col min="13317" max="13317" width="9.140625" style="13" customWidth="1"/>
    <col min="13318" max="13345" width="8.85546875" style="13"/>
    <col min="13346" max="13346" width="11" style="13" customWidth="1"/>
    <col min="13347" max="13568" width="8.85546875" style="13"/>
    <col min="13569" max="13569" width="14" style="13" bestFit="1" customWidth="1"/>
    <col min="13570" max="13570" width="14.85546875" style="13" customWidth="1"/>
    <col min="13571" max="13572" width="8.85546875" style="13"/>
    <col min="13573" max="13573" width="9.140625" style="13" customWidth="1"/>
    <col min="13574" max="13601" width="8.85546875" style="13"/>
    <col min="13602" max="13602" width="11" style="13" customWidth="1"/>
    <col min="13603" max="13824" width="8.85546875" style="13"/>
    <col min="13825" max="13825" width="14" style="13" bestFit="1" customWidth="1"/>
    <col min="13826" max="13826" width="14.85546875" style="13" customWidth="1"/>
    <col min="13827" max="13828" width="8.85546875" style="13"/>
    <col min="13829" max="13829" width="9.140625" style="13" customWidth="1"/>
    <col min="13830" max="13857" width="8.85546875" style="13"/>
    <col min="13858" max="13858" width="11" style="13" customWidth="1"/>
    <col min="13859" max="14080" width="8.85546875" style="13"/>
    <col min="14081" max="14081" width="14" style="13" bestFit="1" customWidth="1"/>
    <col min="14082" max="14082" width="14.85546875" style="13" customWidth="1"/>
    <col min="14083" max="14084" width="8.85546875" style="13"/>
    <col min="14085" max="14085" width="9.140625" style="13" customWidth="1"/>
    <col min="14086" max="14113" width="8.85546875" style="13"/>
    <col min="14114" max="14114" width="11" style="13" customWidth="1"/>
    <col min="14115" max="14336" width="8.85546875" style="13"/>
    <col min="14337" max="14337" width="14" style="13" bestFit="1" customWidth="1"/>
    <col min="14338" max="14338" width="14.85546875" style="13" customWidth="1"/>
    <col min="14339" max="14340" width="8.85546875" style="13"/>
    <col min="14341" max="14341" width="9.140625" style="13" customWidth="1"/>
    <col min="14342" max="14369" width="8.85546875" style="13"/>
    <col min="14370" max="14370" width="11" style="13" customWidth="1"/>
    <col min="14371" max="14592" width="8.85546875" style="13"/>
    <col min="14593" max="14593" width="14" style="13" bestFit="1" customWidth="1"/>
    <col min="14594" max="14594" width="14.85546875" style="13" customWidth="1"/>
    <col min="14595" max="14596" width="8.85546875" style="13"/>
    <col min="14597" max="14597" width="9.140625" style="13" customWidth="1"/>
    <col min="14598" max="14625" width="8.85546875" style="13"/>
    <col min="14626" max="14626" width="11" style="13" customWidth="1"/>
    <col min="14627" max="14848" width="8.85546875" style="13"/>
    <col min="14849" max="14849" width="14" style="13" bestFit="1" customWidth="1"/>
    <col min="14850" max="14850" width="14.85546875" style="13" customWidth="1"/>
    <col min="14851" max="14852" width="8.85546875" style="13"/>
    <col min="14853" max="14853" width="9.140625" style="13" customWidth="1"/>
    <col min="14854" max="14881" width="8.85546875" style="13"/>
    <col min="14882" max="14882" width="11" style="13" customWidth="1"/>
    <col min="14883" max="15104" width="8.85546875" style="13"/>
    <col min="15105" max="15105" width="14" style="13" bestFit="1" customWidth="1"/>
    <col min="15106" max="15106" width="14.85546875" style="13" customWidth="1"/>
    <col min="15107" max="15108" width="8.85546875" style="13"/>
    <col min="15109" max="15109" width="9.140625" style="13" customWidth="1"/>
    <col min="15110" max="15137" width="8.85546875" style="13"/>
    <col min="15138" max="15138" width="11" style="13" customWidth="1"/>
    <col min="15139" max="15360" width="8.85546875" style="13"/>
    <col min="15361" max="15361" width="14" style="13" bestFit="1" customWidth="1"/>
    <col min="15362" max="15362" width="14.85546875" style="13" customWidth="1"/>
    <col min="15363" max="15364" width="8.85546875" style="13"/>
    <col min="15365" max="15365" width="9.140625" style="13" customWidth="1"/>
    <col min="15366" max="15393" width="8.85546875" style="13"/>
    <col min="15394" max="15394" width="11" style="13" customWidth="1"/>
    <col min="15395" max="15616" width="8.85546875" style="13"/>
    <col min="15617" max="15617" width="14" style="13" bestFit="1" customWidth="1"/>
    <col min="15618" max="15618" width="14.85546875" style="13" customWidth="1"/>
    <col min="15619" max="15620" width="8.85546875" style="13"/>
    <col min="15621" max="15621" width="9.140625" style="13" customWidth="1"/>
    <col min="15622" max="15649" width="8.85546875" style="13"/>
    <col min="15650" max="15650" width="11" style="13" customWidth="1"/>
    <col min="15651" max="15872" width="8.85546875" style="13"/>
    <col min="15873" max="15873" width="14" style="13" bestFit="1" customWidth="1"/>
    <col min="15874" max="15874" width="14.85546875" style="13" customWidth="1"/>
    <col min="15875" max="15876" width="8.85546875" style="13"/>
    <col min="15877" max="15877" width="9.140625" style="13" customWidth="1"/>
    <col min="15878" max="15905" width="8.85546875" style="13"/>
    <col min="15906" max="15906" width="11" style="13" customWidth="1"/>
    <col min="15907" max="16128" width="8.85546875" style="13"/>
    <col min="16129" max="16129" width="14" style="13" bestFit="1" customWidth="1"/>
    <col min="16130" max="16130" width="14.85546875" style="13" customWidth="1"/>
    <col min="16131" max="16132" width="8.85546875" style="13"/>
    <col min="16133" max="16133" width="9.140625" style="13" customWidth="1"/>
    <col min="16134" max="16161" width="8.85546875" style="13"/>
    <col min="16162" max="16162" width="11" style="13" customWidth="1"/>
    <col min="16163" max="16384" width="8.8554687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21981075.342327654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299">
        <f>'17 R1 INV'!M73</f>
        <v>5209890.1252055857</v>
      </c>
      <c r="I7" s="299">
        <f>'17 R1 INV'!N73</f>
        <v>727898.33131925284</v>
      </c>
      <c r="J7" s="299">
        <f>'17 R1 INV'!O73</f>
        <v>1713105.5265664214</v>
      </c>
      <c r="K7" s="299">
        <f>'17 R1 INV'!P73</f>
        <v>1191741.8254753242</v>
      </c>
      <c r="L7" s="1461">
        <f>'17 R1 INV'!Q73+'E3 DIST INDL'!B37+'E3 DIST INDL'!B38</f>
        <v>3388121.5975387665</v>
      </c>
      <c r="M7" s="1461">
        <f>'17 R1 INV'!R73+'E3 DIST INDL'!C37+'E3 DIST INDL'!C38</f>
        <v>999778.07055976056</v>
      </c>
      <c r="N7" s="1461">
        <f>'17 R1 INV'!S73+'E3 DIST INDL'!D37+'E3 DIST INDL'!D38</f>
        <v>2653505.4796216656</v>
      </c>
      <c r="O7" s="1461">
        <f>'17 R1 INV'!T73+'E3 DIST INDL'!E37+'E3 DIST INDL'!E38</f>
        <v>2353010.2054911945</v>
      </c>
      <c r="P7" s="1461">
        <f>'17 R1 INV'!U73+'E3 DIST INDL'!F37+'E3 DIST INDL'!F38</f>
        <v>68386.753752136574</v>
      </c>
      <c r="Q7" s="1461">
        <f>'17 R1 INV'!V73+'E3 DIST INDL'!G37+'E3 DIST INDL'!G38</f>
        <v>68386.753752136574</v>
      </c>
      <c r="R7" s="1461">
        <f>'17 R1 INV'!W73+'E3 DIST INDL'!H37+'E3 DIST INDL'!H38</f>
        <v>68386.753752136574</v>
      </c>
      <c r="S7" s="1461">
        <f>'17 R1 INV'!X73+'E3 DIST INDL'!I37+'E3 DIST INDL'!I38</f>
        <v>63098.753752136574</v>
      </c>
      <c r="T7" s="1461">
        <f>'17 R1 INV'!Y73+'E3 DIST INDL'!B52+'E3 DIST INDL'!B53</f>
        <v>63098.753752136574</v>
      </c>
      <c r="U7" s="1461">
        <f>'17 R1 INV'!Z73+'E3 DIST INDL'!C52+'E3 DIST INDL'!C53</f>
        <v>63098.753752136574</v>
      </c>
      <c r="V7" s="1461">
        <f>'17 R1 INV'!AA73+'E3 DIST INDL'!D52+'E3 DIST INDL'!D53</f>
        <v>63098.753752136574</v>
      </c>
      <c r="W7" s="1461">
        <f>'17 R1 INV'!AB73+'E3 DIST INDL'!E52+'E3 DIST INDL'!E53</f>
        <v>63098.753752136574</v>
      </c>
      <c r="X7" s="1461">
        <f>'17 R1 INV'!AC73+'E3 DIST INDL'!F52+'E3 DIST INDL'!F53</f>
        <v>68793.753752136574</v>
      </c>
      <c r="Y7" s="1461">
        <f>'17 R1 INV'!AD73+'E3 DIST INDL'!G52+'E3 DIST INDL'!G53</f>
        <v>59438.753752136574</v>
      </c>
      <c r="Z7" s="1461">
        <f>'17 R1 INV'!AE73+'E3 DIST INDL'!H52+'E3 DIST INDL'!H53</f>
        <v>59438.753752136574</v>
      </c>
      <c r="AA7" s="1461">
        <f>'17 R1 INV'!AF73+'E3 DIST INDL'!I52+'E3 DIST INDL'!I53</f>
        <v>59438.753752136574</v>
      </c>
      <c r="AB7" s="1461">
        <f>'17 R1 INV'!AG73+'E3 DIST INDL'!B67+'E3 DIST INDL'!B68</f>
        <v>59438.753752136574</v>
      </c>
      <c r="AC7" s="1461">
        <f>'17 R1 INV'!AH73+'E3 DIST INDL'!C67+'E3 DIST INDL'!C68</f>
        <v>68793.753752136574</v>
      </c>
      <c r="AD7" s="1461">
        <f>'17 R1 INV'!AI73+'E3 DIST INDL'!D67+'E3 DIST INDL'!D68</f>
        <v>60252.753752136574</v>
      </c>
      <c r="AE7" s="1461">
        <f>'17 R1 INV'!AJ73+'E3 DIST INDL'!E67+'E3 DIST INDL'!E68</f>
        <v>61066.753752136574</v>
      </c>
      <c r="AF7" s="1461">
        <f>'17 R1 INV'!AK73+'E3 DIST INDL'!F67+'E3 DIST INDL'!F68</f>
        <v>62284.753752136574</v>
      </c>
      <c r="AG7" s="1461">
        <f>'17 R1 INV'!AL73+'E3 DIST INDL'!G67+'E3 DIST INDL'!G68</f>
        <v>59447.247996732927</v>
      </c>
      <c r="AH7" s="300">
        <f>SUM(D7:AG7)</f>
        <v>21981075.342327654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208395.60500822344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304965.65942868049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208395.60500822344</v>
      </c>
      <c r="I16" s="308">
        <f>I7/24</f>
        <v>30329.097138302201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335294.75656698272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208395.60500822344</v>
      </c>
      <c r="I17" s="305">
        <f>I16</f>
        <v>30329.097138302201</v>
      </c>
      <c r="J17" s="308">
        <f>J7/23</f>
        <v>74482.848981148753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409777.60554813145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208395.60500822344</v>
      </c>
      <c r="I18" s="305">
        <f t="shared" si="9"/>
        <v>30329.097138302201</v>
      </c>
      <c r="J18" s="305">
        <f>J17</f>
        <v>74482.848981148753</v>
      </c>
      <c r="K18" s="308">
        <f>K7/22</f>
        <v>54170.082976151098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463947.68852428254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208395.60500822344</v>
      </c>
      <c r="I19" s="305">
        <f t="shared" si="9"/>
        <v>30329.097138302201</v>
      </c>
      <c r="J19" s="305">
        <f t="shared" si="9"/>
        <v>74482.848981148753</v>
      </c>
      <c r="K19" s="305">
        <f>K18</f>
        <v>54170.082976151098</v>
      </c>
      <c r="L19" s="308">
        <f>L7/21</f>
        <v>161339.1236923222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625286.81221660471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208395.60500822344</v>
      </c>
      <c r="I20" s="305">
        <f t="shared" si="9"/>
        <v>30329.097138302201</v>
      </c>
      <c r="J20" s="305">
        <f t="shared" si="9"/>
        <v>74482.848981148753</v>
      </c>
      <c r="K20" s="305">
        <f t="shared" si="9"/>
        <v>54170.082976151098</v>
      </c>
      <c r="L20" s="305">
        <f>L19</f>
        <v>161339.1236923222</v>
      </c>
      <c r="M20" s="308">
        <f>M7/20</f>
        <v>49988.903527988026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675275.71574459272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208395.60500822344</v>
      </c>
      <c r="I21" s="305">
        <f t="shared" si="9"/>
        <v>30329.097138302201</v>
      </c>
      <c r="J21" s="305">
        <f t="shared" si="9"/>
        <v>74482.848981148753</v>
      </c>
      <c r="K21" s="305">
        <f t="shared" si="9"/>
        <v>54170.082976151098</v>
      </c>
      <c r="L21" s="305">
        <f t="shared" si="9"/>
        <v>161339.1236923222</v>
      </c>
      <c r="M21" s="309">
        <f>M20</f>
        <v>49988.903527988026</v>
      </c>
      <c r="N21" s="308">
        <f>N7/19</f>
        <v>139658.18313798239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814933.8988825751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208395.60500822344</v>
      </c>
      <c r="I22" s="305">
        <f t="shared" si="9"/>
        <v>30329.097138302201</v>
      </c>
      <c r="J22" s="305">
        <f t="shared" si="9"/>
        <v>74482.848981148753</v>
      </c>
      <c r="K22" s="305">
        <f t="shared" si="9"/>
        <v>54170.082976151098</v>
      </c>
      <c r="L22" s="305">
        <f t="shared" si="9"/>
        <v>161339.1236923222</v>
      </c>
      <c r="M22" s="309">
        <f t="shared" si="9"/>
        <v>49988.903527988026</v>
      </c>
      <c r="N22" s="305">
        <f>N21</f>
        <v>139658.18313798239</v>
      </c>
      <c r="O22" s="308">
        <f>O7/18</f>
        <v>130722.78919395525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945656.68807653035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208395.60500822344</v>
      </c>
      <c r="I23" s="305">
        <f t="shared" si="9"/>
        <v>30329.097138302201</v>
      </c>
      <c r="J23" s="305">
        <f t="shared" si="9"/>
        <v>74482.848981148753</v>
      </c>
      <c r="K23" s="305">
        <f t="shared" si="9"/>
        <v>54170.082976151098</v>
      </c>
      <c r="L23" s="305">
        <f t="shared" si="9"/>
        <v>161339.1236923222</v>
      </c>
      <c r="M23" s="309">
        <f t="shared" si="9"/>
        <v>49988.903527988026</v>
      </c>
      <c r="N23" s="305">
        <f t="shared" si="9"/>
        <v>139658.18313798239</v>
      </c>
      <c r="O23" s="305">
        <f>O22</f>
        <v>130722.78919395525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949679.43829724425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208395.60500822344</v>
      </c>
      <c r="I24" s="305">
        <f t="shared" si="9"/>
        <v>30329.097138302201</v>
      </c>
      <c r="J24" s="305">
        <f t="shared" si="9"/>
        <v>74482.848981148753</v>
      </c>
      <c r="K24" s="305">
        <f t="shared" si="9"/>
        <v>54170.082976151098</v>
      </c>
      <c r="L24" s="305">
        <f t="shared" si="9"/>
        <v>161339.1236923222</v>
      </c>
      <c r="M24" s="309">
        <f t="shared" si="9"/>
        <v>49988.903527988026</v>
      </c>
      <c r="N24" s="305">
        <f t="shared" si="9"/>
        <v>139658.18313798239</v>
      </c>
      <c r="O24" s="305">
        <f t="shared" si="9"/>
        <v>130722.78919395525</v>
      </c>
      <c r="P24" s="305">
        <f>P23</f>
        <v>4022.750220713916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953953.61040675279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208395.60500822344</v>
      </c>
      <c r="I25" s="305">
        <f t="shared" si="9"/>
        <v>30329.097138302201</v>
      </c>
      <c r="J25" s="305">
        <f t="shared" si="9"/>
        <v>74482.848981148753</v>
      </c>
      <c r="K25" s="305">
        <f t="shared" si="9"/>
        <v>54170.082976151098</v>
      </c>
      <c r="L25" s="305">
        <f t="shared" si="9"/>
        <v>161339.1236923222</v>
      </c>
      <c r="M25" s="309">
        <f t="shared" si="9"/>
        <v>49988.903527988026</v>
      </c>
      <c r="N25" s="305">
        <f t="shared" si="9"/>
        <v>139658.18313798239</v>
      </c>
      <c r="O25" s="305">
        <f t="shared" si="9"/>
        <v>130722.78919395525</v>
      </c>
      <c r="P25" s="305">
        <f t="shared" si="9"/>
        <v>4022.750220713916</v>
      </c>
      <c r="Q25" s="305">
        <f>Q24</f>
        <v>4274.1721095085359</v>
      </c>
      <c r="R25" s="308">
        <f>R7/15</f>
        <v>4559.1169168091046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958512.72732356191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208395.60500822344</v>
      </c>
      <c r="I26" s="305">
        <f t="shared" si="9"/>
        <v>30329.097138302201</v>
      </c>
      <c r="J26" s="305">
        <f t="shared" si="9"/>
        <v>74482.848981148753</v>
      </c>
      <c r="K26" s="305">
        <f t="shared" si="9"/>
        <v>54170.082976151098</v>
      </c>
      <c r="L26" s="305">
        <f t="shared" si="9"/>
        <v>161339.1236923222</v>
      </c>
      <c r="M26" s="309">
        <f t="shared" si="9"/>
        <v>49988.903527988026</v>
      </c>
      <c r="N26" s="305">
        <f t="shared" si="9"/>
        <v>139658.18313798239</v>
      </c>
      <c r="O26" s="305">
        <f t="shared" si="9"/>
        <v>130722.78919395525</v>
      </c>
      <c r="P26" s="305">
        <f t="shared" si="9"/>
        <v>4022.750220713916</v>
      </c>
      <c r="Q26" s="305">
        <f t="shared" si="9"/>
        <v>4274.1721095085359</v>
      </c>
      <c r="R26" s="305">
        <f>R25</f>
        <v>4559.1169168091046</v>
      </c>
      <c r="S26" s="308">
        <f>S7/14</f>
        <v>4507.0538394383266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963019.78116300027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208395.60500822344</v>
      </c>
      <c r="I27" s="305">
        <f t="shared" si="9"/>
        <v>30329.097138302201</v>
      </c>
      <c r="J27" s="305">
        <f t="shared" si="9"/>
        <v>74482.848981148753</v>
      </c>
      <c r="K27" s="305">
        <f t="shared" si="9"/>
        <v>54170.082976151098</v>
      </c>
      <c r="L27" s="305">
        <f t="shared" si="9"/>
        <v>161339.1236923222</v>
      </c>
      <c r="M27" s="309">
        <f t="shared" si="9"/>
        <v>49988.903527988026</v>
      </c>
      <c r="N27" s="305">
        <f t="shared" si="9"/>
        <v>139658.18313798239</v>
      </c>
      <c r="O27" s="305">
        <f t="shared" si="9"/>
        <v>130722.78919395525</v>
      </c>
      <c r="P27" s="305">
        <f t="shared" si="9"/>
        <v>4022.750220713916</v>
      </c>
      <c r="Q27" s="305">
        <f t="shared" si="9"/>
        <v>4274.1721095085359</v>
      </c>
      <c r="R27" s="305">
        <f t="shared" si="9"/>
        <v>4559.1169168091046</v>
      </c>
      <c r="S27" s="305">
        <f>S26</f>
        <v>4507.0538394383266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967873.53145162622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208395.60500822344</v>
      </c>
      <c r="I28" s="305">
        <f t="shared" si="9"/>
        <v>30329.097138302201</v>
      </c>
      <c r="J28" s="305">
        <f t="shared" si="9"/>
        <v>74482.848981148753</v>
      </c>
      <c r="K28" s="305">
        <f t="shared" si="9"/>
        <v>54170.082976151098</v>
      </c>
      <c r="L28" s="305">
        <f t="shared" si="9"/>
        <v>161339.1236923222</v>
      </c>
      <c r="M28" s="309">
        <f t="shared" si="9"/>
        <v>49988.903527988026</v>
      </c>
      <c r="N28" s="305">
        <f t="shared" si="9"/>
        <v>139658.18313798239</v>
      </c>
      <c r="O28" s="305">
        <f t="shared" si="9"/>
        <v>130722.78919395525</v>
      </c>
      <c r="P28" s="305">
        <f t="shared" si="9"/>
        <v>4022.750220713916</v>
      </c>
      <c r="Q28" s="305">
        <f t="shared" si="9"/>
        <v>4274.1721095085359</v>
      </c>
      <c r="R28" s="305">
        <f t="shared" si="9"/>
        <v>4559.1169168091046</v>
      </c>
      <c r="S28" s="305">
        <f>S27</f>
        <v>4507.0538394383266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973131.76093097089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208395.60500822344</v>
      </c>
      <c r="I29" s="305">
        <f t="shared" si="10"/>
        <v>30329.097138302201</v>
      </c>
      <c r="J29" s="305">
        <f t="shared" si="10"/>
        <v>74482.848981148753</v>
      </c>
      <c r="K29" s="305">
        <f t="shared" si="10"/>
        <v>54170.082976151098</v>
      </c>
      <c r="L29" s="305">
        <f t="shared" si="10"/>
        <v>161339.1236923222</v>
      </c>
      <c r="M29" s="309">
        <f t="shared" si="10"/>
        <v>49988.903527988026</v>
      </c>
      <c r="N29" s="305">
        <f t="shared" si="10"/>
        <v>139658.18313798239</v>
      </c>
      <c r="O29" s="305">
        <f t="shared" si="10"/>
        <v>130722.78919395525</v>
      </c>
      <c r="P29" s="305">
        <f t="shared" si="10"/>
        <v>4022.750220713916</v>
      </c>
      <c r="Q29" s="305">
        <f t="shared" si="10"/>
        <v>4274.1721095085359</v>
      </c>
      <c r="R29" s="305">
        <f t="shared" si="10"/>
        <v>4559.1169168091046</v>
      </c>
      <c r="S29" s="305">
        <f t="shared" si="10"/>
        <v>4507.0538394383266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978868.01127207419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208395.60500822344</v>
      </c>
      <c r="I30" s="305">
        <f t="shared" si="10"/>
        <v>30329.097138302201</v>
      </c>
      <c r="J30" s="305">
        <f t="shared" si="10"/>
        <v>74482.848981148753</v>
      </c>
      <c r="K30" s="305">
        <f t="shared" si="10"/>
        <v>54170.082976151098</v>
      </c>
      <c r="L30" s="305">
        <f t="shared" si="10"/>
        <v>161339.1236923222</v>
      </c>
      <c r="M30" s="309">
        <f t="shared" si="10"/>
        <v>49988.903527988026</v>
      </c>
      <c r="N30" s="305">
        <f t="shared" si="10"/>
        <v>139658.18313798239</v>
      </c>
      <c r="O30" s="305">
        <f t="shared" si="10"/>
        <v>130722.78919395525</v>
      </c>
      <c r="P30" s="305">
        <f t="shared" si="10"/>
        <v>4022.750220713916</v>
      </c>
      <c r="Q30" s="305">
        <f t="shared" si="10"/>
        <v>4274.1721095085359</v>
      </c>
      <c r="R30" s="305">
        <f t="shared" si="10"/>
        <v>4559.1169168091046</v>
      </c>
      <c r="S30" s="305">
        <f t="shared" si="10"/>
        <v>4507.0538394383266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985177.88664728787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208395.60500822344</v>
      </c>
      <c r="I31" s="305">
        <f t="shared" si="10"/>
        <v>30329.097138302201</v>
      </c>
      <c r="J31" s="305">
        <f t="shared" si="10"/>
        <v>74482.848981148753</v>
      </c>
      <c r="K31" s="305">
        <f t="shared" si="10"/>
        <v>54170.082976151098</v>
      </c>
      <c r="L31" s="305">
        <f t="shared" si="10"/>
        <v>161339.1236923222</v>
      </c>
      <c r="M31" s="309">
        <f t="shared" si="10"/>
        <v>49988.903527988026</v>
      </c>
      <c r="N31" s="305">
        <f t="shared" si="10"/>
        <v>139658.18313798239</v>
      </c>
      <c r="O31" s="305">
        <f t="shared" si="10"/>
        <v>130722.78919395525</v>
      </c>
      <c r="P31" s="305">
        <f t="shared" si="10"/>
        <v>4022.750220713916</v>
      </c>
      <c r="Q31" s="305">
        <f t="shared" si="10"/>
        <v>4274.1721095085359</v>
      </c>
      <c r="R31" s="305">
        <f t="shared" si="10"/>
        <v>4559.1169168091046</v>
      </c>
      <c r="S31" s="305">
        <f t="shared" si="10"/>
        <v>4507.0538394383266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992821.63706419198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208395.60500822344</v>
      </c>
      <c r="I32" s="305">
        <f t="shared" si="10"/>
        <v>30329.097138302201</v>
      </c>
      <c r="J32" s="305">
        <f t="shared" si="10"/>
        <v>74482.848981148753</v>
      </c>
      <c r="K32" s="305">
        <f t="shared" si="10"/>
        <v>54170.082976151098</v>
      </c>
      <c r="L32" s="305">
        <f t="shared" si="10"/>
        <v>161339.1236923222</v>
      </c>
      <c r="M32" s="309">
        <f t="shared" si="10"/>
        <v>49988.903527988026</v>
      </c>
      <c r="N32" s="305">
        <f t="shared" si="10"/>
        <v>139658.18313798239</v>
      </c>
      <c r="O32" s="305">
        <f t="shared" si="10"/>
        <v>130722.78919395525</v>
      </c>
      <c r="P32" s="305">
        <f t="shared" si="10"/>
        <v>4022.750220713916</v>
      </c>
      <c r="Q32" s="305">
        <f t="shared" si="10"/>
        <v>4274.1721095085359</v>
      </c>
      <c r="R32" s="305">
        <f t="shared" si="10"/>
        <v>4559.1169168091046</v>
      </c>
      <c r="S32" s="305">
        <f t="shared" si="10"/>
        <v>4507.0538394383266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1000251.4812832091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208395.60500822344</v>
      </c>
      <c r="I33" s="305">
        <f t="shared" si="10"/>
        <v>30329.097138302201</v>
      </c>
      <c r="J33" s="305">
        <f t="shared" si="10"/>
        <v>74482.848981148753</v>
      </c>
      <c r="K33" s="305">
        <f t="shared" si="10"/>
        <v>54170.082976151098</v>
      </c>
      <c r="L33" s="305">
        <f t="shared" si="10"/>
        <v>161339.1236923222</v>
      </c>
      <c r="M33" s="309">
        <f t="shared" si="10"/>
        <v>49988.903527988026</v>
      </c>
      <c r="N33" s="305">
        <f t="shared" si="10"/>
        <v>139658.18313798239</v>
      </c>
      <c r="O33" s="305">
        <f t="shared" si="10"/>
        <v>130722.78919395525</v>
      </c>
      <c r="P33" s="305">
        <f t="shared" si="10"/>
        <v>4022.750220713916</v>
      </c>
      <c r="Q33" s="305">
        <f t="shared" si="10"/>
        <v>4274.1721095085359</v>
      </c>
      <c r="R33" s="305">
        <f t="shared" si="10"/>
        <v>4559.1169168091046</v>
      </c>
      <c r="S33" s="305">
        <f t="shared" si="10"/>
        <v>4507.0538394383266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1008742.7318192286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208395.60500822344</v>
      </c>
      <c r="I34" s="305">
        <f t="shared" si="10"/>
        <v>30329.097138302201</v>
      </c>
      <c r="J34" s="305">
        <f t="shared" si="10"/>
        <v>74482.848981148753</v>
      </c>
      <c r="K34" s="305">
        <f t="shared" si="10"/>
        <v>54170.082976151098</v>
      </c>
      <c r="L34" s="305">
        <f t="shared" si="10"/>
        <v>161339.1236923222</v>
      </c>
      <c r="M34" s="309">
        <f t="shared" si="10"/>
        <v>49988.903527988026</v>
      </c>
      <c r="N34" s="305">
        <f t="shared" si="10"/>
        <v>139658.18313798239</v>
      </c>
      <c r="O34" s="305">
        <f t="shared" si="10"/>
        <v>130722.78919395525</v>
      </c>
      <c r="P34" s="305">
        <f t="shared" si="10"/>
        <v>4022.750220713916</v>
      </c>
      <c r="Q34" s="305">
        <f t="shared" si="10"/>
        <v>4274.1721095085359</v>
      </c>
      <c r="R34" s="305">
        <f t="shared" si="10"/>
        <v>4559.1169168091046</v>
      </c>
      <c r="S34" s="305">
        <f t="shared" si="10"/>
        <v>4507.0538394383266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1018649.1907779181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208395.60500822344</v>
      </c>
      <c r="I35" s="305">
        <f t="shared" si="10"/>
        <v>30329.097138302201</v>
      </c>
      <c r="J35" s="305">
        <f t="shared" si="10"/>
        <v>74482.848981148753</v>
      </c>
      <c r="K35" s="305">
        <f t="shared" si="10"/>
        <v>54170.082976151098</v>
      </c>
      <c r="L35" s="305">
        <f t="shared" si="10"/>
        <v>161339.1236923222</v>
      </c>
      <c r="M35" s="309">
        <f t="shared" si="10"/>
        <v>49988.903527988026</v>
      </c>
      <c r="N35" s="305">
        <f t="shared" si="10"/>
        <v>139658.18313798239</v>
      </c>
      <c r="O35" s="305">
        <f t="shared" si="10"/>
        <v>130722.78919395525</v>
      </c>
      <c r="P35" s="305">
        <f t="shared" si="10"/>
        <v>4022.750220713916</v>
      </c>
      <c r="Q35" s="305">
        <f t="shared" si="10"/>
        <v>4274.1721095085359</v>
      </c>
      <c r="R35" s="305">
        <f t="shared" si="10"/>
        <v>4559.1169168091046</v>
      </c>
      <c r="S35" s="305">
        <f t="shared" si="10"/>
        <v>4507.0538394383266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1030536.9415283455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208395.60500822344</v>
      </c>
      <c r="I36" s="305">
        <f t="shared" si="10"/>
        <v>30329.097138302201</v>
      </c>
      <c r="J36" s="305">
        <f t="shared" si="10"/>
        <v>74482.848981148753</v>
      </c>
      <c r="K36" s="305">
        <f t="shared" si="10"/>
        <v>54170.082976151098</v>
      </c>
      <c r="L36" s="305">
        <f t="shared" si="10"/>
        <v>161339.1236923222</v>
      </c>
      <c r="M36" s="309">
        <f t="shared" si="10"/>
        <v>49988.903527988026</v>
      </c>
      <c r="N36" s="305">
        <f t="shared" si="10"/>
        <v>139658.18313798239</v>
      </c>
      <c r="O36" s="305">
        <f t="shared" si="10"/>
        <v>130722.78919395525</v>
      </c>
      <c r="P36" s="305">
        <f t="shared" si="10"/>
        <v>4022.750220713916</v>
      </c>
      <c r="Q36" s="305">
        <f t="shared" si="10"/>
        <v>4274.1721095085359</v>
      </c>
      <c r="R36" s="305">
        <f t="shared" si="10"/>
        <v>4559.1169168091046</v>
      </c>
      <c r="S36" s="305">
        <f t="shared" si="10"/>
        <v>4507.0538394383266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1047735.3799663796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208395.60500822344</v>
      </c>
      <c r="I37" s="305">
        <f t="shared" si="10"/>
        <v>30329.097138302201</v>
      </c>
      <c r="J37" s="305">
        <f t="shared" si="10"/>
        <v>74482.848981148753</v>
      </c>
      <c r="K37" s="305">
        <f t="shared" si="10"/>
        <v>54170.082976151098</v>
      </c>
      <c r="L37" s="305">
        <f t="shared" si="10"/>
        <v>161339.1236923222</v>
      </c>
      <c r="M37" s="309">
        <f t="shared" si="10"/>
        <v>49988.903527988026</v>
      </c>
      <c r="N37" s="305">
        <f t="shared" si="10"/>
        <v>139658.18313798239</v>
      </c>
      <c r="O37" s="305">
        <f t="shared" si="10"/>
        <v>130722.78919395525</v>
      </c>
      <c r="P37" s="305">
        <f t="shared" si="10"/>
        <v>4022.750220713916</v>
      </c>
      <c r="Q37" s="305">
        <f t="shared" si="10"/>
        <v>4274.1721095085359</v>
      </c>
      <c r="R37" s="305">
        <f t="shared" si="10"/>
        <v>4559.1169168091046</v>
      </c>
      <c r="S37" s="305">
        <f t="shared" si="10"/>
        <v>4507.0538394383266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1067819.6312170918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208395.60500822344</v>
      </c>
      <c r="I38" s="305">
        <f t="shared" si="10"/>
        <v>30329.097138302201</v>
      </c>
      <c r="J38" s="305">
        <f t="shared" si="10"/>
        <v>74482.848981148753</v>
      </c>
      <c r="K38" s="305">
        <f t="shared" si="10"/>
        <v>54170.082976151098</v>
      </c>
      <c r="L38" s="305">
        <f t="shared" si="10"/>
        <v>161339.1236923222</v>
      </c>
      <c r="M38" s="309">
        <f t="shared" si="10"/>
        <v>49988.903527988026</v>
      </c>
      <c r="N38" s="305">
        <f t="shared" si="10"/>
        <v>139658.18313798239</v>
      </c>
      <c r="O38" s="305">
        <f t="shared" si="10"/>
        <v>130722.78919395525</v>
      </c>
      <c r="P38" s="305">
        <f t="shared" si="10"/>
        <v>4022.750220713916</v>
      </c>
      <c r="Q38" s="305">
        <f t="shared" si="10"/>
        <v>4274.1721095085359</v>
      </c>
      <c r="R38" s="305">
        <f t="shared" si="10"/>
        <v>4559.1169168091046</v>
      </c>
      <c r="S38" s="305">
        <f t="shared" si="10"/>
        <v>4507.0538394383266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1098353.0080931601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208395.60500822344</v>
      </c>
      <c r="I39" s="305">
        <f t="shared" si="10"/>
        <v>30329.097138302201</v>
      </c>
      <c r="J39" s="305">
        <f t="shared" si="10"/>
        <v>74482.848981148753</v>
      </c>
      <c r="K39" s="305">
        <f t="shared" si="10"/>
        <v>54170.082976151098</v>
      </c>
      <c r="L39" s="305">
        <f t="shared" si="10"/>
        <v>161339.1236923222</v>
      </c>
      <c r="M39" s="309">
        <f t="shared" si="10"/>
        <v>49988.903527988026</v>
      </c>
      <c r="N39" s="305">
        <f t="shared" si="10"/>
        <v>139658.18313798239</v>
      </c>
      <c r="O39" s="305">
        <f t="shared" si="10"/>
        <v>130722.78919395525</v>
      </c>
      <c r="P39" s="305">
        <f t="shared" si="10"/>
        <v>4022.750220713916</v>
      </c>
      <c r="Q39" s="305">
        <f t="shared" si="10"/>
        <v>4274.1721095085359</v>
      </c>
      <c r="R39" s="305">
        <f t="shared" si="10"/>
        <v>4559.1169168091046</v>
      </c>
      <c r="S39" s="305">
        <f t="shared" si="10"/>
        <v>4507.0538394383266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1220085.0098420295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5209890.1252055857</v>
      </c>
      <c r="I40" s="312">
        <f t="shared" si="12"/>
        <v>727898.33131925284</v>
      </c>
      <c r="J40" s="312">
        <f t="shared" si="12"/>
        <v>1713105.5265664218</v>
      </c>
      <c r="K40" s="312">
        <f t="shared" si="12"/>
        <v>1191741.8254753244</v>
      </c>
      <c r="L40" s="312">
        <f t="shared" si="12"/>
        <v>3388121.5975387655</v>
      </c>
      <c r="M40" s="313">
        <f t="shared" si="12"/>
        <v>999778.07055976021</v>
      </c>
      <c r="N40" s="312">
        <f t="shared" si="12"/>
        <v>2653505.4796216646</v>
      </c>
      <c r="O40" s="312">
        <f t="shared" si="12"/>
        <v>2353010.2054911945</v>
      </c>
      <c r="P40" s="312">
        <f t="shared" si="12"/>
        <v>68386.753752136588</v>
      </c>
      <c r="Q40" s="312">
        <f t="shared" si="12"/>
        <v>68386.753752136588</v>
      </c>
      <c r="R40" s="312">
        <f t="shared" si="12"/>
        <v>68386.753752136588</v>
      </c>
      <c r="S40" s="312">
        <f t="shared" si="12"/>
        <v>63098.753752136567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21981075.342327688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3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D103:Z113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5"/>
        <v>#VALUE!</v>
      </c>
      <c r="E104" s="305" t="e">
        <f t="shared" si="25"/>
        <v>#VALUE!</v>
      </c>
      <c r="F104" s="305" t="e">
        <f t="shared" si="25"/>
        <v>#VALUE!</v>
      </c>
      <c r="G104" s="305" t="e">
        <f t="shared" si="25"/>
        <v>#VALUE!</v>
      </c>
      <c r="H104" s="305" t="e">
        <f t="shared" si="25"/>
        <v>#VALUE!</v>
      </c>
      <c r="I104" s="305" t="e">
        <f t="shared" si="25"/>
        <v>#VALUE!</v>
      </c>
      <c r="J104" s="305" t="e">
        <f t="shared" si="25"/>
        <v>#VALUE!</v>
      </c>
      <c r="K104" s="305" t="e">
        <f t="shared" si="25"/>
        <v>#VALUE!</v>
      </c>
      <c r="L104" s="305" t="e">
        <f t="shared" si="25"/>
        <v>#VALUE!</v>
      </c>
      <c r="M104" s="305" t="e">
        <f t="shared" si="25"/>
        <v>#VALUE!</v>
      </c>
      <c r="N104" s="305" t="e">
        <f t="shared" si="25"/>
        <v>#VALUE!</v>
      </c>
      <c r="O104" s="305" t="e">
        <f t="shared" si="25"/>
        <v>#VALUE!</v>
      </c>
      <c r="P104" s="305" t="e">
        <f t="shared" si="25"/>
        <v>#VALUE!</v>
      </c>
      <c r="Q104" s="305" t="e">
        <f t="shared" si="25"/>
        <v>#VALUE!</v>
      </c>
      <c r="R104" s="305" t="e">
        <f t="shared" si="25"/>
        <v>#VALUE!</v>
      </c>
      <c r="S104" s="305" t="e">
        <f t="shared" si="25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5"/>
        <v>#VALUE!</v>
      </c>
      <c r="F105" s="305" t="e">
        <f t="shared" si="25"/>
        <v>#VALUE!</v>
      </c>
      <c r="G105" s="305" t="e">
        <f t="shared" si="25"/>
        <v>#VALUE!</v>
      </c>
      <c r="H105" s="305" t="e">
        <f t="shared" si="25"/>
        <v>#VALUE!</v>
      </c>
      <c r="I105" s="305" t="e">
        <f t="shared" si="25"/>
        <v>#VALUE!</v>
      </c>
      <c r="J105" s="305" t="e">
        <f t="shared" si="25"/>
        <v>#VALUE!</v>
      </c>
      <c r="K105" s="305" t="e">
        <f t="shared" si="25"/>
        <v>#VALUE!</v>
      </c>
      <c r="L105" s="305" t="e">
        <f t="shared" si="25"/>
        <v>#VALUE!</v>
      </c>
      <c r="M105" s="305" t="e">
        <f t="shared" si="25"/>
        <v>#VALUE!</v>
      </c>
      <c r="N105" s="305" t="e">
        <f t="shared" si="25"/>
        <v>#VALUE!</v>
      </c>
      <c r="O105" s="305" t="e">
        <f t="shared" si="25"/>
        <v>#VALUE!</v>
      </c>
      <c r="P105" s="305" t="e">
        <f t="shared" si="25"/>
        <v>#VALUE!</v>
      </c>
      <c r="Q105" s="305" t="e">
        <f t="shared" si="25"/>
        <v>#VALUE!</v>
      </c>
      <c r="R105" s="305" t="e">
        <f t="shared" si="25"/>
        <v>#VALUE!</v>
      </c>
      <c r="S105" s="305" t="e">
        <f t="shared" si="25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5"/>
        <v>#VALUE!</v>
      </c>
      <c r="G106" s="305" t="e">
        <f t="shared" si="25"/>
        <v>#VALUE!</v>
      </c>
      <c r="H106" s="305" t="e">
        <f t="shared" si="25"/>
        <v>#VALUE!</v>
      </c>
      <c r="I106" s="305" t="e">
        <f t="shared" si="25"/>
        <v>#VALUE!</v>
      </c>
      <c r="J106" s="305" t="e">
        <f t="shared" si="25"/>
        <v>#VALUE!</v>
      </c>
      <c r="K106" s="305" t="e">
        <f t="shared" si="25"/>
        <v>#VALUE!</v>
      </c>
      <c r="L106" s="305" t="e">
        <f t="shared" si="25"/>
        <v>#VALUE!</v>
      </c>
      <c r="M106" s="305" t="e">
        <f t="shared" si="25"/>
        <v>#VALUE!</v>
      </c>
      <c r="N106" s="305" t="e">
        <f t="shared" si="25"/>
        <v>#VALUE!</v>
      </c>
      <c r="O106" s="305" t="e">
        <f t="shared" si="25"/>
        <v>#VALUE!</v>
      </c>
      <c r="P106" s="305" t="e">
        <f t="shared" si="25"/>
        <v>#VALUE!</v>
      </c>
      <c r="Q106" s="305" t="e">
        <f t="shared" si="25"/>
        <v>#VALUE!</v>
      </c>
      <c r="R106" s="305" t="e">
        <f t="shared" si="25"/>
        <v>#VALUE!</v>
      </c>
      <c r="S106" s="305" t="e">
        <f t="shared" si="25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si="25"/>
        <v>#VALUE!</v>
      </c>
      <c r="H107" s="305" t="e">
        <f t="shared" si="25"/>
        <v>#VALUE!</v>
      </c>
      <c r="I107" s="305" t="e">
        <f t="shared" si="25"/>
        <v>#VALUE!</v>
      </c>
      <c r="J107" s="305" t="e">
        <f t="shared" si="25"/>
        <v>#VALUE!</v>
      </c>
      <c r="K107" s="305" t="e">
        <f t="shared" si="25"/>
        <v>#VALUE!</v>
      </c>
      <c r="L107" s="305" t="e">
        <f t="shared" si="25"/>
        <v>#VALUE!</v>
      </c>
      <c r="M107" s="305" t="e">
        <f t="shared" si="25"/>
        <v>#VALUE!</v>
      </c>
      <c r="N107" s="305" t="e">
        <f t="shared" si="25"/>
        <v>#VALUE!</v>
      </c>
      <c r="O107" s="305" t="e">
        <f t="shared" si="25"/>
        <v>#VALUE!</v>
      </c>
      <c r="P107" s="305" t="e">
        <f t="shared" si="25"/>
        <v>#VALUE!</v>
      </c>
      <c r="Q107" s="305" t="e">
        <f t="shared" si="25"/>
        <v>#VALUE!</v>
      </c>
      <c r="R107" s="305" t="e">
        <f t="shared" si="25"/>
        <v>#VALUE!</v>
      </c>
      <c r="S107" s="305" t="e">
        <f t="shared" si="25"/>
        <v>#VALUE!</v>
      </c>
      <c r="T107" s="305" t="e">
        <f t="shared" si="25"/>
        <v>#VALUE!</v>
      </c>
      <c r="U107" s="305" t="e">
        <f t="shared" si="25"/>
        <v>#VALUE!</v>
      </c>
      <c r="V107" s="305" t="e">
        <f t="shared" si="25"/>
        <v>#VALUE!</v>
      </c>
      <c r="W107" s="305" t="e">
        <f t="shared" si="25"/>
        <v>#VALUE!</v>
      </c>
      <c r="X107" s="305" t="e">
        <f t="shared" si="25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5"/>
        <v>#VALUE!</v>
      </c>
      <c r="I108" s="305" t="e">
        <f t="shared" si="25"/>
        <v>#VALUE!</v>
      </c>
      <c r="J108" s="305" t="e">
        <f t="shared" si="25"/>
        <v>#VALUE!</v>
      </c>
      <c r="K108" s="305" t="e">
        <f t="shared" si="25"/>
        <v>#VALUE!</v>
      </c>
      <c r="L108" s="305" t="e">
        <f t="shared" si="25"/>
        <v>#VALUE!</v>
      </c>
      <c r="M108" s="305" t="e">
        <f t="shared" si="25"/>
        <v>#VALUE!</v>
      </c>
      <c r="N108" s="305" t="e">
        <f t="shared" si="25"/>
        <v>#VALUE!</v>
      </c>
      <c r="O108" s="305" t="e">
        <f t="shared" si="25"/>
        <v>#VALUE!</v>
      </c>
      <c r="P108" s="305" t="e">
        <f t="shared" si="25"/>
        <v>#VALUE!</v>
      </c>
      <c r="Q108" s="305" t="e">
        <f t="shared" si="25"/>
        <v>#VALUE!</v>
      </c>
      <c r="R108" s="305" t="e">
        <f t="shared" si="25"/>
        <v>#VALUE!</v>
      </c>
      <c r="S108" s="305" t="e">
        <f t="shared" si="25"/>
        <v>#VALUE!</v>
      </c>
      <c r="T108" s="305" t="e">
        <f t="shared" si="25"/>
        <v>#VALUE!</v>
      </c>
      <c r="U108" s="305" t="e">
        <f t="shared" si="25"/>
        <v>#VALUE!</v>
      </c>
      <c r="V108" s="305" t="e">
        <f t="shared" si="25"/>
        <v>#VALUE!</v>
      </c>
      <c r="W108" s="305" t="e">
        <f t="shared" si="25"/>
        <v>#VALUE!</v>
      </c>
      <c r="X108" s="305" t="e">
        <f t="shared" si="25"/>
        <v>#VALUE!</v>
      </c>
      <c r="Y108" s="305" t="e">
        <f t="shared" si="25"/>
        <v>#VALUE!</v>
      </c>
      <c r="Z108" s="305" t="e">
        <f t="shared" si="25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5"/>
        <v>#VALUE!</v>
      </c>
      <c r="J109" s="305" t="e">
        <f t="shared" si="25"/>
        <v>#VALUE!</v>
      </c>
      <c r="K109" s="305" t="e">
        <f t="shared" si="25"/>
        <v>#VALUE!</v>
      </c>
      <c r="L109" s="305" t="e">
        <f t="shared" si="25"/>
        <v>#VALUE!</v>
      </c>
      <c r="M109" s="305" t="e">
        <f t="shared" si="25"/>
        <v>#VALUE!</v>
      </c>
      <c r="N109" s="305" t="e">
        <f t="shared" si="25"/>
        <v>#VALUE!</v>
      </c>
      <c r="O109" s="305" t="e">
        <f t="shared" si="25"/>
        <v>#VALUE!</v>
      </c>
      <c r="P109" s="305" t="e">
        <f t="shared" si="25"/>
        <v>#VALUE!</v>
      </c>
      <c r="Q109" s="305" t="e">
        <f t="shared" si="25"/>
        <v>#VALUE!</v>
      </c>
      <c r="R109" s="305" t="e">
        <f t="shared" si="25"/>
        <v>#VALUE!</v>
      </c>
      <c r="S109" s="305" t="e">
        <f t="shared" si="25"/>
        <v>#VALUE!</v>
      </c>
      <c r="T109" s="305" t="e">
        <f t="shared" si="25"/>
        <v>#VALUE!</v>
      </c>
      <c r="U109" s="305" t="e">
        <f t="shared" si="25"/>
        <v>#VALUE!</v>
      </c>
      <c r="V109" s="305" t="e">
        <f t="shared" si="25"/>
        <v>#VALUE!</v>
      </c>
      <c r="W109" s="305" t="e">
        <f t="shared" si="25"/>
        <v>#VALUE!</v>
      </c>
      <c r="X109" s="305" t="e">
        <f t="shared" si="25"/>
        <v>#VALUE!</v>
      </c>
      <c r="Y109" s="305" t="e">
        <f t="shared" si="25"/>
        <v>#VALUE!</v>
      </c>
      <c r="Z109" s="305" t="e">
        <f t="shared" si="25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5"/>
        <v>#VALUE!</v>
      </c>
      <c r="K110" s="305" t="e">
        <f t="shared" si="25"/>
        <v>#VALUE!</v>
      </c>
      <c r="L110" s="305" t="e">
        <f t="shared" si="25"/>
        <v>#VALUE!</v>
      </c>
      <c r="M110" s="305" t="e">
        <f t="shared" si="25"/>
        <v>#VALUE!</v>
      </c>
      <c r="N110" s="305" t="e">
        <f t="shared" si="25"/>
        <v>#VALUE!</v>
      </c>
      <c r="O110" s="305" t="e">
        <f t="shared" si="25"/>
        <v>#VALUE!</v>
      </c>
      <c r="P110" s="305" t="e">
        <f t="shared" si="25"/>
        <v>#VALUE!</v>
      </c>
      <c r="Q110" s="305" t="e">
        <f t="shared" si="25"/>
        <v>#VALUE!</v>
      </c>
      <c r="R110" s="305" t="e">
        <f t="shared" si="25"/>
        <v>#VALUE!</v>
      </c>
      <c r="S110" s="305" t="e">
        <f t="shared" si="25"/>
        <v>#VALUE!</v>
      </c>
      <c r="T110" s="305" t="e">
        <f t="shared" si="25"/>
        <v>#VALUE!</v>
      </c>
      <c r="U110" s="305" t="e">
        <f t="shared" si="25"/>
        <v>#VALUE!</v>
      </c>
      <c r="V110" s="305" t="e">
        <f t="shared" si="25"/>
        <v>#VALUE!</v>
      </c>
      <c r="W110" s="305" t="e">
        <f t="shared" si="25"/>
        <v>#VALUE!</v>
      </c>
      <c r="X110" s="305" t="e">
        <f t="shared" si="25"/>
        <v>#VALUE!</v>
      </c>
      <c r="Y110" s="305" t="e">
        <f t="shared" si="25"/>
        <v>#VALUE!</v>
      </c>
      <c r="Z110" s="305" t="e">
        <f t="shared" si="25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5"/>
        <v>#VALUE!</v>
      </c>
      <c r="L111" s="305" t="e">
        <f t="shared" si="25"/>
        <v>#VALUE!</v>
      </c>
      <c r="M111" s="305" t="e">
        <f t="shared" si="25"/>
        <v>#VALUE!</v>
      </c>
      <c r="N111" s="305" t="e">
        <f t="shared" si="25"/>
        <v>#VALUE!</v>
      </c>
      <c r="O111" s="305" t="e">
        <f t="shared" si="25"/>
        <v>#VALUE!</v>
      </c>
      <c r="P111" s="305" t="e">
        <f t="shared" si="25"/>
        <v>#VALUE!</v>
      </c>
      <c r="Q111" s="305" t="e">
        <f t="shared" si="25"/>
        <v>#VALUE!</v>
      </c>
      <c r="R111" s="305" t="e">
        <f t="shared" si="25"/>
        <v>#VALUE!</v>
      </c>
      <c r="S111" s="305" t="e">
        <f t="shared" si="25"/>
        <v>#VALUE!</v>
      </c>
      <c r="T111" s="305" t="e">
        <f t="shared" si="25"/>
        <v>#VALUE!</v>
      </c>
      <c r="U111" s="305" t="e">
        <f t="shared" si="25"/>
        <v>#VALUE!</v>
      </c>
      <c r="V111" s="305" t="e">
        <f t="shared" si="25"/>
        <v>#VALUE!</v>
      </c>
      <c r="W111" s="305" t="e">
        <f t="shared" si="25"/>
        <v>#VALUE!</v>
      </c>
      <c r="X111" s="305" t="e">
        <f t="shared" si="25"/>
        <v>#VALUE!</v>
      </c>
      <c r="Y111" s="305" t="e">
        <f t="shared" si="25"/>
        <v>#VALUE!</v>
      </c>
      <c r="Z111" s="305" t="e">
        <f t="shared" si="25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5"/>
        <v>#VALUE!</v>
      </c>
      <c r="M112" s="305" t="e">
        <f t="shared" si="25"/>
        <v>#VALUE!</v>
      </c>
      <c r="N112" s="305" t="e">
        <f t="shared" si="25"/>
        <v>#VALUE!</v>
      </c>
      <c r="O112" s="305" t="e">
        <f t="shared" si="25"/>
        <v>#VALUE!</v>
      </c>
      <c r="P112" s="305" t="e">
        <f t="shared" si="25"/>
        <v>#VALUE!</v>
      </c>
      <c r="Q112" s="305" t="e">
        <f t="shared" si="25"/>
        <v>#VALUE!</v>
      </c>
      <c r="R112" s="305" t="e">
        <f t="shared" si="25"/>
        <v>#VALUE!</v>
      </c>
      <c r="S112" s="305" t="e">
        <f t="shared" si="25"/>
        <v>#VALUE!</v>
      </c>
      <c r="T112" s="305" t="e">
        <f t="shared" si="25"/>
        <v>#VALUE!</v>
      </c>
      <c r="U112" s="305" t="e">
        <f t="shared" si="25"/>
        <v>#VALUE!</v>
      </c>
      <c r="V112" s="305" t="e">
        <f t="shared" si="25"/>
        <v>#VALUE!</v>
      </c>
      <c r="W112" s="305" t="e">
        <f t="shared" si="25"/>
        <v>#VALUE!</v>
      </c>
      <c r="X112" s="305" t="e">
        <f t="shared" si="25"/>
        <v>#VALUE!</v>
      </c>
      <c r="Y112" s="305" t="e">
        <f t="shared" si="25"/>
        <v>#VALUE!</v>
      </c>
      <c r="Z112" s="305" t="e">
        <f t="shared" si="25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5"/>
        <v>#VALUE!</v>
      </c>
      <c r="N113" s="305" t="e">
        <f t="shared" si="25"/>
        <v>#VALUE!</v>
      </c>
      <c r="O113" s="305" t="e">
        <f t="shared" si="25"/>
        <v>#VALUE!</v>
      </c>
      <c r="P113" s="305" t="e">
        <f t="shared" si="25"/>
        <v>#VALUE!</v>
      </c>
      <c r="Q113" s="305" t="e">
        <f t="shared" si="25"/>
        <v>#VALUE!</v>
      </c>
      <c r="R113" s="305" t="e">
        <f t="shared" si="25"/>
        <v>#VALUE!</v>
      </c>
      <c r="S113" s="305" t="e">
        <f t="shared" si="25"/>
        <v>#VALUE!</v>
      </c>
      <c r="T113" s="305" t="e">
        <f t="shared" si="25"/>
        <v>#VALUE!</v>
      </c>
      <c r="U113" s="305" t="e">
        <f t="shared" si="25"/>
        <v>#VALUE!</v>
      </c>
      <c r="V113" s="305" t="e">
        <f t="shared" si="25"/>
        <v>#VALUE!</v>
      </c>
      <c r="W113" s="305" t="e">
        <f t="shared" si="25"/>
        <v>#VALUE!</v>
      </c>
      <c r="X113" s="305" t="e">
        <f t="shared" si="25"/>
        <v>#VALUE!</v>
      </c>
      <c r="Y113" s="305" t="e">
        <f t="shared" si="25"/>
        <v>#VALUE!</v>
      </c>
      <c r="Z113" s="305" t="e">
        <f t="shared" si="25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6">SUM(D83:D113)</f>
        <v>#VALUE!</v>
      </c>
      <c r="E114" s="328" t="e">
        <f t="shared" si="26"/>
        <v>#VALUE!</v>
      </c>
      <c r="F114" s="328" t="e">
        <f t="shared" si="26"/>
        <v>#VALUE!</v>
      </c>
      <c r="G114" s="328" t="e">
        <f t="shared" si="26"/>
        <v>#VALUE!</v>
      </c>
      <c r="H114" s="328" t="e">
        <f t="shared" si="26"/>
        <v>#VALUE!</v>
      </c>
      <c r="I114" s="328" t="e">
        <f t="shared" si="26"/>
        <v>#VALUE!</v>
      </c>
      <c r="J114" s="328" t="e">
        <f t="shared" si="26"/>
        <v>#VALUE!</v>
      </c>
      <c r="K114" s="328" t="e">
        <f t="shared" si="26"/>
        <v>#VALUE!</v>
      </c>
      <c r="L114" s="328" t="e">
        <f t="shared" si="26"/>
        <v>#VALUE!</v>
      </c>
      <c r="M114" s="328" t="e">
        <f t="shared" si="26"/>
        <v>#VALUE!</v>
      </c>
      <c r="N114" s="328" t="e">
        <f t="shared" si="26"/>
        <v>#VALUE!</v>
      </c>
      <c r="O114" s="328" t="e">
        <f t="shared" si="26"/>
        <v>#VALUE!</v>
      </c>
      <c r="P114" s="328" t="e">
        <f t="shared" si="26"/>
        <v>#VALUE!</v>
      </c>
      <c r="Q114" s="328" t="e">
        <f t="shared" si="26"/>
        <v>#VALUE!</v>
      </c>
      <c r="R114" s="328" t="e">
        <f t="shared" si="26"/>
        <v>#VALUE!</v>
      </c>
      <c r="S114" s="328" t="e">
        <f t="shared" si="26"/>
        <v>#VALUE!</v>
      </c>
      <c r="T114" s="328" t="e">
        <f t="shared" si="26"/>
        <v>#VALUE!</v>
      </c>
      <c r="U114" s="328" t="e">
        <f t="shared" si="26"/>
        <v>#VALUE!</v>
      </c>
      <c r="V114" s="328" t="e">
        <f t="shared" si="26"/>
        <v>#VALUE!</v>
      </c>
      <c r="W114" s="328" t="e">
        <f t="shared" si="26"/>
        <v>#VALUE!</v>
      </c>
      <c r="X114" s="328" t="e">
        <f t="shared" si="26"/>
        <v>#VALUE!</v>
      </c>
      <c r="Y114" s="328" t="e">
        <f t="shared" si="26"/>
        <v>#VALUE!</v>
      </c>
      <c r="Z114" s="328" t="e">
        <f t="shared" si="26"/>
        <v>#VALUE!</v>
      </c>
      <c r="AA114" s="328" t="e">
        <f t="shared" si="26"/>
        <v>#VALUE!</v>
      </c>
      <c r="AB114" s="328" t="e">
        <f t="shared" si="26"/>
        <v>#VALUE!</v>
      </c>
      <c r="AC114" s="328" t="e">
        <f t="shared" si="26"/>
        <v>#VALUE!</v>
      </c>
      <c r="AD114" s="328" t="e">
        <f t="shared" si="26"/>
        <v>#VALUE!</v>
      </c>
      <c r="AE114" s="328" t="e">
        <f t="shared" si="26"/>
        <v>#VALUE!</v>
      </c>
      <c r="AF114" s="329" t="e">
        <f t="shared" si="26"/>
        <v>#VALUE!</v>
      </c>
      <c r="AG114" s="329" t="e">
        <f t="shared" si="26"/>
        <v>#VALUE!</v>
      </c>
      <c r="AH114" s="315" t="e">
        <f t="shared" si="26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7">D119+1</f>
        <v>2</v>
      </c>
      <c r="F119" s="302">
        <f t="shared" si="27"/>
        <v>3</v>
      </c>
      <c r="G119" s="302">
        <f t="shared" si="27"/>
        <v>4</v>
      </c>
      <c r="H119" s="302">
        <f t="shared" si="27"/>
        <v>5</v>
      </c>
      <c r="I119" s="302">
        <f t="shared" si="27"/>
        <v>6</v>
      </c>
      <c r="J119" s="302">
        <f t="shared" si="27"/>
        <v>7</v>
      </c>
      <c r="K119" s="302">
        <f t="shared" si="27"/>
        <v>8</v>
      </c>
      <c r="L119" s="302">
        <f t="shared" si="27"/>
        <v>9</v>
      </c>
      <c r="M119" s="302">
        <f t="shared" si="27"/>
        <v>10</v>
      </c>
      <c r="N119" s="302">
        <f t="shared" si="27"/>
        <v>11</v>
      </c>
      <c r="O119" s="302">
        <f t="shared" si="27"/>
        <v>12</v>
      </c>
      <c r="P119" s="302">
        <f t="shared" si="27"/>
        <v>13</v>
      </c>
      <c r="Q119" s="302">
        <f t="shared" si="27"/>
        <v>14</v>
      </c>
      <c r="R119" s="302">
        <f t="shared" si="27"/>
        <v>15</v>
      </c>
      <c r="S119" s="302">
        <f t="shared" si="27"/>
        <v>16</v>
      </c>
      <c r="T119" s="302">
        <f t="shared" si="27"/>
        <v>17</v>
      </c>
      <c r="U119" s="302">
        <f t="shared" si="27"/>
        <v>18</v>
      </c>
      <c r="V119" s="302">
        <f t="shared" si="27"/>
        <v>19</v>
      </c>
      <c r="W119" s="302">
        <f t="shared" si="27"/>
        <v>20</v>
      </c>
      <c r="X119" s="302">
        <f t="shared" si="27"/>
        <v>21</v>
      </c>
      <c r="Y119" s="302">
        <f t="shared" si="27"/>
        <v>22</v>
      </c>
      <c r="Z119" s="302">
        <f t="shared" si="27"/>
        <v>23</v>
      </c>
      <c r="AA119" s="302">
        <f t="shared" si="27"/>
        <v>24</v>
      </c>
      <c r="AB119" s="302">
        <f t="shared" si="27"/>
        <v>25</v>
      </c>
      <c r="AC119" s="302">
        <f t="shared" si="27"/>
        <v>26</v>
      </c>
      <c r="AD119" s="302">
        <f t="shared" si="27"/>
        <v>27</v>
      </c>
      <c r="AE119" s="302">
        <f t="shared" si="27"/>
        <v>28</v>
      </c>
      <c r="AF119" s="302">
        <f t="shared" si="27"/>
        <v>29</v>
      </c>
      <c r="AG119" s="302">
        <f t="shared" si="27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8">SUM(D120:AG120)</f>
        <v>0</v>
      </c>
    </row>
    <row r="121" spans="1:34">
      <c r="C121" s="304">
        <f t="shared" ref="C121:C150" si="29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8"/>
        <v>0</v>
      </c>
    </row>
    <row r="122" spans="1:34">
      <c r="C122" s="304">
        <f t="shared" si="29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8"/>
        <v>#VALUE!</v>
      </c>
    </row>
    <row r="123" spans="1:34">
      <c r="C123" s="304">
        <f t="shared" si="29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8"/>
        <v>#VALUE!</v>
      </c>
    </row>
    <row r="124" spans="1:34">
      <c r="C124" s="304">
        <f t="shared" si="29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8"/>
        <v>#VALUE!</v>
      </c>
    </row>
    <row r="125" spans="1:34">
      <c r="C125" s="304">
        <f t="shared" si="29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8"/>
        <v>#VALUE!</v>
      </c>
    </row>
    <row r="126" spans="1:34">
      <c r="C126" s="304">
        <f t="shared" si="29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8"/>
        <v>#VALUE!</v>
      </c>
    </row>
    <row r="127" spans="1:34">
      <c r="C127" s="304">
        <f t="shared" si="29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8"/>
        <v>#VALUE!</v>
      </c>
    </row>
    <row r="128" spans="1:34">
      <c r="C128" s="304">
        <f t="shared" si="29"/>
        <v>8</v>
      </c>
      <c r="D128" s="305" t="e">
        <f t="shared" ref="D128:O139" si="30">D127</f>
        <v>#VALUE!</v>
      </c>
      <c r="E128" s="305" t="e">
        <f t="shared" si="30"/>
        <v>#VALUE!</v>
      </c>
      <c r="F128" s="305" t="e">
        <f t="shared" si="30"/>
        <v>#VALUE!</v>
      </c>
      <c r="G128" s="305" t="e">
        <f t="shared" si="30"/>
        <v>#VALUE!</v>
      </c>
      <c r="H128" s="305" t="e">
        <f t="shared" si="30"/>
        <v>#VALUE!</v>
      </c>
      <c r="I128" s="305" t="e">
        <f t="shared" si="30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8"/>
        <v>#VALUE!</v>
      </c>
    </row>
    <row r="129" spans="3:34">
      <c r="C129" s="304">
        <f t="shared" si="29"/>
        <v>9</v>
      </c>
      <c r="D129" s="305" t="e">
        <f t="shared" si="30"/>
        <v>#VALUE!</v>
      </c>
      <c r="E129" s="305" t="e">
        <f t="shared" si="30"/>
        <v>#VALUE!</v>
      </c>
      <c r="F129" s="305" t="e">
        <f t="shared" si="30"/>
        <v>#VALUE!</v>
      </c>
      <c r="G129" s="305" t="e">
        <f t="shared" si="30"/>
        <v>#VALUE!</v>
      </c>
      <c r="H129" s="305" t="e">
        <f t="shared" si="30"/>
        <v>#VALUE!</v>
      </c>
      <c r="I129" s="305" t="e">
        <f t="shared" si="30"/>
        <v>#VALUE!</v>
      </c>
      <c r="J129" s="305" t="e">
        <f t="shared" si="30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8"/>
        <v>#VALUE!</v>
      </c>
    </row>
    <row r="130" spans="3:34">
      <c r="C130" s="304">
        <f t="shared" si="29"/>
        <v>10</v>
      </c>
      <c r="D130" s="305" t="e">
        <f t="shared" si="30"/>
        <v>#VALUE!</v>
      </c>
      <c r="E130" s="305" t="e">
        <f t="shared" si="30"/>
        <v>#VALUE!</v>
      </c>
      <c r="F130" s="305" t="e">
        <f t="shared" si="30"/>
        <v>#VALUE!</v>
      </c>
      <c r="G130" s="305" t="e">
        <f t="shared" si="30"/>
        <v>#VALUE!</v>
      </c>
      <c r="H130" s="305" t="e">
        <f t="shared" si="30"/>
        <v>#VALUE!</v>
      </c>
      <c r="I130" s="305" t="e">
        <f t="shared" si="30"/>
        <v>#VALUE!</v>
      </c>
      <c r="J130" s="305" t="e">
        <f t="shared" si="30"/>
        <v>#VALUE!</v>
      </c>
      <c r="K130" s="305" t="e">
        <f t="shared" si="30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8"/>
        <v>#VALUE!</v>
      </c>
    </row>
    <row r="131" spans="3:34">
      <c r="C131" s="304">
        <f t="shared" si="29"/>
        <v>11</v>
      </c>
      <c r="D131" s="305" t="e">
        <f t="shared" si="30"/>
        <v>#VALUE!</v>
      </c>
      <c r="E131" s="305" t="e">
        <f t="shared" si="30"/>
        <v>#VALUE!</v>
      </c>
      <c r="F131" s="305" t="e">
        <f t="shared" si="30"/>
        <v>#VALUE!</v>
      </c>
      <c r="G131" s="305" t="e">
        <f t="shared" si="30"/>
        <v>#VALUE!</v>
      </c>
      <c r="H131" s="305" t="e">
        <f t="shared" si="30"/>
        <v>#VALUE!</v>
      </c>
      <c r="I131" s="305" t="e">
        <f t="shared" si="30"/>
        <v>#VALUE!</v>
      </c>
      <c r="J131" s="305" t="e">
        <f t="shared" si="30"/>
        <v>#VALUE!</v>
      </c>
      <c r="K131" s="305" t="e">
        <f t="shared" si="30"/>
        <v>#VALUE!</v>
      </c>
      <c r="L131" s="305" t="e">
        <f t="shared" si="30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8"/>
        <v>#VALUE!</v>
      </c>
    </row>
    <row r="132" spans="3:34">
      <c r="C132" s="304">
        <f t="shared" si="29"/>
        <v>12</v>
      </c>
      <c r="D132" s="305" t="e">
        <f t="shared" si="30"/>
        <v>#VALUE!</v>
      </c>
      <c r="E132" s="305" t="e">
        <f t="shared" si="30"/>
        <v>#VALUE!</v>
      </c>
      <c r="F132" s="305" t="e">
        <f t="shared" si="30"/>
        <v>#VALUE!</v>
      </c>
      <c r="G132" s="305" t="e">
        <f t="shared" si="30"/>
        <v>#VALUE!</v>
      </c>
      <c r="H132" s="305" t="e">
        <f t="shared" si="30"/>
        <v>#VALUE!</v>
      </c>
      <c r="I132" s="305" t="e">
        <f t="shared" si="30"/>
        <v>#VALUE!</v>
      </c>
      <c r="J132" s="305" t="e">
        <f t="shared" si="30"/>
        <v>#VALUE!</v>
      </c>
      <c r="K132" s="305" t="e">
        <f t="shared" si="30"/>
        <v>#VALUE!</v>
      </c>
      <c r="L132" s="305" t="e">
        <f t="shared" si="30"/>
        <v>#VALUE!</v>
      </c>
      <c r="M132" s="305" t="e">
        <f t="shared" si="30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8"/>
        <v>#VALUE!</v>
      </c>
    </row>
    <row r="133" spans="3:34">
      <c r="C133" s="304">
        <f t="shared" si="29"/>
        <v>13</v>
      </c>
      <c r="D133" s="305" t="e">
        <f t="shared" si="30"/>
        <v>#VALUE!</v>
      </c>
      <c r="E133" s="305" t="e">
        <f t="shared" si="30"/>
        <v>#VALUE!</v>
      </c>
      <c r="F133" s="305" t="e">
        <f t="shared" si="30"/>
        <v>#VALUE!</v>
      </c>
      <c r="G133" s="305" t="e">
        <f t="shared" si="30"/>
        <v>#VALUE!</v>
      </c>
      <c r="H133" s="305" t="e">
        <f t="shared" si="30"/>
        <v>#VALUE!</v>
      </c>
      <c r="I133" s="305" t="e">
        <f t="shared" si="30"/>
        <v>#VALUE!</v>
      </c>
      <c r="J133" s="305" t="e">
        <f t="shared" si="30"/>
        <v>#VALUE!</v>
      </c>
      <c r="K133" s="305" t="e">
        <f t="shared" si="30"/>
        <v>#VALUE!</v>
      </c>
      <c r="L133" s="305" t="e">
        <f t="shared" si="30"/>
        <v>#VALUE!</v>
      </c>
      <c r="M133" s="305" t="e">
        <f t="shared" si="30"/>
        <v>#VALUE!</v>
      </c>
      <c r="N133" s="305" t="e">
        <f t="shared" si="30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8"/>
        <v>#VALUE!</v>
      </c>
    </row>
    <row r="134" spans="3:34">
      <c r="C134" s="304">
        <f t="shared" si="29"/>
        <v>14</v>
      </c>
      <c r="D134" s="305" t="e">
        <f t="shared" si="30"/>
        <v>#VALUE!</v>
      </c>
      <c r="E134" s="305" t="e">
        <f t="shared" si="30"/>
        <v>#VALUE!</v>
      </c>
      <c r="F134" s="305" t="e">
        <f t="shared" si="30"/>
        <v>#VALUE!</v>
      </c>
      <c r="G134" s="305" t="e">
        <f t="shared" si="30"/>
        <v>#VALUE!</v>
      </c>
      <c r="H134" s="305" t="e">
        <f t="shared" si="30"/>
        <v>#VALUE!</v>
      </c>
      <c r="I134" s="305" t="e">
        <f t="shared" si="30"/>
        <v>#VALUE!</v>
      </c>
      <c r="J134" s="305" t="e">
        <f t="shared" si="30"/>
        <v>#VALUE!</v>
      </c>
      <c r="K134" s="305" t="e">
        <f t="shared" si="30"/>
        <v>#VALUE!</v>
      </c>
      <c r="L134" s="305" t="e">
        <f t="shared" si="30"/>
        <v>#VALUE!</v>
      </c>
      <c r="M134" s="305" t="e">
        <f t="shared" si="30"/>
        <v>#VALUE!</v>
      </c>
      <c r="N134" s="305" t="e">
        <f t="shared" si="30"/>
        <v>#VALUE!</v>
      </c>
      <c r="O134" s="305" t="e">
        <f t="shared" si="30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8"/>
        <v>#VALUE!</v>
      </c>
    </row>
    <row r="135" spans="3:34">
      <c r="C135" s="304">
        <f t="shared" si="29"/>
        <v>15</v>
      </c>
      <c r="D135" s="305" t="e">
        <f t="shared" si="30"/>
        <v>#VALUE!</v>
      </c>
      <c r="E135" s="305" t="e">
        <f t="shared" si="30"/>
        <v>#VALUE!</v>
      </c>
      <c r="F135" s="305" t="e">
        <f t="shared" si="30"/>
        <v>#VALUE!</v>
      </c>
      <c r="G135" s="305" t="e">
        <f t="shared" si="30"/>
        <v>#VALUE!</v>
      </c>
      <c r="H135" s="305" t="e">
        <f t="shared" si="30"/>
        <v>#VALUE!</v>
      </c>
      <c r="I135" s="305" t="e">
        <f t="shared" si="30"/>
        <v>#VALUE!</v>
      </c>
      <c r="J135" s="305" t="e">
        <f t="shared" si="30"/>
        <v>#VALUE!</v>
      </c>
      <c r="K135" s="305" t="e">
        <f t="shared" si="30"/>
        <v>#VALUE!</v>
      </c>
      <c r="L135" s="305" t="e">
        <f t="shared" si="30"/>
        <v>#VALUE!</v>
      </c>
      <c r="M135" s="305" t="e">
        <f t="shared" si="30"/>
        <v>#VALUE!</v>
      </c>
      <c r="N135" s="305" t="e">
        <f t="shared" si="30"/>
        <v>#VALUE!</v>
      </c>
      <c r="O135" s="305" t="e">
        <f t="shared" si="30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8"/>
        <v>#VALUE!</v>
      </c>
    </row>
    <row r="136" spans="3:34">
      <c r="C136" s="304">
        <f t="shared" si="29"/>
        <v>16</v>
      </c>
      <c r="D136" s="305" t="e">
        <f t="shared" si="30"/>
        <v>#VALUE!</v>
      </c>
      <c r="E136" s="305" t="e">
        <f t="shared" si="30"/>
        <v>#VALUE!</v>
      </c>
      <c r="F136" s="305" t="e">
        <f t="shared" si="30"/>
        <v>#VALUE!</v>
      </c>
      <c r="G136" s="305" t="e">
        <f t="shared" si="30"/>
        <v>#VALUE!</v>
      </c>
      <c r="H136" s="305" t="e">
        <f t="shared" si="30"/>
        <v>#VALUE!</v>
      </c>
      <c r="I136" s="305" t="e">
        <f t="shared" si="30"/>
        <v>#VALUE!</v>
      </c>
      <c r="J136" s="305" t="e">
        <f t="shared" si="30"/>
        <v>#VALUE!</v>
      </c>
      <c r="K136" s="305" t="e">
        <f t="shared" si="30"/>
        <v>#VALUE!</v>
      </c>
      <c r="L136" s="305" t="e">
        <f t="shared" si="30"/>
        <v>#VALUE!</v>
      </c>
      <c r="M136" s="305" t="e">
        <f t="shared" si="30"/>
        <v>#VALUE!</v>
      </c>
      <c r="N136" s="305" t="e">
        <f t="shared" si="30"/>
        <v>#VALUE!</v>
      </c>
      <c r="O136" s="305" t="e">
        <f t="shared" si="30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8"/>
        <v>#VALUE!</v>
      </c>
    </row>
    <row r="137" spans="3:34">
      <c r="C137" s="304">
        <f t="shared" si="29"/>
        <v>17</v>
      </c>
      <c r="D137" s="305"/>
      <c r="E137" s="305" t="e">
        <f t="shared" si="30"/>
        <v>#VALUE!</v>
      </c>
      <c r="F137" s="305" t="e">
        <f t="shared" si="30"/>
        <v>#VALUE!</v>
      </c>
      <c r="G137" s="305" t="e">
        <f t="shared" si="30"/>
        <v>#VALUE!</v>
      </c>
      <c r="H137" s="305" t="e">
        <f t="shared" si="30"/>
        <v>#VALUE!</v>
      </c>
      <c r="I137" s="305" t="e">
        <f t="shared" si="30"/>
        <v>#VALUE!</v>
      </c>
      <c r="J137" s="305" t="e">
        <f t="shared" si="30"/>
        <v>#VALUE!</v>
      </c>
      <c r="K137" s="305" t="e">
        <f t="shared" si="30"/>
        <v>#VALUE!</v>
      </c>
      <c r="L137" s="305" t="e">
        <f t="shared" si="30"/>
        <v>#VALUE!</v>
      </c>
      <c r="M137" s="305" t="e">
        <f t="shared" si="30"/>
        <v>#VALUE!</v>
      </c>
      <c r="N137" s="305" t="e">
        <f t="shared" si="30"/>
        <v>#VALUE!</v>
      </c>
      <c r="O137" s="305" t="e">
        <f t="shared" si="30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8"/>
        <v>#VALUE!</v>
      </c>
    </row>
    <row r="138" spans="3:34">
      <c r="C138" s="304">
        <f t="shared" si="29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0"/>
        <v>#VALUE!</v>
      </c>
      <c r="L138" s="305" t="e">
        <f t="shared" si="30"/>
        <v>#VALUE!</v>
      </c>
      <c r="M138" s="305" t="e">
        <f t="shared" si="30"/>
        <v>#VALUE!</v>
      </c>
      <c r="N138" s="305" t="e">
        <f t="shared" si="30"/>
        <v>#VALUE!</v>
      </c>
      <c r="O138" s="305" t="e">
        <f t="shared" si="30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8"/>
        <v>#VALUE!</v>
      </c>
    </row>
    <row r="139" spans="3:34">
      <c r="C139" s="304">
        <f t="shared" si="29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0"/>
        <v>#VALUE!</v>
      </c>
      <c r="L139" s="305" t="e">
        <f t="shared" si="30"/>
        <v>#VALUE!</v>
      </c>
      <c r="M139" s="305" t="e">
        <f t="shared" si="30"/>
        <v>#VALUE!</v>
      </c>
      <c r="N139" s="305" t="e">
        <f t="shared" si="30"/>
        <v>#VALUE!</v>
      </c>
      <c r="O139" s="305" t="e">
        <f t="shared" si="30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1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8"/>
        <v>#VALUE!</v>
      </c>
    </row>
    <row r="140" spans="3:34">
      <c r="C140" s="304">
        <f t="shared" si="29"/>
        <v>20</v>
      </c>
      <c r="D140" s="305"/>
      <c r="E140" s="305"/>
      <c r="F140" s="305"/>
      <c r="G140" s="305"/>
      <c r="H140" s="305" t="e">
        <f t="shared" ref="H140:R150" si="32">H139</f>
        <v>#VALUE!</v>
      </c>
      <c r="I140" s="305" t="e">
        <f t="shared" si="32"/>
        <v>#VALUE!</v>
      </c>
      <c r="J140" s="305" t="e">
        <f t="shared" si="32"/>
        <v>#VALUE!</v>
      </c>
      <c r="K140" s="305" t="e">
        <f t="shared" si="32"/>
        <v>#VALUE!</v>
      </c>
      <c r="L140" s="305" t="e">
        <f t="shared" si="32"/>
        <v>#VALUE!</v>
      </c>
      <c r="M140" s="305" t="e">
        <f t="shared" si="32"/>
        <v>#VALUE!</v>
      </c>
      <c r="N140" s="305" t="e">
        <f t="shared" si="32"/>
        <v>#VALUE!</v>
      </c>
      <c r="O140" s="305" t="e">
        <f t="shared" si="32"/>
        <v>#VALUE!</v>
      </c>
      <c r="P140" s="305" t="e">
        <f t="shared" si="32"/>
        <v>#VALUE!</v>
      </c>
      <c r="Q140" s="305" t="e">
        <f t="shared" si="32"/>
        <v>#VALUE!</v>
      </c>
      <c r="R140" s="305" t="e">
        <f t="shared" si="32"/>
        <v>#VALUE!</v>
      </c>
      <c r="S140" s="305" t="e">
        <f t="shared" si="31"/>
        <v>#VALUE!</v>
      </c>
      <c r="T140" s="305" t="e">
        <f t="shared" si="31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8"/>
        <v>#VALUE!</v>
      </c>
    </row>
    <row r="141" spans="3:34">
      <c r="C141" s="304">
        <f t="shared" si="29"/>
        <v>21</v>
      </c>
      <c r="D141" s="305"/>
      <c r="E141" s="305"/>
      <c r="F141" s="305"/>
      <c r="G141" s="305"/>
      <c r="H141" s="305"/>
      <c r="I141" s="305" t="e">
        <f t="shared" si="32"/>
        <v>#VALUE!</v>
      </c>
      <c r="J141" s="305" t="e">
        <f t="shared" si="32"/>
        <v>#VALUE!</v>
      </c>
      <c r="K141" s="305" t="e">
        <f t="shared" si="32"/>
        <v>#VALUE!</v>
      </c>
      <c r="L141" s="305" t="e">
        <f t="shared" si="32"/>
        <v>#VALUE!</v>
      </c>
      <c r="M141" s="305" t="e">
        <f t="shared" si="32"/>
        <v>#VALUE!</v>
      </c>
      <c r="N141" s="305" t="e">
        <f t="shared" si="32"/>
        <v>#VALUE!</v>
      </c>
      <c r="O141" s="305" t="e">
        <f t="shared" si="32"/>
        <v>#VALUE!</v>
      </c>
      <c r="P141" s="305" t="e">
        <f t="shared" si="32"/>
        <v>#VALUE!</v>
      </c>
      <c r="Q141" s="305" t="e">
        <f t="shared" si="32"/>
        <v>#VALUE!</v>
      </c>
      <c r="R141" s="305" t="e">
        <f t="shared" si="32"/>
        <v>#VALUE!</v>
      </c>
      <c r="S141" s="305" t="e">
        <f t="shared" si="31"/>
        <v>#VALUE!</v>
      </c>
      <c r="T141" s="305" t="e">
        <f t="shared" si="31"/>
        <v>#VALUE!</v>
      </c>
      <c r="U141" s="305" t="e">
        <f t="shared" si="31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8"/>
        <v>#VALUE!</v>
      </c>
    </row>
    <row r="142" spans="3:34">
      <c r="C142" s="330">
        <f t="shared" si="29"/>
        <v>22</v>
      </c>
      <c r="D142" s="305"/>
      <c r="E142" s="305"/>
      <c r="F142" s="305"/>
      <c r="G142" s="305"/>
      <c r="H142" s="305"/>
      <c r="I142" s="305"/>
      <c r="J142" s="305" t="e">
        <f t="shared" si="32"/>
        <v>#VALUE!</v>
      </c>
      <c r="K142" s="305" t="e">
        <f t="shared" si="32"/>
        <v>#VALUE!</v>
      </c>
      <c r="L142" s="305" t="e">
        <f t="shared" si="32"/>
        <v>#VALUE!</v>
      </c>
      <c r="M142" s="305" t="e">
        <f t="shared" si="32"/>
        <v>#VALUE!</v>
      </c>
      <c r="N142" s="305" t="e">
        <f t="shared" si="32"/>
        <v>#VALUE!</v>
      </c>
      <c r="O142" s="305" t="e">
        <f t="shared" si="32"/>
        <v>#VALUE!</v>
      </c>
      <c r="P142" s="305" t="e">
        <f t="shared" si="32"/>
        <v>#VALUE!</v>
      </c>
      <c r="Q142" s="305" t="e">
        <f t="shared" si="32"/>
        <v>#VALUE!</v>
      </c>
      <c r="R142" s="305" t="e">
        <f t="shared" si="32"/>
        <v>#VALUE!</v>
      </c>
      <c r="S142" s="305" t="e">
        <f t="shared" si="31"/>
        <v>#VALUE!</v>
      </c>
      <c r="T142" s="305" t="e">
        <f t="shared" si="31"/>
        <v>#VALUE!</v>
      </c>
      <c r="U142" s="305" t="e">
        <f t="shared" si="31"/>
        <v>#VALUE!</v>
      </c>
      <c r="V142" s="305" t="e">
        <f t="shared" si="31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8"/>
        <v>#VALUE!</v>
      </c>
    </row>
    <row r="143" spans="3:34">
      <c r="C143" s="330">
        <f t="shared" si="29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2"/>
        <v>#VALUE!</v>
      </c>
      <c r="L143" s="305" t="e">
        <f t="shared" si="32"/>
        <v>#VALUE!</v>
      </c>
      <c r="M143" s="305" t="e">
        <f t="shared" si="32"/>
        <v>#VALUE!</v>
      </c>
      <c r="N143" s="305" t="e">
        <f t="shared" si="32"/>
        <v>#VALUE!</v>
      </c>
      <c r="O143" s="305" t="e">
        <f t="shared" si="32"/>
        <v>#VALUE!</v>
      </c>
      <c r="P143" s="305" t="e">
        <f t="shared" si="32"/>
        <v>#VALUE!</v>
      </c>
      <c r="Q143" s="305" t="e">
        <f t="shared" si="32"/>
        <v>#VALUE!</v>
      </c>
      <c r="R143" s="305" t="e">
        <f t="shared" si="32"/>
        <v>#VALUE!</v>
      </c>
      <c r="S143" s="305" t="e">
        <f t="shared" si="31"/>
        <v>#VALUE!</v>
      </c>
      <c r="T143" s="305" t="e">
        <f t="shared" si="31"/>
        <v>#VALUE!</v>
      </c>
      <c r="U143" s="305" t="e">
        <f t="shared" si="31"/>
        <v>#VALUE!</v>
      </c>
      <c r="V143" s="305" t="e">
        <f t="shared" si="31"/>
        <v>#VALUE!</v>
      </c>
      <c r="W143" s="305" t="e">
        <f t="shared" si="31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8"/>
        <v>#VALUE!</v>
      </c>
    </row>
    <row r="144" spans="3:34">
      <c r="C144" s="330">
        <f t="shared" si="29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2"/>
        <v>#VALUE!</v>
      </c>
      <c r="M144" s="305" t="e">
        <f t="shared" si="32"/>
        <v>#VALUE!</v>
      </c>
      <c r="N144" s="305" t="e">
        <f t="shared" si="32"/>
        <v>#VALUE!</v>
      </c>
      <c r="O144" s="305" t="e">
        <f t="shared" si="32"/>
        <v>#VALUE!</v>
      </c>
      <c r="P144" s="305" t="e">
        <f t="shared" si="32"/>
        <v>#VALUE!</v>
      </c>
      <c r="Q144" s="305" t="e">
        <f t="shared" si="32"/>
        <v>#VALUE!</v>
      </c>
      <c r="R144" s="305" t="e">
        <f t="shared" si="32"/>
        <v>#VALUE!</v>
      </c>
      <c r="S144" s="305" t="e">
        <f t="shared" si="31"/>
        <v>#VALUE!</v>
      </c>
      <c r="T144" s="305" t="e">
        <f t="shared" si="31"/>
        <v>#VALUE!</v>
      </c>
      <c r="U144" s="305" t="e">
        <f t="shared" si="31"/>
        <v>#VALUE!</v>
      </c>
      <c r="V144" s="305" t="e">
        <f t="shared" si="31"/>
        <v>#VALUE!</v>
      </c>
      <c r="W144" s="305" t="e">
        <f t="shared" si="31"/>
        <v>#VALUE!</v>
      </c>
      <c r="X144" s="305" t="e">
        <f t="shared" si="31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8"/>
        <v>#VALUE!</v>
      </c>
    </row>
    <row r="145" spans="1:34">
      <c r="C145" s="330">
        <f t="shared" si="29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2"/>
        <v>#VALUE!</v>
      </c>
      <c r="N145" s="305" t="e">
        <f t="shared" si="32"/>
        <v>#VALUE!</v>
      </c>
      <c r="O145" s="305" t="e">
        <f t="shared" si="32"/>
        <v>#VALUE!</v>
      </c>
      <c r="P145" s="305" t="e">
        <f t="shared" si="32"/>
        <v>#VALUE!</v>
      </c>
      <c r="Q145" s="305" t="e">
        <f t="shared" si="32"/>
        <v>#VALUE!</v>
      </c>
      <c r="R145" s="305" t="e">
        <f t="shared" si="32"/>
        <v>#VALUE!</v>
      </c>
      <c r="S145" s="305" t="e">
        <f t="shared" si="31"/>
        <v>#VALUE!</v>
      </c>
      <c r="T145" s="305" t="e">
        <f t="shared" si="31"/>
        <v>#VALUE!</v>
      </c>
      <c r="U145" s="305" t="e">
        <f t="shared" si="31"/>
        <v>#VALUE!</v>
      </c>
      <c r="V145" s="305" t="e">
        <f t="shared" si="31"/>
        <v>#VALUE!</v>
      </c>
      <c r="W145" s="305" t="e">
        <f t="shared" si="31"/>
        <v>#VALUE!</v>
      </c>
      <c r="X145" s="305" t="e">
        <f t="shared" si="31"/>
        <v>#VALUE!</v>
      </c>
      <c r="Y145" s="305" t="e">
        <f t="shared" si="31"/>
        <v>#VALUE!</v>
      </c>
      <c r="Z145" s="305" t="e">
        <f t="shared" si="31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8"/>
        <v>#VALUE!</v>
      </c>
    </row>
    <row r="146" spans="1:34">
      <c r="C146" s="330">
        <f t="shared" si="29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2"/>
        <v>#VALUE!</v>
      </c>
      <c r="O146" s="305" t="e">
        <f t="shared" si="32"/>
        <v>#VALUE!</v>
      </c>
      <c r="P146" s="305" t="e">
        <f t="shared" si="32"/>
        <v>#VALUE!</v>
      </c>
      <c r="Q146" s="305" t="e">
        <f t="shared" si="32"/>
        <v>#VALUE!</v>
      </c>
      <c r="R146" s="305" t="e">
        <f t="shared" si="32"/>
        <v>#VALUE!</v>
      </c>
      <c r="S146" s="305" t="e">
        <f t="shared" si="31"/>
        <v>#VALUE!</v>
      </c>
      <c r="T146" s="305" t="e">
        <f t="shared" si="31"/>
        <v>#VALUE!</v>
      </c>
      <c r="U146" s="305" t="e">
        <f t="shared" si="31"/>
        <v>#VALUE!</v>
      </c>
      <c r="V146" s="305" t="e">
        <f t="shared" si="31"/>
        <v>#VALUE!</v>
      </c>
      <c r="W146" s="305" t="e">
        <f t="shared" si="31"/>
        <v>#VALUE!</v>
      </c>
      <c r="X146" s="305" t="e">
        <f t="shared" si="31"/>
        <v>#VALUE!</v>
      </c>
      <c r="Y146" s="305" t="e">
        <f t="shared" si="31"/>
        <v>#VALUE!</v>
      </c>
      <c r="Z146" s="305" t="e">
        <f t="shared" si="31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8"/>
        <v>#VALUE!</v>
      </c>
    </row>
    <row r="147" spans="1:34">
      <c r="C147" s="330">
        <f t="shared" si="29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2"/>
        <v>#VALUE!</v>
      </c>
      <c r="P147" s="305" t="e">
        <f t="shared" si="32"/>
        <v>#VALUE!</v>
      </c>
      <c r="Q147" s="305" t="e">
        <f t="shared" si="32"/>
        <v>#VALUE!</v>
      </c>
      <c r="R147" s="305" t="e">
        <f t="shared" si="32"/>
        <v>#VALUE!</v>
      </c>
      <c r="S147" s="305" t="e">
        <f t="shared" si="31"/>
        <v>#VALUE!</v>
      </c>
      <c r="T147" s="305" t="e">
        <f t="shared" si="31"/>
        <v>#VALUE!</v>
      </c>
      <c r="U147" s="305" t="e">
        <f t="shared" si="31"/>
        <v>#VALUE!</v>
      </c>
      <c r="V147" s="305" t="e">
        <f t="shared" si="31"/>
        <v>#VALUE!</v>
      </c>
      <c r="W147" s="305" t="e">
        <f t="shared" si="31"/>
        <v>#VALUE!</v>
      </c>
      <c r="X147" s="305" t="e">
        <f t="shared" si="31"/>
        <v>#VALUE!</v>
      </c>
      <c r="Y147" s="305" t="e">
        <f t="shared" si="31"/>
        <v>#VALUE!</v>
      </c>
      <c r="Z147" s="305" t="e">
        <f t="shared" si="31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8"/>
        <v>#VALUE!</v>
      </c>
    </row>
    <row r="148" spans="1:34">
      <c r="C148" s="330">
        <f t="shared" si="29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2"/>
        <v>#VALUE!</v>
      </c>
      <c r="Q148" s="305" t="e">
        <f t="shared" si="32"/>
        <v>#VALUE!</v>
      </c>
      <c r="R148" s="305" t="e">
        <f t="shared" si="32"/>
        <v>#VALUE!</v>
      </c>
      <c r="S148" s="305" t="e">
        <f t="shared" si="31"/>
        <v>#VALUE!</v>
      </c>
      <c r="T148" s="305" t="e">
        <f t="shared" si="31"/>
        <v>#VALUE!</v>
      </c>
      <c r="U148" s="305" t="e">
        <f t="shared" si="31"/>
        <v>#VALUE!</v>
      </c>
      <c r="V148" s="305" t="e">
        <f t="shared" si="31"/>
        <v>#VALUE!</v>
      </c>
      <c r="W148" s="305" t="e">
        <f t="shared" si="31"/>
        <v>#VALUE!</v>
      </c>
      <c r="X148" s="305" t="e">
        <f t="shared" si="31"/>
        <v>#VALUE!</v>
      </c>
      <c r="Y148" s="305" t="e">
        <f t="shared" si="31"/>
        <v>#VALUE!</v>
      </c>
      <c r="Z148" s="305" t="e">
        <f t="shared" si="31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8"/>
        <v>#VALUE!</v>
      </c>
    </row>
    <row r="149" spans="1:34">
      <c r="C149" s="307">
        <f t="shared" si="29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2"/>
        <v>#VALUE!</v>
      </c>
      <c r="R149" s="305" t="e">
        <f t="shared" si="32"/>
        <v>#VALUE!</v>
      </c>
      <c r="S149" s="305" t="e">
        <f t="shared" si="31"/>
        <v>#VALUE!</v>
      </c>
      <c r="T149" s="305" t="e">
        <f t="shared" si="31"/>
        <v>#VALUE!</v>
      </c>
      <c r="U149" s="305" t="e">
        <f t="shared" si="31"/>
        <v>#VALUE!</v>
      </c>
      <c r="V149" s="305" t="e">
        <f t="shared" si="31"/>
        <v>#VALUE!</v>
      </c>
      <c r="W149" s="305" t="e">
        <f t="shared" si="31"/>
        <v>#VALUE!</v>
      </c>
      <c r="X149" s="305" t="e">
        <f t="shared" si="31"/>
        <v>#VALUE!</v>
      </c>
      <c r="Y149" s="305" t="e">
        <f t="shared" si="31"/>
        <v>#VALUE!</v>
      </c>
      <c r="Z149" s="305" t="e">
        <f t="shared" si="31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8"/>
        <v>#VALUE!</v>
      </c>
    </row>
    <row r="150" spans="1:34" ht="13.5" thickBot="1">
      <c r="C150" s="307">
        <f t="shared" si="29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2"/>
        <v>#VALUE!</v>
      </c>
      <c r="S150" s="305" t="e">
        <f t="shared" si="31"/>
        <v>#VALUE!</v>
      </c>
      <c r="T150" s="305" t="e">
        <f t="shared" si="31"/>
        <v>#VALUE!</v>
      </c>
      <c r="U150" s="305" t="e">
        <f t="shared" si="31"/>
        <v>#VALUE!</v>
      </c>
      <c r="V150" s="305" t="e">
        <f t="shared" si="31"/>
        <v>#VALUE!</v>
      </c>
      <c r="W150" s="305" t="e">
        <f t="shared" si="31"/>
        <v>#VALUE!</v>
      </c>
      <c r="X150" s="305" t="e">
        <f t="shared" si="31"/>
        <v>#VALUE!</v>
      </c>
      <c r="Y150" s="305" t="e">
        <f t="shared" si="31"/>
        <v>#VALUE!</v>
      </c>
      <c r="Z150" s="305" t="e">
        <f t="shared" si="31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8"/>
        <v>#VALUE!</v>
      </c>
    </row>
    <row r="151" spans="1:34" ht="14.25" thickTop="1" thickBot="1">
      <c r="C151" s="311" t="s">
        <v>0</v>
      </c>
      <c r="D151" s="328" t="e">
        <f t="shared" ref="D151:AH151" si="33">SUM(D120:D150)</f>
        <v>#VALUE!</v>
      </c>
      <c r="E151" s="328" t="e">
        <f t="shared" si="33"/>
        <v>#VALUE!</v>
      </c>
      <c r="F151" s="328" t="e">
        <f t="shared" si="33"/>
        <v>#VALUE!</v>
      </c>
      <c r="G151" s="328" t="e">
        <f t="shared" si="33"/>
        <v>#VALUE!</v>
      </c>
      <c r="H151" s="328" t="e">
        <f t="shared" si="33"/>
        <v>#VALUE!</v>
      </c>
      <c r="I151" s="328" t="e">
        <f t="shared" si="33"/>
        <v>#VALUE!</v>
      </c>
      <c r="J151" s="328" t="e">
        <f t="shared" si="33"/>
        <v>#VALUE!</v>
      </c>
      <c r="K151" s="328" t="e">
        <f t="shared" si="33"/>
        <v>#VALUE!</v>
      </c>
      <c r="L151" s="328" t="e">
        <f t="shared" si="33"/>
        <v>#VALUE!</v>
      </c>
      <c r="M151" s="328" t="e">
        <f t="shared" si="33"/>
        <v>#VALUE!</v>
      </c>
      <c r="N151" s="328" t="e">
        <f t="shared" si="33"/>
        <v>#VALUE!</v>
      </c>
      <c r="O151" s="328" t="e">
        <f t="shared" si="33"/>
        <v>#VALUE!</v>
      </c>
      <c r="P151" s="328" t="e">
        <f t="shared" si="33"/>
        <v>#VALUE!</v>
      </c>
      <c r="Q151" s="328" t="e">
        <f t="shared" si="33"/>
        <v>#VALUE!</v>
      </c>
      <c r="R151" s="328" t="e">
        <f t="shared" si="33"/>
        <v>#VALUE!</v>
      </c>
      <c r="S151" s="328" t="e">
        <f t="shared" si="33"/>
        <v>#VALUE!</v>
      </c>
      <c r="T151" s="328" t="e">
        <f t="shared" si="33"/>
        <v>#VALUE!</v>
      </c>
      <c r="U151" s="328" t="e">
        <f t="shared" si="33"/>
        <v>#VALUE!</v>
      </c>
      <c r="V151" s="328" t="e">
        <f t="shared" si="33"/>
        <v>#VALUE!</v>
      </c>
      <c r="W151" s="328" t="e">
        <f t="shared" si="33"/>
        <v>#VALUE!</v>
      </c>
      <c r="X151" s="328" t="e">
        <f t="shared" si="33"/>
        <v>#VALUE!</v>
      </c>
      <c r="Y151" s="328" t="e">
        <f t="shared" si="33"/>
        <v>#VALUE!</v>
      </c>
      <c r="Z151" s="328" t="e">
        <f t="shared" si="33"/>
        <v>#VALUE!</v>
      </c>
      <c r="AA151" s="328" t="e">
        <f t="shared" si="33"/>
        <v>#VALUE!</v>
      </c>
      <c r="AB151" s="328" t="e">
        <f t="shared" si="33"/>
        <v>#VALUE!</v>
      </c>
      <c r="AC151" s="328" t="e">
        <f t="shared" si="33"/>
        <v>#VALUE!</v>
      </c>
      <c r="AD151" s="328" t="e">
        <f t="shared" si="33"/>
        <v>#VALUE!</v>
      </c>
      <c r="AE151" s="328" t="e">
        <f t="shared" si="33"/>
        <v>#VALUE!</v>
      </c>
      <c r="AF151" s="329" t="e">
        <f t="shared" si="33"/>
        <v>#VALUE!</v>
      </c>
      <c r="AG151" s="328">
        <f t="shared" si="33"/>
        <v>0</v>
      </c>
      <c r="AH151" s="315" t="e">
        <f t="shared" si="33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4">D156+1</f>
        <v>2</v>
      </c>
      <c r="F156" s="302">
        <f t="shared" si="34"/>
        <v>3</v>
      </c>
      <c r="G156" s="302">
        <f t="shared" si="34"/>
        <v>4</v>
      </c>
      <c r="H156" s="302">
        <f t="shared" si="34"/>
        <v>5</v>
      </c>
      <c r="I156" s="302">
        <f t="shared" si="34"/>
        <v>6</v>
      </c>
      <c r="J156" s="302">
        <f t="shared" si="34"/>
        <v>7</v>
      </c>
      <c r="K156" s="302">
        <f t="shared" si="34"/>
        <v>8</v>
      </c>
      <c r="L156" s="302">
        <f t="shared" si="34"/>
        <v>9</v>
      </c>
      <c r="M156" s="302">
        <f t="shared" si="34"/>
        <v>10</v>
      </c>
      <c r="N156" s="302">
        <f t="shared" si="34"/>
        <v>11</v>
      </c>
      <c r="O156" s="302">
        <f t="shared" si="34"/>
        <v>12</v>
      </c>
      <c r="P156" s="302">
        <f t="shared" si="34"/>
        <v>13</v>
      </c>
      <c r="Q156" s="302">
        <f t="shared" si="34"/>
        <v>14</v>
      </c>
      <c r="R156" s="302">
        <f t="shared" si="34"/>
        <v>15</v>
      </c>
      <c r="S156" s="302">
        <f t="shared" si="34"/>
        <v>16</v>
      </c>
      <c r="T156" s="302">
        <f t="shared" si="34"/>
        <v>17</v>
      </c>
      <c r="U156" s="302">
        <f t="shared" si="34"/>
        <v>18</v>
      </c>
      <c r="V156" s="302">
        <f t="shared" si="34"/>
        <v>19</v>
      </c>
      <c r="W156" s="302">
        <f t="shared" si="34"/>
        <v>20</v>
      </c>
      <c r="X156" s="302">
        <f t="shared" si="34"/>
        <v>21</v>
      </c>
      <c r="Y156" s="302">
        <f t="shared" si="34"/>
        <v>22</v>
      </c>
      <c r="Z156" s="302">
        <f t="shared" si="34"/>
        <v>23</v>
      </c>
      <c r="AA156" s="302">
        <f t="shared" si="34"/>
        <v>24</v>
      </c>
      <c r="AB156" s="302">
        <f t="shared" si="34"/>
        <v>25</v>
      </c>
      <c r="AC156" s="302">
        <f t="shared" si="34"/>
        <v>26</v>
      </c>
      <c r="AD156" s="302">
        <f t="shared" si="34"/>
        <v>27</v>
      </c>
      <c r="AE156" s="302">
        <f t="shared" si="34"/>
        <v>28</v>
      </c>
      <c r="AF156" s="302">
        <f t="shared" si="34"/>
        <v>29</v>
      </c>
      <c r="AG156" s="302">
        <f t="shared" si="34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5">SUM(D157:AG157)</f>
        <v>0</v>
      </c>
    </row>
    <row r="158" spans="1:34">
      <c r="C158" s="304">
        <f t="shared" ref="C158:C187" si="36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5"/>
        <v>0</v>
      </c>
    </row>
    <row r="159" spans="1:34">
      <c r="C159" s="304">
        <f t="shared" si="36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5"/>
        <v>#VALUE!</v>
      </c>
    </row>
    <row r="160" spans="1:34">
      <c r="C160" s="304">
        <f t="shared" si="36"/>
        <v>3</v>
      </c>
      <c r="D160" s="305" t="e">
        <f t="shared" ref="D160:O175" si="37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5"/>
        <v>#VALUE!</v>
      </c>
    </row>
    <row r="161" spans="3:34">
      <c r="C161" s="304">
        <f t="shared" si="36"/>
        <v>4</v>
      </c>
      <c r="D161" s="305" t="e">
        <f t="shared" si="37"/>
        <v>#VALUE!</v>
      </c>
      <c r="E161" s="305" t="e">
        <f t="shared" si="37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5"/>
        <v>#VALUE!</v>
      </c>
    </row>
    <row r="162" spans="3:34">
      <c r="C162" s="304">
        <f t="shared" si="36"/>
        <v>5</v>
      </c>
      <c r="D162" s="305" t="e">
        <f t="shared" si="37"/>
        <v>#VALUE!</v>
      </c>
      <c r="E162" s="305" t="e">
        <f t="shared" si="37"/>
        <v>#VALUE!</v>
      </c>
      <c r="F162" s="305" t="e">
        <f t="shared" si="37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5"/>
        <v>#VALUE!</v>
      </c>
    </row>
    <row r="163" spans="3:34">
      <c r="C163" s="304">
        <f t="shared" si="36"/>
        <v>6</v>
      </c>
      <c r="D163" s="305" t="e">
        <f t="shared" si="37"/>
        <v>#VALUE!</v>
      </c>
      <c r="E163" s="305" t="e">
        <f t="shared" si="37"/>
        <v>#VALUE!</v>
      </c>
      <c r="F163" s="305" t="e">
        <f t="shared" si="37"/>
        <v>#VALUE!</v>
      </c>
      <c r="G163" s="305" t="e">
        <f t="shared" si="37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5"/>
        <v>#VALUE!</v>
      </c>
    </row>
    <row r="164" spans="3:34">
      <c r="C164" s="304">
        <f t="shared" si="36"/>
        <v>7</v>
      </c>
      <c r="D164" s="305" t="e">
        <f t="shared" si="37"/>
        <v>#VALUE!</v>
      </c>
      <c r="E164" s="305" t="e">
        <f t="shared" si="37"/>
        <v>#VALUE!</v>
      </c>
      <c r="F164" s="305" t="e">
        <f t="shared" si="37"/>
        <v>#VALUE!</v>
      </c>
      <c r="G164" s="305" t="e">
        <f t="shared" si="37"/>
        <v>#VALUE!</v>
      </c>
      <c r="H164" s="305" t="e">
        <f t="shared" si="37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5"/>
        <v>#VALUE!</v>
      </c>
    </row>
    <row r="165" spans="3:34">
      <c r="C165" s="304">
        <f t="shared" si="36"/>
        <v>8</v>
      </c>
      <c r="D165" s="305" t="e">
        <f t="shared" si="37"/>
        <v>#VALUE!</v>
      </c>
      <c r="E165" s="305" t="e">
        <f t="shared" si="37"/>
        <v>#VALUE!</v>
      </c>
      <c r="F165" s="305" t="e">
        <f t="shared" si="37"/>
        <v>#VALUE!</v>
      </c>
      <c r="G165" s="305" t="e">
        <f t="shared" si="37"/>
        <v>#VALUE!</v>
      </c>
      <c r="H165" s="305" t="e">
        <f t="shared" si="37"/>
        <v>#VALUE!</v>
      </c>
      <c r="I165" s="305" t="e">
        <f t="shared" si="37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5"/>
        <v>#VALUE!</v>
      </c>
    </row>
    <row r="166" spans="3:34">
      <c r="C166" s="304">
        <f t="shared" si="36"/>
        <v>9</v>
      </c>
      <c r="D166" s="305" t="e">
        <f t="shared" si="37"/>
        <v>#VALUE!</v>
      </c>
      <c r="E166" s="305" t="e">
        <f t="shared" si="37"/>
        <v>#VALUE!</v>
      </c>
      <c r="F166" s="305" t="e">
        <f t="shared" si="37"/>
        <v>#VALUE!</v>
      </c>
      <c r="G166" s="305" t="e">
        <f t="shared" si="37"/>
        <v>#VALUE!</v>
      </c>
      <c r="H166" s="305" t="e">
        <f t="shared" si="37"/>
        <v>#VALUE!</v>
      </c>
      <c r="I166" s="305" t="e">
        <f t="shared" si="37"/>
        <v>#VALUE!</v>
      </c>
      <c r="J166" s="305" t="e">
        <f t="shared" si="37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5"/>
        <v>#VALUE!</v>
      </c>
    </row>
    <row r="167" spans="3:34">
      <c r="C167" s="304">
        <f t="shared" si="36"/>
        <v>10</v>
      </c>
      <c r="D167" s="305" t="e">
        <f t="shared" si="37"/>
        <v>#VALUE!</v>
      </c>
      <c r="E167" s="305" t="e">
        <f t="shared" si="37"/>
        <v>#VALUE!</v>
      </c>
      <c r="F167" s="305" t="e">
        <f t="shared" si="37"/>
        <v>#VALUE!</v>
      </c>
      <c r="G167" s="305" t="e">
        <f t="shared" si="37"/>
        <v>#VALUE!</v>
      </c>
      <c r="H167" s="305" t="e">
        <f t="shared" si="37"/>
        <v>#VALUE!</v>
      </c>
      <c r="I167" s="305" t="e">
        <f t="shared" si="37"/>
        <v>#VALUE!</v>
      </c>
      <c r="J167" s="305" t="e">
        <f t="shared" si="37"/>
        <v>#VALUE!</v>
      </c>
      <c r="K167" s="305" t="e">
        <f t="shared" si="37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5"/>
        <v>#VALUE!</v>
      </c>
    </row>
    <row r="168" spans="3:34">
      <c r="C168" s="304">
        <f t="shared" si="36"/>
        <v>11</v>
      </c>
      <c r="D168" s="305" t="e">
        <f t="shared" si="37"/>
        <v>#VALUE!</v>
      </c>
      <c r="E168" s="305" t="e">
        <f t="shared" si="37"/>
        <v>#VALUE!</v>
      </c>
      <c r="F168" s="305" t="e">
        <f t="shared" si="37"/>
        <v>#VALUE!</v>
      </c>
      <c r="G168" s="305" t="e">
        <f t="shared" si="37"/>
        <v>#VALUE!</v>
      </c>
      <c r="H168" s="305" t="e">
        <f t="shared" si="37"/>
        <v>#VALUE!</v>
      </c>
      <c r="I168" s="305" t="e">
        <f t="shared" si="37"/>
        <v>#VALUE!</v>
      </c>
      <c r="J168" s="305" t="e">
        <f t="shared" si="37"/>
        <v>#VALUE!</v>
      </c>
      <c r="K168" s="305" t="e">
        <f t="shared" si="37"/>
        <v>#VALUE!</v>
      </c>
      <c r="L168" s="305" t="e">
        <f t="shared" si="37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5"/>
        <v>#VALUE!</v>
      </c>
    </row>
    <row r="169" spans="3:34">
      <c r="C169" s="304">
        <f t="shared" si="36"/>
        <v>12</v>
      </c>
      <c r="D169" s="305" t="e">
        <f t="shared" si="37"/>
        <v>#VALUE!</v>
      </c>
      <c r="E169" s="305" t="e">
        <f t="shared" si="37"/>
        <v>#VALUE!</v>
      </c>
      <c r="F169" s="305" t="e">
        <f t="shared" si="37"/>
        <v>#VALUE!</v>
      </c>
      <c r="G169" s="305" t="e">
        <f t="shared" si="37"/>
        <v>#VALUE!</v>
      </c>
      <c r="H169" s="305" t="e">
        <f t="shared" si="37"/>
        <v>#VALUE!</v>
      </c>
      <c r="I169" s="305" t="e">
        <f t="shared" si="37"/>
        <v>#VALUE!</v>
      </c>
      <c r="J169" s="305" t="e">
        <f t="shared" si="37"/>
        <v>#VALUE!</v>
      </c>
      <c r="K169" s="305" t="e">
        <f t="shared" si="37"/>
        <v>#VALUE!</v>
      </c>
      <c r="L169" s="305" t="e">
        <f t="shared" si="37"/>
        <v>#VALUE!</v>
      </c>
      <c r="M169" s="305" t="e">
        <f t="shared" si="37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5"/>
        <v>#VALUE!</v>
      </c>
    </row>
    <row r="170" spans="3:34">
      <c r="C170" s="304">
        <f t="shared" si="36"/>
        <v>13</v>
      </c>
      <c r="D170" s="305" t="e">
        <f t="shared" si="37"/>
        <v>#VALUE!</v>
      </c>
      <c r="E170" s="305" t="e">
        <f t="shared" si="37"/>
        <v>#VALUE!</v>
      </c>
      <c r="F170" s="305" t="e">
        <f t="shared" si="37"/>
        <v>#VALUE!</v>
      </c>
      <c r="G170" s="305" t="e">
        <f t="shared" si="37"/>
        <v>#VALUE!</v>
      </c>
      <c r="H170" s="305" t="e">
        <f t="shared" si="37"/>
        <v>#VALUE!</v>
      </c>
      <c r="I170" s="305" t="e">
        <f t="shared" si="37"/>
        <v>#VALUE!</v>
      </c>
      <c r="J170" s="305" t="e">
        <f t="shared" si="37"/>
        <v>#VALUE!</v>
      </c>
      <c r="K170" s="305" t="e">
        <f t="shared" si="37"/>
        <v>#VALUE!</v>
      </c>
      <c r="L170" s="305" t="e">
        <f t="shared" si="37"/>
        <v>#VALUE!</v>
      </c>
      <c r="M170" s="305" t="e">
        <f t="shared" si="37"/>
        <v>#VALUE!</v>
      </c>
      <c r="N170" s="305" t="e">
        <f t="shared" si="37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5"/>
        <v>#VALUE!</v>
      </c>
    </row>
    <row r="171" spans="3:34">
      <c r="C171" s="304">
        <f t="shared" si="36"/>
        <v>14</v>
      </c>
      <c r="D171" s="305"/>
      <c r="E171" s="305" t="e">
        <f t="shared" si="37"/>
        <v>#VALUE!</v>
      </c>
      <c r="F171" s="305" t="e">
        <f t="shared" si="37"/>
        <v>#VALUE!</v>
      </c>
      <c r="G171" s="305" t="e">
        <f t="shared" si="37"/>
        <v>#VALUE!</v>
      </c>
      <c r="H171" s="305" t="e">
        <f t="shared" si="37"/>
        <v>#VALUE!</v>
      </c>
      <c r="I171" s="305" t="e">
        <f t="shared" si="37"/>
        <v>#VALUE!</v>
      </c>
      <c r="J171" s="305" t="e">
        <f t="shared" si="37"/>
        <v>#VALUE!</v>
      </c>
      <c r="K171" s="305" t="e">
        <f t="shared" si="37"/>
        <v>#VALUE!</v>
      </c>
      <c r="L171" s="305" t="e">
        <f t="shared" si="37"/>
        <v>#VALUE!</v>
      </c>
      <c r="M171" s="305" t="e">
        <f t="shared" si="37"/>
        <v>#VALUE!</v>
      </c>
      <c r="N171" s="305" t="e">
        <f t="shared" si="37"/>
        <v>#VALUE!</v>
      </c>
      <c r="O171" s="305" t="e">
        <f t="shared" si="37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5"/>
        <v>#VALUE!</v>
      </c>
    </row>
    <row r="172" spans="3:34">
      <c r="C172" s="304">
        <f t="shared" si="36"/>
        <v>15</v>
      </c>
      <c r="D172" s="305"/>
      <c r="E172" s="305"/>
      <c r="F172" s="305" t="e">
        <f t="shared" si="37"/>
        <v>#VALUE!</v>
      </c>
      <c r="G172" s="305" t="e">
        <f t="shared" si="37"/>
        <v>#VALUE!</v>
      </c>
      <c r="H172" s="305" t="e">
        <f t="shared" si="37"/>
        <v>#VALUE!</v>
      </c>
      <c r="I172" s="305" t="e">
        <f t="shared" si="37"/>
        <v>#VALUE!</v>
      </c>
      <c r="J172" s="305" t="e">
        <f t="shared" si="37"/>
        <v>#VALUE!</v>
      </c>
      <c r="K172" s="305" t="e">
        <f t="shared" si="37"/>
        <v>#VALUE!</v>
      </c>
      <c r="L172" s="305" t="e">
        <f t="shared" si="37"/>
        <v>#VALUE!</v>
      </c>
      <c r="M172" s="305" t="e">
        <f t="shared" si="37"/>
        <v>#VALUE!</v>
      </c>
      <c r="N172" s="305" t="e">
        <f t="shared" si="37"/>
        <v>#VALUE!</v>
      </c>
      <c r="O172" s="305" t="e">
        <f t="shared" si="37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5"/>
        <v>#VALUE!</v>
      </c>
    </row>
    <row r="173" spans="3:34">
      <c r="C173" s="304">
        <f t="shared" si="36"/>
        <v>16</v>
      </c>
      <c r="D173" s="305"/>
      <c r="E173" s="305"/>
      <c r="F173" s="305"/>
      <c r="G173" s="305" t="e">
        <f t="shared" si="37"/>
        <v>#VALUE!</v>
      </c>
      <c r="H173" s="305" t="e">
        <f t="shared" si="37"/>
        <v>#VALUE!</v>
      </c>
      <c r="I173" s="305" t="e">
        <f t="shared" si="37"/>
        <v>#VALUE!</v>
      </c>
      <c r="J173" s="305" t="e">
        <f t="shared" si="37"/>
        <v>#VALUE!</v>
      </c>
      <c r="K173" s="305" t="e">
        <f t="shared" si="37"/>
        <v>#VALUE!</v>
      </c>
      <c r="L173" s="305" t="e">
        <f t="shared" si="37"/>
        <v>#VALUE!</v>
      </c>
      <c r="M173" s="305" t="e">
        <f t="shared" si="37"/>
        <v>#VALUE!</v>
      </c>
      <c r="N173" s="305" t="e">
        <f t="shared" si="37"/>
        <v>#VALUE!</v>
      </c>
      <c r="O173" s="305" t="e">
        <f t="shared" si="37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5"/>
        <v>#VALUE!</v>
      </c>
    </row>
    <row r="174" spans="3:34">
      <c r="C174" s="304">
        <f t="shared" si="36"/>
        <v>17</v>
      </c>
      <c r="D174" s="305"/>
      <c r="E174" s="305"/>
      <c r="F174" s="305"/>
      <c r="G174" s="305"/>
      <c r="H174" s="305" t="e">
        <f t="shared" si="37"/>
        <v>#VALUE!</v>
      </c>
      <c r="I174" s="305" t="e">
        <f t="shared" si="37"/>
        <v>#VALUE!</v>
      </c>
      <c r="J174" s="305" t="e">
        <f t="shared" si="37"/>
        <v>#VALUE!</v>
      </c>
      <c r="K174" s="305" t="e">
        <f t="shared" si="37"/>
        <v>#VALUE!</v>
      </c>
      <c r="L174" s="305" t="e">
        <f t="shared" si="37"/>
        <v>#VALUE!</v>
      </c>
      <c r="M174" s="305" t="e">
        <f t="shared" si="37"/>
        <v>#VALUE!</v>
      </c>
      <c r="N174" s="305" t="e">
        <f t="shared" si="37"/>
        <v>#VALUE!</v>
      </c>
      <c r="O174" s="305" t="e">
        <f t="shared" si="37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5"/>
        <v>#VALUE!</v>
      </c>
    </row>
    <row r="175" spans="3:34">
      <c r="C175" s="304">
        <f t="shared" si="36"/>
        <v>18</v>
      </c>
      <c r="D175" s="305"/>
      <c r="E175" s="305"/>
      <c r="F175" s="305"/>
      <c r="G175" s="305"/>
      <c r="H175" s="305"/>
      <c r="I175" s="305" t="e">
        <f t="shared" si="37"/>
        <v>#VALUE!</v>
      </c>
      <c r="J175" s="305" t="e">
        <f t="shared" si="37"/>
        <v>#VALUE!</v>
      </c>
      <c r="K175" s="305" t="e">
        <f t="shared" si="37"/>
        <v>#VALUE!</v>
      </c>
      <c r="L175" s="305" t="e">
        <f t="shared" si="37"/>
        <v>#VALUE!</v>
      </c>
      <c r="M175" s="305" t="e">
        <f t="shared" si="37"/>
        <v>#VALUE!</v>
      </c>
      <c r="N175" s="305" t="e">
        <f t="shared" si="37"/>
        <v>#VALUE!</v>
      </c>
      <c r="O175" s="305" t="e">
        <f t="shared" si="37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5"/>
        <v>#VALUE!</v>
      </c>
    </row>
    <row r="176" spans="3:34">
      <c r="C176" s="304">
        <f t="shared" si="36"/>
        <v>19</v>
      </c>
      <c r="D176" s="305"/>
      <c r="E176" s="305"/>
      <c r="F176" s="305"/>
      <c r="G176" s="305"/>
      <c r="H176" s="305"/>
      <c r="I176" s="305"/>
      <c r="J176" s="305" t="e">
        <f t="shared" ref="J176:Y187" si="38">J175</f>
        <v>#VALUE!</v>
      </c>
      <c r="K176" s="305" t="e">
        <f t="shared" si="38"/>
        <v>#VALUE!</v>
      </c>
      <c r="L176" s="305" t="e">
        <f t="shared" si="38"/>
        <v>#VALUE!</v>
      </c>
      <c r="M176" s="305" t="e">
        <f t="shared" si="38"/>
        <v>#VALUE!</v>
      </c>
      <c r="N176" s="305" t="e">
        <f t="shared" si="38"/>
        <v>#VALUE!</v>
      </c>
      <c r="O176" s="305" t="e">
        <f t="shared" si="38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5"/>
        <v>#VALUE!</v>
      </c>
    </row>
    <row r="177" spans="1:34">
      <c r="C177" s="304">
        <f t="shared" si="36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8"/>
        <v>#VALUE!</v>
      </c>
      <c r="L177" s="305" t="e">
        <f t="shared" si="38"/>
        <v>#VALUE!</v>
      </c>
      <c r="M177" s="305" t="e">
        <f t="shared" si="38"/>
        <v>#VALUE!</v>
      </c>
      <c r="N177" s="305" t="e">
        <f t="shared" si="38"/>
        <v>#VALUE!</v>
      </c>
      <c r="O177" s="305" t="e">
        <f t="shared" si="38"/>
        <v>#VALUE!</v>
      </c>
      <c r="P177" s="305" t="e">
        <f t="shared" si="38"/>
        <v>#VALUE!</v>
      </c>
      <c r="Q177" s="305" t="e">
        <f t="shared" si="38"/>
        <v>#VALUE!</v>
      </c>
      <c r="R177" s="305" t="e">
        <f t="shared" si="38"/>
        <v>#VALUE!</v>
      </c>
      <c r="S177" s="305" t="e">
        <f t="shared" si="38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5"/>
        <v>#VALUE!</v>
      </c>
    </row>
    <row r="178" spans="1:34">
      <c r="C178" s="304">
        <f t="shared" si="36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8"/>
        <v>#VALUE!</v>
      </c>
      <c r="M178" s="305" t="e">
        <f t="shared" si="38"/>
        <v>#VALUE!</v>
      </c>
      <c r="N178" s="305" t="e">
        <f t="shared" si="38"/>
        <v>#VALUE!</v>
      </c>
      <c r="O178" s="305" t="e">
        <f t="shared" si="38"/>
        <v>#VALUE!</v>
      </c>
      <c r="P178" s="305" t="e">
        <f t="shared" si="38"/>
        <v>#VALUE!</v>
      </c>
      <c r="Q178" s="305" t="e">
        <f t="shared" si="38"/>
        <v>#VALUE!</v>
      </c>
      <c r="R178" s="305" t="e">
        <f t="shared" si="38"/>
        <v>#VALUE!</v>
      </c>
      <c r="S178" s="305" t="e">
        <f t="shared" si="38"/>
        <v>#VALUE!</v>
      </c>
      <c r="T178" s="305" t="e">
        <f t="shared" si="38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5"/>
        <v>#VALUE!</v>
      </c>
    </row>
    <row r="179" spans="1:34">
      <c r="C179" s="330">
        <f t="shared" si="36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8"/>
        <v>#VALUE!</v>
      </c>
      <c r="N179" s="305" t="e">
        <f t="shared" si="38"/>
        <v>#VALUE!</v>
      </c>
      <c r="O179" s="305" t="e">
        <f t="shared" si="38"/>
        <v>#VALUE!</v>
      </c>
      <c r="P179" s="305" t="e">
        <f t="shared" si="38"/>
        <v>#VALUE!</v>
      </c>
      <c r="Q179" s="305" t="e">
        <f t="shared" si="38"/>
        <v>#VALUE!</v>
      </c>
      <c r="R179" s="305" t="e">
        <f t="shared" si="38"/>
        <v>#VALUE!</v>
      </c>
      <c r="S179" s="305" t="e">
        <f t="shared" si="38"/>
        <v>#VALUE!</v>
      </c>
      <c r="T179" s="305" t="e">
        <f t="shared" si="38"/>
        <v>#VALUE!</v>
      </c>
      <c r="U179" s="305" t="e">
        <f t="shared" si="38"/>
        <v>#VALUE!</v>
      </c>
      <c r="V179" s="305" t="e">
        <f t="shared" si="38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5"/>
        <v>#VALUE!</v>
      </c>
    </row>
    <row r="180" spans="1:34">
      <c r="C180" s="330">
        <f t="shared" si="36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8"/>
        <v>#VALUE!</v>
      </c>
      <c r="O180" s="305" t="e">
        <f t="shared" si="38"/>
        <v>#VALUE!</v>
      </c>
      <c r="P180" s="305" t="e">
        <f t="shared" si="38"/>
        <v>#VALUE!</v>
      </c>
      <c r="Q180" s="305" t="e">
        <f t="shared" si="38"/>
        <v>#VALUE!</v>
      </c>
      <c r="R180" s="305" t="e">
        <f t="shared" si="38"/>
        <v>#VALUE!</v>
      </c>
      <c r="S180" s="305" t="e">
        <f t="shared" si="38"/>
        <v>#VALUE!</v>
      </c>
      <c r="T180" s="305" t="e">
        <f t="shared" si="38"/>
        <v>#VALUE!</v>
      </c>
      <c r="U180" s="305" t="e">
        <f t="shared" si="38"/>
        <v>#VALUE!</v>
      </c>
      <c r="V180" s="305" t="e">
        <f t="shared" si="38"/>
        <v>#VALUE!</v>
      </c>
      <c r="W180" s="305" t="e">
        <f t="shared" si="38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5"/>
        <v>#VALUE!</v>
      </c>
    </row>
    <row r="181" spans="1:34">
      <c r="C181" s="330">
        <f t="shared" si="36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8"/>
        <v>#VALUE!</v>
      </c>
      <c r="P181" s="305" t="e">
        <f t="shared" si="38"/>
        <v>#VALUE!</v>
      </c>
      <c r="Q181" s="305" t="e">
        <f t="shared" si="38"/>
        <v>#VALUE!</v>
      </c>
      <c r="R181" s="305" t="e">
        <f t="shared" si="38"/>
        <v>#VALUE!</v>
      </c>
      <c r="S181" s="305" t="e">
        <f t="shared" si="38"/>
        <v>#VALUE!</v>
      </c>
      <c r="T181" s="305" t="e">
        <f t="shared" si="38"/>
        <v>#VALUE!</v>
      </c>
      <c r="U181" s="305" t="e">
        <f t="shared" si="38"/>
        <v>#VALUE!</v>
      </c>
      <c r="V181" s="305" t="e">
        <f t="shared" si="38"/>
        <v>#VALUE!</v>
      </c>
      <c r="W181" s="305" t="e">
        <f t="shared" si="38"/>
        <v>#VALUE!</v>
      </c>
      <c r="X181" s="305" t="e">
        <f t="shared" si="38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5"/>
        <v>#VALUE!</v>
      </c>
    </row>
    <row r="182" spans="1:34">
      <c r="C182" s="330">
        <f t="shared" si="36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8"/>
        <v>#VALUE!</v>
      </c>
      <c r="Q182" s="305" t="e">
        <f t="shared" si="38"/>
        <v>#VALUE!</v>
      </c>
      <c r="R182" s="305" t="e">
        <f t="shared" si="38"/>
        <v>#VALUE!</v>
      </c>
      <c r="S182" s="305" t="e">
        <f t="shared" si="38"/>
        <v>#VALUE!</v>
      </c>
      <c r="T182" s="305" t="e">
        <f t="shared" si="38"/>
        <v>#VALUE!</v>
      </c>
      <c r="U182" s="305" t="e">
        <f t="shared" si="38"/>
        <v>#VALUE!</v>
      </c>
      <c r="V182" s="305" t="e">
        <f t="shared" si="38"/>
        <v>#VALUE!</v>
      </c>
      <c r="W182" s="305" t="e">
        <f t="shared" si="38"/>
        <v>#VALUE!</v>
      </c>
      <c r="X182" s="305" t="e">
        <f t="shared" si="38"/>
        <v>#VALUE!</v>
      </c>
      <c r="Y182" s="305" t="e">
        <f t="shared" si="38"/>
        <v>#VALUE!</v>
      </c>
      <c r="Z182" s="305" t="e">
        <f t="shared" ref="Z182:Z187" si="39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5"/>
        <v>#VALUE!</v>
      </c>
    </row>
    <row r="183" spans="1:34">
      <c r="C183" s="330">
        <f t="shared" si="36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8"/>
        <v>#VALUE!</v>
      </c>
      <c r="R183" s="305" t="e">
        <f t="shared" si="38"/>
        <v>#VALUE!</v>
      </c>
      <c r="S183" s="305" t="e">
        <f t="shared" si="38"/>
        <v>#VALUE!</v>
      </c>
      <c r="T183" s="305" t="e">
        <f t="shared" si="38"/>
        <v>#VALUE!</v>
      </c>
      <c r="U183" s="305" t="e">
        <f t="shared" si="38"/>
        <v>#VALUE!</v>
      </c>
      <c r="V183" s="305" t="e">
        <f t="shared" si="38"/>
        <v>#VALUE!</v>
      </c>
      <c r="W183" s="305" t="e">
        <f t="shared" si="38"/>
        <v>#VALUE!</v>
      </c>
      <c r="X183" s="305" t="e">
        <f t="shared" si="38"/>
        <v>#VALUE!</v>
      </c>
      <c r="Y183" s="305" t="e">
        <f t="shared" si="38"/>
        <v>#VALUE!</v>
      </c>
      <c r="Z183" s="305" t="e">
        <f t="shared" si="39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5"/>
        <v>#VALUE!</v>
      </c>
    </row>
    <row r="184" spans="1:34">
      <c r="C184" s="330">
        <f t="shared" si="36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8"/>
        <v>#VALUE!</v>
      </c>
      <c r="S184" s="305" t="e">
        <f t="shared" si="38"/>
        <v>#VALUE!</v>
      </c>
      <c r="T184" s="305" t="e">
        <f t="shared" si="38"/>
        <v>#VALUE!</v>
      </c>
      <c r="U184" s="305" t="e">
        <f t="shared" si="38"/>
        <v>#VALUE!</v>
      </c>
      <c r="V184" s="305" t="e">
        <f t="shared" si="38"/>
        <v>#VALUE!</v>
      </c>
      <c r="W184" s="305" t="e">
        <f t="shared" si="38"/>
        <v>#VALUE!</v>
      </c>
      <c r="X184" s="305" t="e">
        <f t="shared" si="38"/>
        <v>#VALUE!</v>
      </c>
      <c r="Y184" s="305" t="e">
        <f t="shared" si="38"/>
        <v>#VALUE!</v>
      </c>
      <c r="Z184" s="305" t="e">
        <f t="shared" si="39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5"/>
        <v>#VALUE!</v>
      </c>
    </row>
    <row r="185" spans="1:34">
      <c r="C185" s="330">
        <f t="shared" si="36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8"/>
        <v>#VALUE!</v>
      </c>
      <c r="T185" s="305" t="e">
        <f t="shared" si="38"/>
        <v>#VALUE!</v>
      </c>
      <c r="U185" s="305" t="e">
        <f t="shared" si="38"/>
        <v>#VALUE!</v>
      </c>
      <c r="V185" s="305" t="e">
        <f t="shared" si="38"/>
        <v>#VALUE!</v>
      </c>
      <c r="W185" s="305" t="e">
        <f t="shared" si="38"/>
        <v>#VALUE!</v>
      </c>
      <c r="X185" s="305" t="e">
        <f t="shared" si="38"/>
        <v>#VALUE!</v>
      </c>
      <c r="Y185" s="305" t="e">
        <f t="shared" si="38"/>
        <v>#VALUE!</v>
      </c>
      <c r="Z185" s="305" t="e">
        <f t="shared" si="39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5"/>
        <v>#VALUE!</v>
      </c>
    </row>
    <row r="186" spans="1:34">
      <c r="C186" s="330">
        <f t="shared" si="36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8"/>
        <v>#VALUE!</v>
      </c>
      <c r="U186" s="305" t="e">
        <f t="shared" si="38"/>
        <v>#VALUE!</v>
      </c>
      <c r="V186" s="305" t="e">
        <f t="shared" si="38"/>
        <v>#VALUE!</v>
      </c>
      <c r="W186" s="305" t="e">
        <f t="shared" si="38"/>
        <v>#VALUE!</v>
      </c>
      <c r="X186" s="305" t="e">
        <f t="shared" si="38"/>
        <v>#VALUE!</v>
      </c>
      <c r="Y186" s="305" t="e">
        <f t="shared" si="38"/>
        <v>#VALUE!</v>
      </c>
      <c r="Z186" s="305" t="e">
        <f t="shared" si="39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5"/>
        <v>#VALUE!</v>
      </c>
    </row>
    <row r="187" spans="1:34" ht="13.5" thickBot="1">
      <c r="C187" s="307">
        <f t="shared" si="36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8"/>
        <v>#VALUE!</v>
      </c>
      <c r="V187" s="305" t="e">
        <f t="shared" si="38"/>
        <v>#VALUE!</v>
      </c>
      <c r="W187" s="305" t="e">
        <f t="shared" si="38"/>
        <v>#VALUE!</v>
      </c>
      <c r="X187" s="305" t="e">
        <f t="shared" si="38"/>
        <v>#VALUE!</v>
      </c>
      <c r="Y187" s="305" t="e">
        <f t="shared" si="38"/>
        <v>#VALUE!</v>
      </c>
      <c r="Z187" s="305" t="e">
        <f t="shared" si="39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5"/>
        <v>#VALUE!</v>
      </c>
    </row>
    <row r="188" spans="1:34" ht="14.25" thickTop="1" thickBot="1">
      <c r="C188" s="311" t="s">
        <v>0</v>
      </c>
      <c r="D188" s="328" t="e">
        <f t="shared" ref="D188:AH188" si="40">SUM(D157:D187)</f>
        <v>#VALUE!</v>
      </c>
      <c r="E188" s="328" t="e">
        <f t="shared" si="40"/>
        <v>#VALUE!</v>
      </c>
      <c r="F188" s="328" t="e">
        <f t="shared" si="40"/>
        <v>#VALUE!</v>
      </c>
      <c r="G188" s="328" t="e">
        <f t="shared" si="40"/>
        <v>#VALUE!</v>
      </c>
      <c r="H188" s="328" t="e">
        <f t="shared" si="40"/>
        <v>#VALUE!</v>
      </c>
      <c r="I188" s="328" t="e">
        <f t="shared" si="40"/>
        <v>#VALUE!</v>
      </c>
      <c r="J188" s="328" t="e">
        <f t="shared" si="40"/>
        <v>#VALUE!</v>
      </c>
      <c r="K188" s="328" t="e">
        <f t="shared" si="40"/>
        <v>#VALUE!</v>
      </c>
      <c r="L188" s="328" t="e">
        <f t="shared" si="40"/>
        <v>#VALUE!</v>
      </c>
      <c r="M188" s="328" t="e">
        <f t="shared" si="40"/>
        <v>#VALUE!</v>
      </c>
      <c r="N188" s="328" t="e">
        <f t="shared" si="40"/>
        <v>#VALUE!</v>
      </c>
      <c r="O188" s="328" t="e">
        <f t="shared" si="40"/>
        <v>#VALUE!</v>
      </c>
      <c r="P188" s="328" t="e">
        <f t="shared" si="40"/>
        <v>#VALUE!</v>
      </c>
      <c r="Q188" s="328" t="e">
        <f t="shared" si="40"/>
        <v>#VALUE!</v>
      </c>
      <c r="R188" s="328" t="e">
        <f t="shared" si="40"/>
        <v>#VALUE!</v>
      </c>
      <c r="S188" s="328" t="e">
        <f t="shared" si="40"/>
        <v>#VALUE!</v>
      </c>
      <c r="T188" s="328" t="e">
        <f t="shared" si="40"/>
        <v>#VALUE!</v>
      </c>
      <c r="U188" s="328" t="e">
        <f t="shared" si="40"/>
        <v>#VALUE!</v>
      </c>
      <c r="V188" s="328" t="e">
        <f t="shared" si="40"/>
        <v>#VALUE!</v>
      </c>
      <c r="W188" s="328" t="e">
        <f t="shared" si="40"/>
        <v>#VALUE!</v>
      </c>
      <c r="X188" s="328" t="e">
        <f t="shared" si="40"/>
        <v>#VALUE!</v>
      </c>
      <c r="Y188" s="328" t="e">
        <f t="shared" si="40"/>
        <v>#VALUE!</v>
      </c>
      <c r="Z188" s="328" t="e">
        <f t="shared" si="40"/>
        <v>#VALUE!</v>
      </c>
      <c r="AA188" s="328" t="e">
        <f t="shared" si="40"/>
        <v>#VALUE!</v>
      </c>
      <c r="AB188" s="328" t="e">
        <f t="shared" si="40"/>
        <v>#VALUE!</v>
      </c>
      <c r="AC188" s="328" t="e">
        <f t="shared" si="40"/>
        <v>#VALUE!</v>
      </c>
      <c r="AD188" s="328" t="e">
        <f t="shared" si="40"/>
        <v>#VALUE!</v>
      </c>
      <c r="AE188" s="328" t="e">
        <f t="shared" si="40"/>
        <v>#VALUE!</v>
      </c>
      <c r="AF188" s="329" t="e">
        <f t="shared" si="40"/>
        <v>#VALUE!</v>
      </c>
      <c r="AG188" s="329" t="e">
        <f t="shared" si="40"/>
        <v>#VALUE!</v>
      </c>
      <c r="AH188" s="315" t="e">
        <f t="shared" si="40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1">D193+1</f>
        <v>2</v>
      </c>
      <c r="F193" s="302">
        <f t="shared" si="41"/>
        <v>3</v>
      </c>
      <c r="G193" s="302">
        <f t="shared" si="41"/>
        <v>4</v>
      </c>
      <c r="H193" s="302">
        <f t="shared" si="41"/>
        <v>5</v>
      </c>
      <c r="I193" s="302">
        <f t="shared" si="41"/>
        <v>6</v>
      </c>
      <c r="J193" s="302">
        <f t="shared" si="41"/>
        <v>7</v>
      </c>
      <c r="K193" s="302">
        <f t="shared" si="41"/>
        <v>8</v>
      </c>
      <c r="L193" s="302">
        <f t="shared" si="41"/>
        <v>9</v>
      </c>
      <c r="M193" s="302">
        <f t="shared" si="41"/>
        <v>10</v>
      </c>
      <c r="N193" s="302">
        <f t="shared" si="41"/>
        <v>11</v>
      </c>
      <c r="O193" s="302">
        <f t="shared" si="41"/>
        <v>12</v>
      </c>
      <c r="P193" s="302">
        <f t="shared" si="41"/>
        <v>13</v>
      </c>
      <c r="Q193" s="302">
        <f t="shared" si="41"/>
        <v>14</v>
      </c>
      <c r="R193" s="302">
        <f t="shared" si="41"/>
        <v>15</v>
      </c>
      <c r="S193" s="302">
        <f t="shared" si="41"/>
        <v>16</v>
      </c>
      <c r="T193" s="302">
        <f t="shared" si="41"/>
        <v>17</v>
      </c>
      <c r="U193" s="302">
        <f t="shared" si="41"/>
        <v>18</v>
      </c>
      <c r="V193" s="302">
        <f t="shared" si="41"/>
        <v>19</v>
      </c>
      <c r="W193" s="302">
        <f t="shared" si="41"/>
        <v>20</v>
      </c>
      <c r="X193" s="302">
        <f t="shared" si="41"/>
        <v>21</v>
      </c>
      <c r="Y193" s="302">
        <f t="shared" si="41"/>
        <v>22</v>
      </c>
      <c r="Z193" s="302">
        <f t="shared" si="41"/>
        <v>23</v>
      </c>
      <c r="AA193" s="302">
        <f t="shared" si="41"/>
        <v>24</v>
      </c>
      <c r="AB193" s="302">
        <f t="shared" si="41"/>
        <v>25</v>
      </c>
      <c r="AC193" s="302">
        <f t="shared" si="41"/>
        <v>26</v>
      </c>
      <c r="AD193" s="302">
        <f t="shared" si="41"/>
        <v>27</v>
      </c>
      <c r="AE193" s="302">
        <f t="shared" si="41"/>
        <v>28</v>
      </c>
      <c r="AF193" s="302">
        <f t="shared" si="41"/>
        <v>29</v>
      </c>
      <c r="AG193" s="302">
        <f t="shared" si="41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2">SUM(D194:AG194)</f>
        <v>0</v>
      </c>
    </row>
    <row r="195" spans="3:34">
      <c r="C195" s="307">
        <f t="shared" ref="C195:C224" si="43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2"/>
        <v>0</v>
      </c>
    </row>
    <row r="196" spans="3:34">
      <c r="C196" s="307">
        <f t="shared" si="43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2"/>
        <v>#VALUE!</v>
      </c>
    </row>
    <row r="197" spans="3:34">
      <c r="C197" s="307">
        <f t="shared" si="43"/>
        <v>3</v>
      </c>
      <c r="D197" s="309" t="e">
        <f t="shared" ref="D197:N212" si="44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2"/>
        <v>#VALUE!</v>
      </c>
    </row>
    <row r="198" spans="3:34">
      <c r="C198" s="307">
        <f t="shared" si="43"/>
        <v>4</v>
      </c>
      <c r="D198" s="309" t="e">
        <f t="shared" si="44"/>
        <v>#VALUE!</v>
      </c>
      <c r="E198" s="309" t="e">
        <f t="shared" si="44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2"/>
        <v>#VALUE!</v>
      </c>
    </row>
    <row r="199" spans="3:34">
      <c r="C199" s="307">
        <f t="shared" si="43"/>
        <v>5</v>
      </c>
      <c r="D199" s="309" t="e">
        <f t="shared" si="44"/>
        <v>#VALUE!</v>
      </c>
      <c r="E199" s="309" t="e">
        <f t="shared" si="44"/>
        <v>#VALUE!</v>
      </c>
      <c r="F199" s="309" t="e">
        <f t="shared" si="44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2"/>
        <v>#VALUE!</v>
      </c>
    </row>
    <row r="200" spans="3:34">
      <c r="C200" s="307">
        <f t="shared" si="43"/>
        <v>6</v>
      </c>
      <c r="D200" s="309" t="e">
        <f t="shared" si="44"/>
        <v>#VALUE!</v>
      </c>
      <c r="E200" s="309" t="e">
        <f t="shared" si="44"/>
        <v>#VALUE!</v>
      </c>
      <c r="F200" s="309" t="e">
        <f t="shared" si="44"/>
        <v>#VALUE!</v>
      </c>
      <c r="G200" s="309" t="e">
        <f t="shared" si="44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2"/>
        <v>#VALUE!</v>
      </c>
    </row>
    <row r="201" spans="3:34">
      <c r="C201" s="307">
        <f t="shared" si="43"/>
        <v>7</v>
      </c>
      <c r="D201" s="309" t="e">
        <f t="shared" si="44"/>
        <v>#VALUE!</v>
      </c>
      <c r="E201" s="309" t="e">
        <f t="shared" si="44"/>
        <v>#VALUE!</v>
      </c>
      <c r="F201" s="309" t="e">
        <f t="shared" si="44"/>
        <v>#VALUE!</v>
      </c>
      <c r="G201" s="309" t="e">
        <f t="shared" si="44"/>
        <v>#VALUE!</v>
      </c>
      <c r="H201" s="309" t="e">
        <f t="shared" si="44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2"/>
        <v>#VALUE!</v>
      </c>
    </row>
    <row r="202" spans="3:34">
      <c r="C202" s="307">
        <f t="shared" si="43"/>
        <v>8</v>
      </c>
      <c r="D202" s="309" t="e">
        <f t="shared" si="44"/>
        <v>#VALUE!</v>
      </c>
      <c r="E202" s="309" t="e">
        <f t="shared" si="44"/>
        <v>#VALUE!</v>
      </c>
      <c r="F202" s="309" t="e">
        <f t="shared" si="44"/>
        <v>#VALUE!</v>
      </c>
      <c r="G202" s="309" t="e">
        <f t="shared" si="44"/>
        <v>#VALUE!</v>
      </c>
      <c r="H202" s="309" t="e">
        <f t="shared" si="44"/>
        <v>#VALUE!</v>
      </c>
      <c r="I202" s="309" t="e">
        <f t="shared" si="44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2"/>
        <v>#VALUE!</v>
      </c>
    </row>
    <row r="203" spans="3:34">
      <c r="C203" s="307">
        <f t="shared" si="43"/>
        <v>9</v>
      </c>
      <c r="D203" s="309" t="e">
        <f t="shared" si="44"/>
        <v>#VALUE!</v>
      </c>
      <c r="E203" s="309" t="e">
        <f t="shared" si="44"/>
        <v>#VALUE!</v>
      </c>
      <c r="F203" s="309" t="e">
        <f t="shared" si="44"/>
        <v>#VALUE!</v>
      </c>
      <c r="G203" s="309" t="e">
        <f t="shared" si="44"/>
        <v>#VALUE!</v>
      </c>
      <c r="H203" s="309" t="e">
        <f t="shared" si="44"/>
        <v>#VALUE!</v>
      </c>
      <c r="I203" s="309" t="e">
        <f t="shared" si="44"/>
        <v>#VALUE!</v>
      </c>
      <c r="J203" s="309" t="e">
        <f t="shared" si="44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2"/>
        <v>#VALUE!</v>
      </c>
    </row>
    <row r="204" spans="3:34">
      <c r="C204" s="307">
        <f t="shared" si="43"/>
        <v>10</v>
      </c>
      <c r="D204" s="309" t="e">
        <f t="shared" si="44"/>
        <v>#VALUE!</v>
      </c>
      <c r="E204" s="309" t="e">
        <f t="shared" si="44"/>
        <v>#VALUE!</v>
      </c>
      <c r="F204" s="309" t="e">
        <f t="shared" si="44"/>
        <v>#VALUE!</v>
      </c>
      <c r="G204" s="309" t="e">
        <f t="shared" si="44"/>
        <v>#VALUE!</v>
      </c>
      <c r="H204" s="309" t="e">
        <f t="shared" si="44"/>
        <v>#VALUE!</v>
      </c>
      <c r="I204" s="309" t="e">
        <f t="shared" si="44"/>
        <v>#VALUE!</v>
      </c>
      <c r="J204" s="309" t="e">
        <f t="shared" si="44"/>
        <v>#VALUE!</v>
      </c>
      <c r="K204" s="309" t="e">
        <f t="shared" si="44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2"/>
        <v>#VALUE!</v>
      </c>
    </row>
    <row r="205" spans="3:34">
      <c r="C205" s="307">
        <f t="shared" si="43"/>
        <v>11</v>
      </c>
      <c r="D205" s="309" t="e">
        <f t="shared" si="44"/>
        <v>#VALUE!</v>
      </c>
      <c r="E205" s="309" t="e">
        <f t="shared" si="44"/>
        <v>#VALUE!</v>
      </c>
      <c r="F205" s="309" t="e">
        <f t="shared" si="44"/>
        <v>#VALUE!</v>
      </c>
      <c r="G205" s="309" t="e">
        <f t="shared" si="44"/>
        <v>#VALUE!</v>
      </c>
      <c r="H205" s="309" t="e">
        <f t="shared" si="44"/>
        <v>#VALUE!</v>
      </c>
      <c r="I205" s="309" t="e">
        <f t="shared" si="44"/>
        <v>#VALUE!</v>
      </c>
      <c r="J205" s="309" t="e">
        <f t="shared" si="44"/>
        <v>#VALUE!</v>
      </c>
      <c r="K205" s="309" t="e">
        <f t="shared" si="44"/>
        <v>#VALUE!</v>
      </c>
      <c r="L205" s="309" t="e">
        <f t="shared" si="44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2"/>
        <v>#VALUE!</v>
      </c>
    </row>
    <row r="206" spans="3:34">
      <c r="C206" s="307">
        <f t="shared" si="43"/>
        <v>12</v>
      </c>
      <c r="D206" s="309"/>
      <c r="E206" s="309" t="e">
        <f t="shared" si="44"/>
        <v>#VALUE!</v>
      </c>
      <c r="F206" s="309" t="e">
        <f t="shared" si="44"/>
        <v>#VALUE!</v>
      </c>
      <c r="G206" s="309" t="e">
        <f t="shared" si="44"/>
        <v>#VALUE!</v>
      </c>
      <c r="H206" s="309" t="e">
        <f t="shared" si="44"/>
        <v>#VALUE!</v>
      </c>
      <c r="I206" s="309" t="e">
        <f t="shared" si="44"/>
        <v>#VALUE!</v>
      </c>
      <c r="J206" s="309" t="e">
        <f t="shared" si="44"/>
        <v>#VALUE!</v>
      </c>
      <c r="K206" s="309" t="e">
        <f t="shared" si="44"/>
        <v>#VALUE!</v>
      </c>
      <c r="L206" s="309" t="e">
        <f t="shared" si="44"/>
        <v>#VALUE!</v>
      </c>
      <c r="M206" s="309" t="e">
        <f t="shared" si="44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2"/>
        <v>#VALUE!</v>
      </c>
    </row>
    <row r="207" spans="3:34">
      <c r="C207" s="307">
        <f t="shared" si="43"/>
        <v>13</v>
      </c>
      <c r="D207" s="309"/>
      <c r="E207" s="309"/>
      <c r="F207" s="309" t="e">
        <f t="shared" si="44"/>
        <v>#VALUE!</v>
      </c>
      <c r="G207" s="309" t="e">
        <f t="shared" si="44"/>
        <v>#VALUE!</v>
      </c>
      <c r="H207" s="309" t="e">
        <f t="shared" si="44"/>
        <v>#VALUE!</v>
      </c>
      <c r="I207" s="309" t="e">
        <f t="shared" si="44"/>
        <v>#VALUE!</v>
      </c>
      <c r="J207" s="309" t="e">
        <f t="shared" si="44"/>
        <v>#VALUE!</v>
      </c>
      <c r="K207" s="309" t="e">
        <f t="shared" si="44"/>
        <v>#VALUE!</v>
      </c>
      <c r="L207" s="309" t="e">
        <f t="shared" si="44"/>
        <v>#VALUE!</v>
      </c>
      <c r="M207" s="309" t="e">
        <f t="shared" si="44"/>
        <v>#VALUE!</v>
      </c>
      <c r="N207" s="309" t="e">
        <f t="shared" si="44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2"/>
        <v>#VALUE!</v>
      </c>
    </row>
    <row r="208" spans="3:34">
      <c r="C208" s="307">
        <f t="shared" si="43"/>
        <v>14</v>
      </c>
      <c r="D208" s="309"/>
      <c r="E208" s="309"/>
      <c r="F208" s="309"/>
      <c r="G208" s="309" t="e">
        <f t="shared" si="44"/>
        <v>#VALUE!</v>
      </c>
      <c r="H208" s="309" t="e">
        <f t="shared" si="44"/>
        <v>#VALUE!</v>
      </c>
      <c r="I208" s="309" t="e">
        <f t="shared" si="44"/>
        <v>#VALUE!</v>
      </c>
      <c r="J208" s="309" t="e">
        <f t="shared" si="44"/>
        <v>#VALUE!</v>
      </c>
      <c r="K208" s="309" t="e">
        <f t="shared" si="44"/>
        <v>#VALUE!</v>
      </c>
      <c r="L208" s="309" t="e">
        <f t="shared" si="44"/>
        <v>#VALUE!</v>
      </c>
      <c r="M208" s="309" t="e">
        <f t="shared" si="44"/>
        <v>#VALUE!</v>
      </c>
      <c r="N208" s="309" t="e">
        <f t="shared" si="44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2"/>
        <v>#VALUE!</v>
      </c>
    </row>
    <row r="209" spans="3:34">
      <c r="C209" s="307">
        <f t="shared" si="43"/>
        <v>15</v>
      </c>
      <c r="D209" s="309"/>
      <c r="E209" s="309"/>
      <c r="F209" s="309"/>
      <c r="G209" s="309"/>
      <c r="H209" s="309" t="e">
        <f t="shared" si="44"/>
        <v>#VALUE!</v>
      </c>
      <c r="I209" s="309" t="e">
        <f t="shared" si="44"/>
        <v>#VALUE!</v>
      </c>
      <c r="J209" s="309" t="e">
        <f t="shared" si="44"/>
        <v>#VALUE!</v>
      </c>
      <c r="K209" s="309" t="e">
        <f t="shared" si="44"/>
        <v>#VALUE!</v>
      </c>
      <c r="L209" s="309" t="e">
        <f t="shared" si="44"/>
        <v>#VALUE!</v>
      </c>
      <c r="M209" s="309" t="e">
        <f t="shared" si="44"/>
        <v>#VALUE!</v>
      </c>
      <c r="N209" s="309" t="e">
        <f t="shared" si="44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2"/>
        <v>#VALUE!</v>
      </c>
    </row>
    <row r="210" spans="3:34">
      <c r="C210" s="307">
        <f t="shared" si="43"/>
        <v>16</v>
      </c>
      <c r="D210" s="309"/>
      <c r="E210" s="309"/>
      <c r="F210" s="309"/>
      <c r="G210" s="309"/>
      <c r="H210" s="309"/>
      <c r="I210" s="309" t="e">
        <f t="shared" si="44"/>
        <v>#VALUE!</v>
      </c>
      <c r="J210" s="309" t="e">
        <f t="shared" si="44"/>
        <v>#VALUE!</v>
      </c>
      <c r="K210" s="309" t="e">
        <f t="shared" si="44"/>
        <v>#VALUE!</v>
      </c>
      <c r="L210" s="309" t="e">
        <f t="shared" si="44"/>
        <v>#VALUE!</v>
      </c>
      <c r="M210" s="309" t="e">
        <f t="shared" si="44"/>
        <v>#VALUE!</v>
      </c>
      <c r="N210" s="309" t="e">
        <f t="shared" si="44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2"/>
        <v>#VALUE!</v>
      </c>
    </row>
    <row r="211" spans="3:34">
      <c r="C211" s="307">
        <f t="shared" si="43"/>
        <v>17</v>
      </c>
      <c r="D211" s="309"/>
      <c r="E211" s="309"/>
      <c r="F211" s="309"/>
      <c r="G211" s="309"/>
      <c r="H211" s="309"/>
      <c r="I211" s="309"/>
      <c r="J211" s="309" t="e">
        <f t="shared" si="44"/>
        <v>#VALUE!</v>
      </c>
      <c r="K211" s="309" t="e">
        <f t="shared" si="44"/>
        <v>#VALUE!</v>
      </c>
      <c r="L211" s="309" t="e">
        <f t="shared" si="44"/>
        <v>#VALUE!</v>
      </c>
      <c r="M211" s="309" t="e">
        <f t="shared" si="44"/>
        <v>#VALUE!</v>
      </c>
      <c r="N211" s="309" t="e">
        <f t="shared" si="44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2"/>
        <v>#VALUE!</v>
      </c>
    </row>
    <row r="212" spans="3:34">
      <c r="C212" s="307">
        <f t="shared" si="43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4"/>
        <v>#VALUE!</v>
      </c>
      <c r="L212" s="309" t="e">
        <f t="shared" si="44"/>
        <v>#VALUE!</v>
      </c>
      <c r="M212" s="309" t="e">
        <f t="shared" si="44"/>
        <v>#VALUE!</v>
      </c>
      <c r="N212" s="309" t="e">
        <f t="shared" si="44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2"/>
        <v>#VALUE!</v>
      </c>
    </row>
    <row r="213" spans="3:34">
      <c r="C213" s="307">
        <f t="shared" si="43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5">L212</f>
        <v>#VALUE!</v>
      </c>
      <c r="M213" s="309" t="e">
        <f t="shared" si="45"/>
        <v>#VALUE!</v>
      </c>
      <c r="N213" s="309" t="e">
        <f t="shared" si="45"/>
        <v>#VALUE!</v>
      </c>
      <c r="O213" s="309" t="e">
        <f t="shared" si="45"/>
        <v>#VALUE!</v>
      </c>
      <c r="P213" s="309" t="e">
        <f t="shared" si="45"/>
        <v>#VALUE!</v>
      </c>
      <c r="Q213" s="309" t="e">
        <f t="shared" si="45"/>
        <v>#VALUE!</v>
      </c>
      <c r="R213" s="309" t="e">
        <f t="shared" si="45"/>
        <v>#VALUE!</v>
      </c>
      <c r="S213" s="309" t="e">
        <f t="shared" si="45"/>
        <v>#VALUE!</v>
      </c>
      <c r="T213" s="309" t="e">
        <f t="shared" si="45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2"/>
        <v>#VALUE!</v>
      </c>
    </row>
    <row r="214" spans="3:34">
      <c r="C214" s="307">
        <f t="shared" si="43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5"/>
        <v>#VALUE!</v>
      </c>
      <c r="N214" s="309" t="e">
        <f t="shared" si="45"/>
        <v>#VALUE!</v>
      </c>
      <c r="O214" s="309" t="e">
        <f t="shared" si="45"/>
        <v>#VALUE!</v>
      </c>
      <c r="P214" s="309" t="e">
        <f t="shared" si="45"/>
        <v>#VALUE!</v>
      </c>
      <c r="Q214" s="309" t="e">
        <f t="shared" si="45"/>
        <v>#VALUE!</v>
      </c>
      <c r="R214" s="309" t="e">
        <f t="shared" si="45"/>
        <v>#VALUE!</v>
      </c>
      <c r="S214" s="309" t="e">
        <f t="shared" si="45"/>
        <v>#VALUE!</v>
      </c>
      <c r="T214" s="309" t="e">
        <f t="shared" si="45"/>
        <v>#VALUE!</v>
      </c>
      <c r="U214" s="309" t="e">
        <f t="shared" si="45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2"/>
        <v>#VALUE!</v>
      </c>
    </row>
    <row r="215" spans="3:34">
      <c r="C215" s="307">
        <f t="shared" si="43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5"/>
        <v>#VALUE!</v>
      </c>
      <c r="O215" s="309" t="e">
        <f t="shared" si="45"/>
        <v>#VALUE!</v>
      </c>
      <c r="P215" s="309" t="e">
        <f t="shared" si="45"/>
        <v>#VALUE!</v>
      </c>
      <c r="Q215" s="309" t="e">
        <f t="shared" si="45"/>
        <v>#VALUE!</v>
      </c>
      <c r="R215" s="309" t="e">
        <f t="shared" si="45"/>
        <v>#VALUE!</v>
      </c>
      <c r="S215" s="309" t="e">
        <f t="shared" si="45"/>
        <v>#VALUE!</v>
      </c>
      <c r="T215" s="309" t="e">
        <f t="shared" si="45"/>
        <v>#VALUE!</v>
      </c>
      <c r="U215" s="309" t="e">
        <f t="shared" si="45"/>
        <v>#VALUE!</v>
      </c>
      <c r="V215" s="309" t="e">
        <f t="shared" si="45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2"/>
        <v>#VALUE!</v>
      </c>
    </row>
    <row r="216" spans="3:34">
      <c r="C216" s="307">
        <f t="shared" si="43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5"/>
        <v>#VALUE!</v>
      </c>
      <c r="P216" s="309" t="e">
        <f t="shared" si="45"/>
        <v>#VALUE!</v>
      </c>
      <c r="Q216" s="309" t="e">
        <f t="shared" si="45"/>
        <v>#VALUE!</v>
      </c>
      <c r="R216" s="309" t="e">
        <f t="shared" si="45"/>
        <v>#VALUE!</v>
      </c>
      <c r="S216" s="309" t="e">
        <f t="shared" si="45"/>
        <v>#VALUE!</v>
      </c>
      <c r="T216" s="309" t="e">
        <f t="shared" si="45"/>
        <v>#VALUE!</v>
      </c>
      <c r="U216" s="309" t="e">
        <f t="shared" si="45"/>
        <v>#VALUE!</v>
      </c>
      <c r="V216" s="309" t="e">
        <f t="shared" si="45"/>
        <v>#VALUE!</v>
      </c>
      <c r="W216" s="309" t="e">
        <f t="shared" si="45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2"/>
        <v>#VALUE!</v>
      </c>
    </row>
    <row r="217" spans="3:34">
      <c r="C217" s="307">
        <f t="shared" si="43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5"/>
        <v>#VALUE!</v>
      </c>
      <c r="Q217" s="309" t="e">
        <f t="shared" si="45"/>
        <v>#VALUE!</v>
      </c>
      <c r="R217" s="309" t="e">
        <f t="shared" si="45"/>
        <v>#VALUE!</v>
      </c>
      <c r="S217" s="309" t="e">
        <f t="shared" si="45"/>
        <v>#VALUE!</v>
      </c>
      <c r="T217" s="309" t="e">
        <f t="shared" si="45"/>
        <v>#VALUE!</v>
      </c>
      <c r="U217" s="309" t="e">
        <f t="shared" si="45"/>
        <v>#VALUE!</v>
      </c>
      <c r="V217" s="309" t="e">
        <f t="shared" si="45"/>
        <v>#VALUE!</v>
      </c>
      <c r="W217" s="309" t="e">
        <f t="shared" si="45"/>
        <v>#VALUE!</v>
      </c>
      <c r="X217" s="309" t="e">
        <f t="shared" si="45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2"/>
        <v>#VALUE!</v>
      </c>
    </row>
    <row r="218" spans="3:34">
      <c r="C218" s="307">
        <f t="shared" si="43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5"/>
        <v>#VALUE!</v>
      </c>
      <c r="R218" s="309" t="e">
        <f t="shared" si="45"/>
        <v>#VALUE!</v>
      </c>
      <c r="S218" s="309" t="e">
        <f t="shared" si="45"/>
        <v>#VALUE!</v>
      </c>
      <c r="T218" s="309" t="e">
        <f t="shared" si="45"/>
        <v>#VALUE!</v>
      </c>
      <c r="U218" s="309" t="e">
        <f t="shared" si="45"/>
        <v>#VALUE!</v>
      </c>
      <c r="V218" s="309" t="e">
        <f t="shared" si="45"/>
        <v>#VALUE!</v>
      </c>
      <c r="W218" s="309" t="e">
        <f t="shared" si="45"/>
        <v>#VALUE!</v>
      </c>
      <c r="X218" s="309" t="e">
        <f t="shared" si="45"/>
        <v>#VALUE!</v>
      </c>
      <c r="Y218" s="309" t="e">
        <f t="shared" si="45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2"/>
        <v>#VALUE!</v>
      </c>
    </row>
    <row r="219" spans="3:34">
      <c r="C219" s="307">
        <f t="shared" si="43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5"/>
        <v>#VALUE!</v>
      </c>
      <c r="S219" s="309" t="e">
        <f t="shared" si="45"/>
        <v>#VALUE!</v>
      </c>
      <c r="T219" s="309" t="e">
        <f t="shared" si="45"/>
        <v>#VALUE!</v>
      </c>
      <c r="U219" s="309" t="e">
        <f t="shared" si="45"/>
        <v>#VALUE!</v>
      </c>
      <c r="V219" s="309" t="e">
        <f t="shared" si="45"/>
        <v>#VALUE!</v>
      </c>
      <c r="W219" s="309" t="e">
        <f t="shared" si="45"/>
        <v>#VALUE!</v>
      </c>
      <c r="X219" s="309" t="e">
        <f t="shared" si="45"/>
        <v>#VALUE!</v>
      </c>
      <c r="Y219" s="309" t="e">
        <f t="shared" si="45"/>
        <v>#VALUE!</v>
      </c>
      <c r="Z219" s="309" t="e">
        <f t="shared" si="45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2"/>
        <v>#VALUE!</v>
      </c>
    </row>
    <row r="220" spans="3:34">
      <c r="C220" s="307">
        <f t="shared" si="43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5"/>
        <v>#VALUE!</v>
      </c>
      <c r="T220" s="309" t="e">
        <f t="shared" si="45"/>
        <v>#VALUE!</v>
      </c>
      <c r="U220" s="309" t="e">
        <f t="shared" si="45"/>
        <v>#VALUE!</v>
      </c>
      <c r="V220" s="309" t="e">
        <f t="shared" si="45"/>
        <v>#VALUE!</v>
      </c>
      <c r="W220" s="309" t="e">
        <f t="shared" si="45"/>
        <v>#VALUE!</v>
      </c>
      <c r="X220" s="309" t="e">
        <f t="shared" si="45"/>
        <v>#VALUE!</v>
      </c>
      <c r="Y220" s="309" t="e">
        <f t="shared" si="45"/>
        <v>#VALUE!</v>
      </c>
      <c r="Z220" s="309" t="e">
        <f t="shared" si="45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2"/>
        <v>#VALUE!</v>
      </c>
    </row>
    <row r="221" spans="3:34">
      <c r="C221" s="307">
        <f t="shared" si="43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5"/>
        <v>#VALUE!</v>
      </c>
      <c r="U221" s="309" t="e">
        <f t="shared" si="45"/>
        <v>#VALUE!</v>
      </c>
      <c r="V221" s="309" t="e">
        <f t="shared" si="45"/>
        <v>#VALUE!</v>
      </c>
      <c r="W221" s="309" t="e">
        <f t="shared" si="45"/>
        <v>#VALUE!</v>
      </c>
      <c r="X221" s="309" t="e">
        <f t="shared" si="45"/>
        <v>#VALUE!</v>
      </c>
      <c r="Y221" s="309" t="e">
        <f t="shared" si="45"/>
        <v>#VALUE!</v>
      </c>
      <c r="Z221" s="309" t="e">
        <f t="shared" si="45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2"/>
        <v>#VALUE!</v>
      </c>
    </row>
    <row r="222" spans="3:34">
      <c r="C222" s="307">
        <f t="shared" si="43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5"/>
        <v>#VALUE!</v>
      </c>
      <c r="V222" s="309" t="e">
        <f t="shared" si="45"/>
        <v>#VALUE!</v>
      </c>
      <c r="W222" s="309" t="e">
        <f t="shared" si="45"/>
        <v>#VALUE!</v>
      </c>
      <c r="X222" s="309" t="e">
        <f t="shared" si="45"/>
        <v>#VALUE!</v>
      </c>
      <c r="Y222" s="309" t="e">
        <f t="shared" si="45"/>
        <v>#VALUE!</v>
      </c>
      <c r="Z222" s="309" t="e">
        <f t="shared" si="45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2"/>
        <v>#VALUE!</v>
      </c>
    </row>
    <row r="223" spans="3:34">
      <c r="C223" s="307">
        <f t="shared" si="43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5"/>
        <v>#VALUE!</v>
      </c>
      <c r="W223" s="309" t="e">
        <f t="shared" si="45"/>
        <v>#VALUE!</v>
      </c>
      <c r="X223" s="309" t="e">
        <f t="shared" si="45"/>
        <v>#VALUE!</v>
      </c>
      <c r="Y223" s="309" t="e">
        <f t="shared" si="45"/>
        <v>#VALUE!</v>
      </c>
      <c r="Z223" s="309" t="e">
        <f t="shared" si="45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2"/>
        <v>#VALUE!</v>
      </c>
    </row>
    <row r="224" spans="3:34" ht="13.5" thickBot="1">
      <c r="C224" s="307">
        <f t="shared" si="43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5"/>
        <v>#VALUE!</v>
      </c>
      <c r="X224" s="322" t="e">
        <f t="shared" si="45"/>
        <v>#VALUE!</v>
      </c>
      <c r="Y224" s="322" t="e">
        <f t="shared" si="45"/>
        <v>#VALUE!</v>
      </c>
      <c r="Z224" s="322" t="e">
        <f t="shared" si="45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2"/>
        <v>#VALUE!</v>
      </c>
    </row>
    <row r="225" spans="1:34" ht="14.25" thickTop="1" thickBot="1">
      <c r="C225" s="311" t="s">
        <v>0</v>
      </c>
      <c r="D225" s="328" t="e">
        <f t="shared" ref="D225:AG225" si="46">SUM(D194:D224)</f>
        <v>#VALUE!</v>
      </c>
      <c r="E225" s="328" t="e">
        <f t="shared" si="46"/>
        <v>#VALUE!</v>
      </c>
      <c r="F225" s="328" t="e">
        <f t="shared" si="46"/>
        <v>#VALUE!</v>
      </c>
      <c r="G225" s="328" t="e">
        <f t="shared" si="46"/>
        <v>#VALUE!</v>
      </c>
      <c r="H225" s="328" t="e">
        <f t="shared" si="46"/>
        <v>#VALUE!</v>
      </c>
      <c r="I225" s="328" t="e">
        <f t="shared" si="46"/>
        <v>#VALUE!</v>
      </c>
      <c r="J225" s="328" t="e">
        <f t="shared" si="46"/>
        <v>#VALUE!</v>
      </c>
      <c r="K225" s="328" t="e">
        <f t="shared" si="46"/>
        <v>#VALUE!</v>
      </c>
      <c r="L225" s="328" t="e">
        <f t="shared" si="46"/>
        <v>#VALUE!</v>
      </c>
      <c r="M225" s="328" t="e">
        <f t="shared" si="46"/>
        <v>#VALUE!</v>
      </c>
      <c r="N225" s="336" t="e">
        <f t="shared" si="46"/>
        <v>#VALUE!</v>
      </c>
      <c r="O225" s="328" t="e">
        <f t="shared" si="46"/>
        <v>#VALUE!</v>
      </c>
      <c r="P225" s="328" t="e">
        <f t="shared" si="46"/>
        <v>#VALUE!</v>
      </c>
      <c r="Q225" s="328" t="e">
        <f t="shared" si="46"/>
        <v>#VALUE!</v>
      </c>
      <c r="R225" s="328" t="e">
        <f t="shared" si="46"/>
        <v>#VALUE!</v>
      </c>
      <c r="S225" s="328" t="e">
        <f t="shared" si="46"/>
        <v>#VALUE!</v>
      </c>
      <c r="T225" s="328" t="e">
        <f t="shared" si="46"/>
        <v>#VALUE!</v>
      </c>
      <c r="U225" s="328" t="e">
        <f t="shared" si="46"/>
        <v>#VALUE!</v>
      </c>
      <c r="V225" s="328" t="e">
        <f t="shared" si="46"/>
        <v>#VALUE!</v>
      </c>
      <c r="W225" s="328" t="e">
        <f t="shared" si="46"/>
        <v>#VALUE!</v>
      </c>
      <c r="X225" s="328" t="e">
        <f t="shared" si="46"/>
        <v>#VALUE!</v>
      </c>
      <c r="Y225" s="328" t="e">
        <f t="shared" si="46"/>
        <v>#VALUE!</v>
      </c>
      <c r="Z225" s="328" t="e">
        <f t="shared" si="46"/>
        <v>#VALUE!</v>
      </c>
      <c r="AA225" s="328" t="e">
        <f t="shared" si="46"/>
        <v>#VALUE!</v>
      </c>
      <c r="AB225" s="328" t="e">
        <f t="shared" si="46"/>
        <v>#VALUE!</v>
      </c>
      <c r="AC225" s="328" t="e">
        <f t="shared" si="46"/>
        <v>#VALUE!</v>
      </c>
      <c r="AD225" s="328" t="e">
        <f t="shared" si="46"/>
        <v>#VALUE!</v>
      </c>
      <c r="AE225" s="328" t="e">
        <f t="shared" si="46"/>
        <v>#VALUE!</v>
      </c>
      <c r="AF225" s="329" t="e">
        <f t="shared" si="46"/>
        <v>#VALUE!</v>
      </c>
      <c r="AG225" s="329" t="e">
        <f t="shared" si="46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7">D229+1</f>
        <v>2</v>
      </c>
      <c r="F229" s="302">
        <f t="shared" si="47"/>
        <v>3</v>
      </c>
      <c r="G229" s="302">
        <f t="shared" si="47"/>
        <v>4</v>
      </c>
      <c r="H229" s="302">
        <f t="shared" si="47"/>
        <v>5</v>
      </c>
      <c r="I229" s="302">
        <f t="shared" si="47"/>
        <v>6</v>
      </c>
      <c r="J229" s="302">
        <f t="shared" si="47"/>
        <v>7</v>
      </c>
      <c r="K229" s="302">
        <f t="shared" si="47"/>
        <v>8</v>
      </c>
      <c r="L229" s="302">
        <f t="shared" si="47"/>
        <v>9</v>
      </c>
      <c r="M229" s="302">
        <f t="shared" si="47"/>
        <v>10</v>
      </c>
      <c r="N229" s="302">
        <f t="shared" si="47"/>
        <v>11</v>
      </c>
      <c r="O229" s="302">
        <f t="shared" si="47"/>
        <v>12</v>
      </c>
      <c r="P229" s="302">
        <f t="shared" si="47"/>
        <v>13</v>
      </c>
      <c r="Q229" s="302">
        <f t="shared" si="47"/>
        <v>14</v>
      </c>
      <c r="R229" s="302">
        <f t="shared" si="47"/>
        <v>15</v>
      </c>
      <c r="S229" s="302">
        <f t="shared" si="47"/>
        <v>16</v>
      </c>
      <c r="T229" s="302">
        <f t="shared" si="47"/>
        <v>17</v>
      </c>
      <c r="U229" s="302">
        <f t="shared" si="47"/>
        <v>18</v>
      </c>
      <c r="V229" s="302">
        <f t="shared" si="47"/>
        <v>19</v>
      </c>
      <c r="W229" s="302">
        <f t="shared" si="47"/>
        <v>20</v>
      </c>
      <c r="X229" s="302">
        <f t="shared" si="47"/>
        <v>21</v>
      </c>
      <c r="Y229" s="302">
        <f t="shared" si="47"/>
        <v>22</v>
      </c>
      <c r="Z229" s="302">
        <f t="shared" si="47"/>
        <v>23</v>
      </c>
      <c r="AA229" s="302">
        <f t="shared" si="47"/>
        <v>24</v>
      </c>
      <c r="AB229" s="302">
        <f t="shared" si="47"/>
        <v>25</v>
      </c>
      <c r="AC229" s="302">
        <f t="shared" si="47"/>
        <v>26</v>
      </c>
      <c r="AD229" s="302">
        <f t="shared" si="47"/>
        <v>27</v>
      </c>
      <c r="AE229" s="302">
        <f t="shared" si="47"/>
        <v>28</v>
      </c>
      <c r="AF229" s="302">
        <f t="shared" si="47"/>
        <v>29</v>
      </c>
      <c r="AG229" s="302">
        <f t="shared" si="47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8">SUM(D230:AG230)</f>
        <v>0</v>
      </c>
    </row>
    <row r="231" spans="1:34">
      <c r="C231" s="304">
        <f t="shared" ref="C231:C260" si="49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8"/>
        <v>0</v>
      </c>
    </row>
    <row r="232" spans="1:34">
      <c r="C232" s="304">
        <f t="shared" si="49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8"/>
        <v>#VALUE!</v>
      </c>
    </row>
    <row r="233" spans="1:34">
      <c r="C233" s="304">
        <f t="shared" si="49"/>
        <v>3</v>
      </c>
      <c r="D233" s="305" t="e">
        <f t="shared" ref="D233:S248" si="50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8"/>
        <v>#VALUE!</v>
      </c>
    </row>
    <row r="234" spans="1:34">
      <c r="C234" s="304">
        <f t="shared" si="49"/>
        <v>4</v>
      </c>
      <c r="D234" s="305" t="e">
        <f t="shared" si="50"/>
        <v>#VALUE!</v>
      </c>
      <c r="E234" s="305" t="e">
        <f t="shared" si="50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8"/>
        <v>#VALUE!</v>
      </c>
    </row>
    <row r="235" spans="1:34">
      <c r="C235" s="304">
        <f t="shared" si="49"/>
        <v>5</v>
      </c>
      <c r="D235" s="305" t="e">
        <f t="shared" si="50"/>
        <v>#VALUE!</v>
      </c>
      <c r="E235" s="305" t="e">
        <f t="shared" si="50"/>
        <v>#VALUE!</v>
      </c>
      <c r="F235" s="305" t="e">
        <f t="shared" si="50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8"/>
        <v>#VALUE!</v>
      </c>
    </row>
    <row r="236" spans="1:34">
      <c r="C236" s="304">
        <f t="shared" si="49"/>
        <v>6</v>
      </c>
      <c r="D236" s="305" t="e">
        <f t="shared" si="50"/>
        <v>#VALUE!</v>
      </c>
      <c r="E236" s="305" t="e">
        <f t="shared" si="50"/>
        <v>#VALUE!</v>
      </c>
      <c r="F236" s="305" t="e">
        <f t="shared" si="50"/>
        <v>#VALUE!</v>
      </c>
      <c r="G236" s="305" t="e">
        <f t="shared" si="50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8"/>
        <v>#VALUE!</v>
      </c>
    </row>
    <row r="237" spans="1:34">
      <c r="C237" s="304">
        <f t="shared" si="49"/>
        <v>7</v>
      </c>
      <c r="D237" s="305" t="e">
        <f t="shared" si="50"/>
        <v>#VALUE!</v>
      </c>
      <c r="E237" s="305" t="e">
        <f t="shared" si="50"/>
        <v>#VALUE!</v>
      </c>
      <c r="F237" s="305" t="e">
        <f t="shared" si="50"/>
        <v>#VALUE!</v>
      </c>
      <c r="G237" s="305" t="e">
        <f t="shared" si="50"/>
        <v>#VALUE!</v>
      </c>
      <c r="H237" s="305" t="e">
        <f t="shared" si="50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8"/>
        <v>#VALUE!</v>
      </c>
    </row>
    <row r="238" spans="1:34">
      <c r="C238" s="304">
        <f t="shared" si="49"/>
        <v>8</v>
      </c>
      <c r="D238" s="305" t="e">
        <f t="shared" si="50"/>
        <v>#VALUE!</v>
      </c>
      <c r="E238" s="305" t="e">
        <f t="shared" si="50"/>
        <v>#VALUE!</v>
      </c>
      <c r="F238" s="305" t="e">
        <f t="shared" si="50"/>
        <v>#VALUE!</v>
      </c>
      <c r="G238" s="305" t="e">
        <f t="shared" si="50"/>
        <v>#VALUE!</v>
      </c>
      <c r="H238" s="305" t="e">
        <f t="shared" si="50"/>
        <v>#VALUE!</v>
      </c>
      <c r="I238" s="305" t="e">
        <f t="shared" si="50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8"/>
        <v>#VALUE!</v>
      </c>
    </row>
    <row r="239" spans="1:34">
      <c r="C239" s="304">
        <f t="shared" si="49"/>
        <v>9</v>
      </c>
      <c r="D239" s="305"/>
      <c r="E239" s="305" t="e">
        <f t="shared" si="50"/>
        <v>#VALUE!</v>
      </c>
      <c r="F239" s="305" t="e">
        <f t="shared" si="50"/>
        <v>#VALUE!</v>
      </c>
      <c r="G239" s="305" t="e">
        <f t="shared" si="50"/>
        <v>#VALUE!</v>
      </c>
      <c r="H239" s="305" t="e">
        <f t="shared" si="50"/>
        <v>#VALUE!</v>
      </c>
      <c r="I239" s="305" t="e">
        <f t="shared" si="50"/>
        <v>#VALUE!</v>
      </c>
      <c r="J239" s="305" t="e">
        <f t="shared" si="50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8"/>
        <v>#VALUE!</v>
      </c>
    </row>
    <row r="240" spans="1:34">
      <c r="C240" s="304">
        <f t="shared" si="49"/>
        <v>10</v>
      </c>
      <c r="D240" s="305"/>
      <c r="E240" s="305"/>
      <c r="F240" s="305" t="e">
        <f t="shared" si="50"/>
        <v>#VALUE!</v>
      </c>
      <c r="G240" s="305" t="e">
        <f t="shared" si="50"/>
        <v>#VALUE!</v>
      </c>
      <c r="H240" s="305" t="e">
        <f t="shared" si="50"/>
        <v>#VALUE!</v>
      </c>
      <c r="I240" s="305" t="e">
        <f t="shared" si="50"/>
        <v>#VALUE!</v>
      </c>
      <c r="J240" s="305" t="e">
        <f t="shared" si="50"/>
        <v>#VALUE!</v>
      </c>
      <c r="K240" s="305" t="e">
        <f t="shared" si="50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8"/>
        <v>#VALUE!</v>
      </c>
    </row>
    <row r="241" spans="3:34">
      <c r="C241" s="304">
        <f t="shared" si="49"/>
        <v>11</v>
      </c>
      <c r="D241" s="305"/>
      <c r="E241" s="305"/>
      <c r="F241" s="305"/>
      <c r="G241" s="305" t="e">
        <f t="shared" si="50"/>
        <v>#VALUE!</v>
      </c>
      <c r="H241" s="305" t="e">
        <f t="shared" si="50"/>
        <v>#VALUE!</v>
      </c>
      <c r="I241" s="305" t="e">
        <f t="shared" si="50"/>
        <v>#VALUE!</v>
      </c>
      <c r="J241" s="305" t="e">
        <f t="shared" si="50"/>
        <v>#VALUE!</v>
      </c>
      <c r="K241" s="305" t="e">
        <f t="shared" si="50"/>
        <v>#VALUE!</v>
      </c>
      <c r="L241" s="305" t="e">
        <f t="shared" si="50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8"/>
        <v>#VALUE!</v>
      </c>
    </row>
    <row r="242" spans="3:34">
      <c r="C242" s="304">
        <f t="shared" si="49"/>
        <v>12</v>
      </c>
      <c r="D242" s="305"/>
      <c r="E242" s="305"/>
      <c r="F242" s="305"/>
      <c r="G242" s="305"/>
      <c r="H242" s="305" t="e">
        <f t="shared" si="50"/>
        <v>#VALUE!</v>
      </c>
      <c r="I242" s="305" t="e">
        <f t="shared" si="50"/>
        <v>#VALUE!</v>
      </c>
      <c r="J242" s="305" t="e">
        <f t="shared" si="50"/>
        <v>#VALUE!</v>
      </c>
      <c r="K242" s="305" t="e">
        <f t="shared" si="50"/>
        <v>#VALUE!</v>
      </c>
      <c r="L242" s="305" t="e">
        <f t="shared" si="50"/>
        <v>#VALUE!</v>
      </c>
      <c r="M242" s="305" t="e">
        <f t="shared" si="50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8"/>
        <v>#VALUE!</v>
      </c>
    </row>
    <row r="243" spans="3:34">
      <c r="C243" s="304">
        <f t="shared" si="49"/>
        <v>13</v>
      </c>
      <c r="D243" s="305"/>
      <c r="E243" s="305"/>
      <c r="F243" s="305"/>
      <c r="G243" s="305"/>
      <c r="H243" s="305"/>
      <c r="I243" s="305" t="e">
        <f t="shared" si="50"/>
        <v>#VALUE!</v>
      </c>
      <c r="J243" s="305" t="e">
        <f t="shared" si="50"/>
        <v>#VALUE!</v>
      </c>
      <c r="K243" s="305" t="e">
        <f t="shared" si="50"/>
        <v>#VALUE!</v>
      </c>
      <c r="L243" s="305" t="e">
        <f t="shared" si="50"/>
        <v>#VALUE!</v>
      </c>
      <c r="M243" s="305" t="e">
        <f t="shared" si="50"/>
        <v>#VALUE!</v>
      </c>
      <c r="N243" s="305" t="e">
        <f t="shared" si="50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8"/>
        <v>#VALUE!</v>
      </c>
    </row>
    <row r="244" spans="3:34">
      <c r="C244" s="304">
        <f t="shared" si="49"/>
        <v>14</v>
      </c>
      <c r="D244" s="305"/>
      <c r="E244" s="305"/>
      <c r="F244" s="305"/>
      <c r="G244" s="305"/>
      <c r="H244" s="305"/>
      <c r="I244" s="305"/>
      <c r="J244" s="305" t="e">
        <f t="shared" si="50"/>
        <v>#VALUE!</v>
      </c>
      <c r="K244" s="305" t="e">
        <f t="shared" si="50"/>
        <v>#VALUE!</v>
      </c>
      <c r="L244" s="305" t="e">
        <f t="shared" si="50"/>
        <v>#VALUE!</v>
      </c>
      <c r="M244" s="305" t="e">
        <f t="shared" si="50"/>
        <v>#VALUE!</v>
      </c>
      <c r="N244" s="305" t="e">
        <f t="shared" si="50"/>
        <v>#VALUE!</v>
      </c>
      <c r="O244" s="305" t="e">
        <f t="shared" si="50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8"/>
        <v>#VALUE!</v>
      </c>
    </row>
    <row r="245" spans="3:34">
      <c r="C245" s="304">
        <f t="shared" si="49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0"/>
        <v>#VALUE!</v>
      </c>
      <c r="L245" s="305" t="e">
        <f t="shared" si="50"/>
        <v>#VALUE!</v>
      </c>
      <c r="M245" s="305" t="e">
        <f t="shared" si="50"/>
        <v>#VALUE!</v>
      </c>
      <c r="N245" s="305" t="e">
        <f t="shared" si="50"/>
        <v>#VALUE!</v>
      </c>
      <c r="O245" s="305" t="e">
        <f t="shared" si="50"/>
        <v>#VALUE!</v>
      </c>
      <c r="P245" s="305" t="e">
        <f t="shared" si="50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8"/>
        <v>#VALUE!</v>
      </c>
    </row>
    <row r="246" spans="3:34">
      <c r="C246" s="304">
        <f t="shared" si="49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0"/>
        <v>#VALUE!</v>
      </c>
      <c r="M246" s="305" t="e">
        <f t="shared" si="50"/>
        <v>#VALUE!</v>
      </c>
      <c r="N246" s="305" t="e">
        <f t="shared" si="50"/>
        <v>#VALUE!</v>
      </c>
      <c r="O246" s="305" t="e">
        <f t="shared" si="50"/>
        <v>#VALUE!</v>
      </c>
      <c r="P246" s="305" t="e">
        <f t="shared" si="50"/>
        <v>#VALUE!</v>
      </c>
      <c r="Q246" s="305" t="e">
        <f t="shared" si="50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8"/>
        <v>#VALUE!</v>
      </c>
    </row>
    <row r="247" spans="3:34">
      <c r="C247" s="304">
        <f t="shared" si="49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0"/>
        <v>#VALUE!</v>
      </c>
      <c r="N247" s="305" t="e">
        <f t="shared" si="50"/>
        <v>#VALUE!</v>
      </c>
      <c r="O247" s="305" t="e">
        <f t="shared" si="50"/>
        <v>#VALUE!</v>
      </c>
      <c r="P247" s="305" t="e">
        <f t="shared" si="50"/>
        <v>#VALUE!</v>
      </c>
      <c r="Q247" s="305" t="e">
        <f t="shared" si="50"/>
        <v>#VALUE!</v>
      </c>
      <c r="R247" s="305" t="e">
        <f t="shared" si="50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8"/>
        <v>#VALUE!</v>
      </c>
    </row>
    <row r="248" spans="3:34">
      <c r="C248" s="304">
        <f t="shared" si="49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0"/>
        <v>#VALUE!</v>
      </c>
      <c r="O248" s="305" t="e">
        <f t="shared" si="50"/>
        <v>#VALUE!</v>
      </c>
      <c r="P248" s="305" t="e">
        <f t="shared" si="50"/>
        <v>#VALUE!</v>
      </c>
      <c r="Q248" s="305" t="e">
        <f t="shared" si="50"/>
        <v>#VALUE!</v>
      </c>
      <c r="R248" s="305" t="e">
        <f t="shared" si="50"/>
        <v>#VALUE!</v>
      </c>
      <c r="S248" s="305" t="e">
        <f t="shared" si="50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8"/>
        <v>#VALUE!</v>
      </c>
    </row>
    <row r="249" spans="3:34">
      <c r="C249" s="304">
        <f t="shared" si="49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1">O248</f>
        <v>#VALUE!</v>
      </c>
      <c r="P249" s="305" t="e">
        <f t="shared" si="51"/>
        <v>#VALUE!</v>
      </c>
      <c r="Q249" s="305" t="e">
        <f t="shared" si="51"/>
        <v>#VALUE!</v>
      </c>
      <c r="R249" s="305" t="e">
        <f t="shared" si="51"/>
        <v>#VALUE!</v>
      </c>
      <c r="S249" s="305" t="e">
        <f t="shared" si="51"/>
        <v>#VALUE!</v>
      </c>
      <c r="T249" s="305" t="e">
        <f t="shared" si="51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8"/>
        <v>#VALUE!</v>
      </c>
    </row>
    <row r="250" spans="3:34">
      <c r="C250" s="304">
        <f t="shared" si="49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1"/>
        <v>#VALUE!</v>
      </c>
      <c r="Q250" s="305" t="e">
        <f t="shared" si="51"/>
        <v>#VALUE!</v>
      </c>
      <c r="R250" s="305" t="e">
        <f t="shared" si="51"/>
        <v>#VALUE!</v>
      </c>
      <c r="S250" s="305" t="e">
        <f t="shared" si="51"/>
        <v>#VALUE!</v>
      </c>
      <c r="T250" s="305" t="e">
        <f t="shared" si="51"/>
        <v>#VALUE!</v>
      </c>
      <c r="U250" s="305" t="e">
        <f t="shared" si="51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8"/>
        <v>#VALUE!</v>
      </c>
    </row>
    <row r="251" spans="3:34">
      <c r="C251" s="304">
        <f t="shared" si="49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1"/>
        <v>#VALUE!</v>
      </c>
      <c r="R251" s="305" t="e">
        <f t="shared" si="51"/>
        <v>#VALUE!</v>
      </c>
      <c r="S251" s="305" t="e">
        <f t="shared" si="51"/>
        <v>#VALUE!</v>
      </c>
      <c r="T251" s="305" t="e">
        <f t="shared" si="51"/>
        <v>#VALUE!</v>
      </c>
      <c r="U251" s="305" t="e">
        <f t="shared" si="51"/>
        <v>#VALUE!</v>
      </c>
      <c r="V251" s="305" t="e">
        <f t="shared" si="51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8"/>
        <v>#VALUE!</v>
      </c>
    </row>
    <row r="252" spans="3:34">
      <c r="C252" s="304">
        <f t="shared" si="49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1"/>
        <v>#VALUE!</v>
      </c>
      <c r="S252" s="305" t="e">
        <f t="shared" si="51"/>
        <v>#VALUE!</v>
      </c>
      <c r="T252" s="305" t="e">
        <f t="shared" si="51"/>
        <v>#VALUE!</v>
      </c>
      <c r="U252" s="305" t="e">
        <f t="shared" si="51"/>
        <v>#VALUE!</v>
      </c>
      <c r="V252" s="305" t="e">
        <f t="shared" si="51"/>
        <v>#VALUE!</v>
      </c>
      <c r="W252" s="305" t="e">
        <f t="shared" si="51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8"/>
        <v>#VALUE!</v>
      </c>
    </row>
    <row r="253" spans="3:34">
      <c r="C253" s="304">
        <f t="shared" si="49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1"/>
        <v>#VALUE!</v>
      </c>
      <c r="T253" s="305" t="e">
        <f t="shared" si="51"/>
        <v>#VALUE!</v>
      </c>
      <c r="U253" s="305" t="e">
        <f t="shared" si="51"/>
        <v>#VALUE!</v>
      </c>
      <c r="V253" s="305" t="e">
        <f t="shared" si="51"/>
        <v>#VALUE!</v>
      </c>
      <c r="W253" s="305" t="e">
        <f t="shared" si="51"/>
        <v>#VALUE!</v>
      </c>
      <c r="X253" s="305" t="e">
        <f t="shared" si="51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8"/>
        <v>#VALUE!</v>
      </c>
    </row>
    <row r="254" spans="3:34">
      <c r="C254" s="304">
        <f t="shared" si="49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1"/>
        <v>#VALUE!</v>
      </c>
      <c r="U254" s="305" t="e">
        <f t="shared" si="51"/>
        <v>#VALUE!</v>
      </c>
      <c r="V254" s="305" t="e">
        <f t="shared" si="51"/>
        <v>#VALUE!</v>
      </c>
      <c r="W254" s="305" t="e">
        <f t="shared" si="51"/>
        <v>#VALUE!</v>
      </c>
      <c r="X254" s="305" t="e">
        <f t="shared" si="51"/>
        <v>#VALUE!</v>
      </c>
      <c r="Y254" s="305" t="e">
        <f t="shared" si="51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8"/>
        <v>#VALUE!</v>
      </c>
    </row>
    <row r="255" spans="3:34">
      <c r="C255" s="304">
        <f t="shared" si="49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1"/>
        <v>#VALUE!</v>
      </c>
      <c r="V255" s="305" t="e">
        <f t="shared" si="51"/>
        <v>#VALUE!</v>
      </c>
      <c r="W255" s="305" t="e">
        <f t="shared" si="51"/>
        <v>#VALUE!</v>
      </c>
      <c r="X255" s="305" t="e">
        <f t="shared" si="51"/>
        <v>#VALUE!</v>
      </c>
      <c r="Y255" s="305" t="e">
        <f t="shared" si="51"/>
        <v>#VALUE!</v>
      </c>
      <c r="Z255" s="305" t="e">
        <f t="shared" si="51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8"/>
        <v>#VALUE!</v>
      </c>
    </row>
    <row r="256" spans="3:34">
      <c r="C256" s="304">
        <f t="shared" si="49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1"/>
        <v>#VALUE!</v>
      </c>
      <c r="W256" s="305" t="e">
        <f t="shared" si="51"/>
        <v>#VALUE!</v>
      </c>
      <c r="X256" s="305" t="e">
        <f t="shared" si="51"/>
        <v>#VALUE!</v>
      </c>
      <c r="Y256" s="305" t="e">
        <f t="shared" si="51"/>
        <v>#VALUE!</v>
      </c>
      <c r="Z256" s="305" t="e">
        <f t="shared" si="51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8"/>
        <v>#VALUE!</v>
      </c>
    </row>
    <row r="257" spans="1:34">
      <c r="C257" s="304">
        <f t="shared" si="49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1"/>
        <v>#VALUE!</v>
      </c>
      <c r="X257" s="305" t="e">
        <f t="shared" si="51"/>
        <v>#VALUE!</v>
      </c>
      <c r="Y257" s="305" t="e">
        <f t="shared" si="51"/>
        <v>#VALUE!</v>
      </c>
      <c r="Z257" s="305" t="e">
        <f t="shared" si="51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8"/>
        <v>#VALUE!</v>
      </c>
    </row>
    <row r="258" spans="1:34">
      <c r="C258" s="304">
        <f t="shared" si="49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1"/>
        <v>#VALUE!</v>
      </c>
      <c r="Y258" s="305" t="e">
        <f t="shared" si="51"/>
        <v>#VALUE!</v>
      </c>
      <c r="Z258" s="305" t="e">
        <f t="shared" si="51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8"/>
        <v>#VALUE!</v>
      </c>
    </row>
    <row r="259" spans="1:34">
      <c r="C259" s="304">
        <f t="shared" si="49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1"/>
        <v>#VALUE!</v>
      </c>
      <c r="Z259" s="305" t="e">
        <f t="shared" si="51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8"/>
        <v>#VALUE!</v>
      </c>
    </row>
    <row r="260" spans="1:34" ht="13.5" thickBot="1">
      <c r="C260" s="304">
        <f t="shared" si="49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1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8"/>
        <v>#VALUE!</v>
      </c>
    </row>
    <row r="261" spans="1:34" ht="14.25" thickTop="1" thickBot="1">
      <c r="C261" s="311" t="s">
        <v>0</v>
      </c>
      <c r="D261" s="328" t="e">
        <f t="shared" ref="D261:AH261" si="52">SUM(D230:D260)</f>
        <v>#VALUE!</v>
      </c>
      <c r="E261" s="328" t="e">
        <f t="shared" si="52"/>
        <v>#VALUE!</v>
      </c>
      <c r="F261" s="328" t="e">
        <f t="shared" si="52"/>
        <v>#VALUE!</v>
      </c>
      <c r="G261" s="328" t="e">
        <f t="shared" si="52"/>
        <v>#VALUE!</v>
      </c>
      <c r="H261" s="328" t="e">
        <f t="shared" si="52"/>
        <v>#VALUE!</v>
      </c>
      <c r="I261" s="328" t="e">
        <f t="shared" si="52"/>
        <v>#VALUE!</v>
      </c>
      <c r="J261" s="328" t="e">
        <f t="shared" si="52"/>
        <v>#VALUE!</v>
      </c>
      <c r="K261" s="328" t="e">
        <f t="shared" si="52"/>
        <v>#VALUE!</v>
      </c>
      <c r="L261" s="328" t="e">
        <f t="shared" si="52"/>
        <v>#VALUE!</v>
      </c>
      <c r="M261" s="328" t="e">
        <f t="shared" si="52"/>
        <v>#VALUE!</v>
      </c>
      <c r="N261" s="328" t="e">
        <f t="shared" si="52"/>
        <v>#VALUE!</v>
      </c>
      <c r="O261" s="328" t="e">
        <f t="shared" si="52"/>
        <v>#VALUE!</v>
      </c>
      <c r="P261" s="328" t="e">
        <f t="shared" si="52"/>
        <v>#VALUE!</v>
      </c>
      <c r="Q261" s="328" t="e">
        <f t="shared" si="52"/>
        <v>#VALUE!</v>
      </c>
      <c r="R261" s="328" t="e">
        <f t="shared" si="52"/>
        <v>#VALUE!</v>
      </c>
      <c r="S261" s="328" t="e">
        <f t="shared" si="52"/>
        <v>#VALUE!</v>
      </c>
      <c r="T261" s="328" t="e">
        <f t="shared" si="52"/>
        <v>#VALUE!</v>
      </c>
      <c r="U261" s="328" t="e">
        <f t="shared" si="52"/>
        <v>#VALUE!</v>
      </c>
      <c r="V261" s="328" t="e">
        <f t="shared" si="52"/>
        <v>#VALUE!</v>
      </c>
      <c r="W261" s="328" t="e">
        <f t="shared" si="52"/>
        <v>#VALUE!</v>
      </c>
      <c r="X261" s="328" t="e">
        <f t="shared" si="52"/>
        <v>#VALUE!</v>
      </c>
      <c r="Y261" s="328" t="e">
        <f t="shared" si="52"/>
        <v>#VALUE!</v>
      </c>
      <c r="Z261" s="328" t="e">
        <f t="shared" si="52"/>
        <v>#VALUE!</v>
      </c>
      <c r="AA261" s="328" t="e">
        <f t="shared" si="52"/>
        <v>#VALUE!</v>
      </c>
      <c r="AB261" s="328" t="e">
        <f t="shared" si="52"/>
        <v>#VALUE!</v>
      </c>
      <c r="AC261" s="328" t="e">
        <f t="shared" si="52"/>
        <v>#VALUE!</v>
      </c>
      <c r="AD261" s="328" t="e">
        <f t="shared" si="52"/>
        <v>#VALUE!</v>
      </c>
      <c r="AE261" s="328" t="e">
        <f t="shared" si="52"/>
        <v>#VALUE!</v>
      </c>
      <c r="AF261" s="329" t="e">
        <f t="shared" si="52"/>
        <v>#VALUE!</v>
      </c>
      <c r="AG261" s="328" t="e">
        <f t="shared" si="52"/>
        <v>#VALUE!</v>
      </c>
      <c r="AH261" s="315" t="e">
        <f t="shared" si="52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3">D267+1</f>
        <v>2</v>
      </c>
      <c r="F267" s="302">
        <f t="shared" si="53"/>
        <v>3</v>
      </c>
      <c r="G267" s="302">
        <f t="shared" si="53"/>
        <v>4</v>
      </c>
      <c r="H267" s="302">
        <f t="shared" si="53"/>
        <v>5</v>
      </c>
      <c r="I267" s="302">
        <f t="shared" si="53"/>
        <v>6</v>
      </c>
      <c r="J267" s="302">
        <f t="shared" si="53"/>
        <v>7</v>
      </c>
      <c r="K267" s="302">
        <f t="shared" si="53"/>
        <v>8</v>
      </c>
      <c r="L267" s="302">
        <f t="shared" si="53"/>
        <v>9</v>
      </c>
      <c r="M267" s="302">
        <f t="shared" si="53"/>
        <v>10</v>
      </c>
      <c r="N267" s="302">
        <f t="shared" si="53"/>
        <v>11</v>
      </c>
      <c r="O267" s="302">
        <f t="shared" si="53"/>
        <v>12</v>
      </c>
      <c r="P267" s="302">
        <f t="shared" si="53"/>
        <v>13</v>
      </c>
      <c r="Q267" s="302">
        <f t="shared" si="53"/>
        <v>14</v>
      </c>
      <c r="R267" s="302">
        <f t="shared" si="53"/>
        <v>15</v>
      </c>
      <c r="S267" s="302">
        <f t="shared" si="53"/>
        <v>16</v>
      </c>
      <c r="T267" s="302">
        <f t="shared" si="53"/>
        <v>17</v>
      </c>
      <c r="U267" s="302">
        <f t="shared" si="53"/>
        <v>18</v>
      </c>
      <c r="V267" s="302">
        <f t="shared" si="53"/>
        <v>19</v>
      </c>
      <c r="W267" s="302">
        <f t="shared" si="53"/>
        <v>20</v>
      </c>
      <c r="X267" s="302">
        <f t="shared" si="53"/>
        <v>21</v>
      </c>
      <c r="Y267" s="302">
        <f t="shared" si="53"/>
        <v>22</v>
      </c>
      <c r="Z267" s="302">
        <f t="shared" si="53"/>
        <v>23</v>
      </c>
      <c r="AA267" s="302">
        <f t="shared" si="53"/>
        <v>24</v>
      </c>
      <c r="AB267" s="302">
        <f t="shared" si="53"/>
        <v>25</v>
      </c>
      <c r="AC267" s="302">
        <f t="shared" si="53"/>
        <v>26</v>
      </c>
      <c r="AD267" s="302">
        <f t="shared" si="53"/>
        <v>27</v>
      </c>
      <c r="AE267" s="302">
        <f t="shared" si="53"/>
        <v>28</v>
      </c>
      <c r="AF267" s="302">
        <f t="shared" si="53"/>
        <v>29</v>
      </c>
      <c r="AG267" s="302">
        <f t="shared" si="53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4">SUM(D268:AG268)</f>
        <v>0</v>
      </c>
    </row>
    <row r="269" spans="1:34">
      <c r="C269" s="307">
        <f t="shared" ref="C269:C298" si="55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4"/>
        <v>0</v>
      </c>
    </row>
    <row r="270" spans="1:34">
      <c r="C270" s="307">
        <f t="shared" si="55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4"/>
        <v>#VALUE!</v>
      </c>
    </row>
    <row r="271" spans="1:34">
      <c r="C271" s="307">
        <f t="shared" si="55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4"/>
        <v>#VALUE!</v>
      </c>
    </row>
    <row r="272" spans="1:34">
      <c r="C272" s="307">
        <f t="shared" si="55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4"/>
        <v>#VALUE!</v>
      </c>
    </row>
    <row r="273" spans="3:34">
      <c r="C273" s="307">
        <f t="shared" si="55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4"/>
        <v>#VALUE!</v>
      </c>
    </row>
    <row r="274" spans="3:34">
      <c r="C274" s="307">
        <f t="shared" si="55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4"/>
        <v>#VALUE!</v>
      </c>
    </row>
    <row r="275" spans="3:34">
      <c r="C275" s="307">
        <f t="shared" si="55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4"/>
        <v>#VALUE!</v>
      </c>
    </row>
    <row r="276" spans="3:34">
      <c r="C276" s="307">
        <f t="shared" si="55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4"/>
        <v>#VALUE!</v>
      </c>
    </row>
    <row r="277" spans="3:34">
      <c r="C277" s="307">
        <f t="shared" si="55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4"/>
        <v>#VALUE!</v>
      </c>
    </row>
    <row r="278" spans="3:34">
      <c r="C278" s="307">
        <f t="shared" si="55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4"/>
        <v>#VALUE!</v>
      </c>
    </row>
    <row r="279" spans="3:34">
      <c r="C279" s="307">
        <f t="shared" si="55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4"/>
        <v>#VALUE!</v>
      </c>
    </row>
    <row r="280" spans="3:34">
      <c r="C280" s="307">
        <f t="shared" si="55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4"/>
        <v>#VALUE!</v>
      </c>
    </row>
    <row r="281" spans="3:34">
      <c r="C281" s="307">
        <f t="shared" si="55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4"/>
        <v>#VALUE!</v>
      </c>
    </row>
    <row r="282" spans="3:34">
      <c r="C282" s="307">
        <f t="shared" si="55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4"/>
        <v>#VALUE!</v>
      </c>
    </row>
    <row r="283" spans="3:34">
      <c r="C283" s="307">
        <f t="shared" si="55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4"/>
        <v>#VALUE!</v>
      </c>
    </row>
    <row r="284" spans="3:34">
      <c r="C284" s="307">
        <f t="shared" si="55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4"/>
        <v>#VALUE!</v>
      </c>
    </row>
    <row r="285" spans="3:34">
      <c r="C285" s="307">
        <f t="shared" si="55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4"/>
        <v>#VALUE!</v>
      </c>
    </row>
    <row r="286" spans="3:34">
      <c r="C286" s="307">
        <f t="shared" si="55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4"/>
        <v>#VALUE!</v>
      </c>
    </row>
    <row r="287" spans="3:34">
      <c r="C287" s="307">
        <f t="shared" si="55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4"/>
        <v>#VALUE!</v>
      </c>
    </row>
    <row r="288" spans="3:34">
      <c r="C288" s="307">
        <f t="shared" si="55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4"/>
        <v>#VALUE!</v>
      </c>
    </row>
    <row r="289" spans="1:34">
      <c r="C289" s="307">
        <f t="shared" si="55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4"/>
        <v>#VALUE!</v>
      </c>
    </row>
    <row r="290" spans="1:34">
      <c r="C290" s="307">
        <f t="shared" si="55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4"/>
        <v>#VALUE!</v>
      </c>
    </row>
    <row r="291" spans="1:34">
      <c r="C291" s="307">
        <f t="shared" si="55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4"/>
        <v>#VALUE!</v>
      </c>
    </row>
    <row r="292" spans="1:34">
      <c r="C292" s="307">
        <f t="shared" si="55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4"/>
        <v>#VALUE!</v>
      </c>
    </row>
    <row r="293" spans="1:34">
      <c r="C293" s="307">
        <f t="shared" si="55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4"/>
        <v>#VALUE!</v>
      </c>
    </row>
    <row r="294" spans="1:34">
      <c r="C294" s="307">
        <f t="shared" si="55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4"/>
        <v>#VALUE!</v>
      </c>
    </row>
    <row r="295" spans="1:34">
      <c r="C295" s="307">
        <f t="shared" si="55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4"/>
        <v>#VALUE!</v>
      </c>
    </row>
    <row r="296" spans="1:34">
      <c r="C296" s="307">
        <f t="shared" si="55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4"/>
        <v>#VALUE!</v>
      </c>
    </row>
    <row r="297" spans="1:34">
      <c r="C297" s="307">
        <f t="shared" si="55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4"/>
        <v>#VALUE!</v>
      </c>
    </row>
    <row r="298" spans="1:34" ht="13.5" thickBot="1">
      <c r="C298" s="307">
        <f t="shared" si="55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4"/>
        <v>#VALUE!</v>
      </c>
    </row>
    <row r="299" spans="1:34" ht="14.25" thickTop="1" thickBot="1">
      <c r="C299" s="311" t="s">
        <v>0</v>
      </c>
      <c r="D299" s="328" t="e">
        <f t="shared" ref="D299:AH299" si="56">SUM(D268:D298)</f>
        <v>#VALUE!</v>
      </c>
      <c r="E299" s="328" t="e">
        <f t="shared" si="56"/>
        <v>#VALUE!</v>
      </c>
      <c r="F299" s="328" t="e">
        <f t="shared" si="56"/>
        <v>#VALUE!</v>
      </c>
      <c r="G299" s="328" t="e">
        <f t="shared" si="56"/>
        <v>#VALUE!</v>
      </c>
      <c r="H299" s="328" t="e">
        <f t="shared" si="56"/>
        <v>#VALUE!</v>
      </c>
      <c r="I299" s="328" t="e">
        <f t="shared" si="56"/>
        <v>#VALUE!</v>
      </c>
      <c r="J299" s="328" t="e">
        <f t="shared" si="56"/>
        <v>#VALUE!</v>
      </c>
      <c r="K299" s="328" t="e">
        <f t="shared" si="56"/>
        <v>#VALUE!</v>
      </c>
      <c r="L299" s="340" t="e">
        <f t="shared" si="56"/>
        <v>#VALUE!</v>
      </c>
      <c r="M299" s="340" t="e">
        <f t="shared" si="56"/>
        <v>#VALUE!</v>
      </c>
      <c r="N299" s="328" t="e">
        <f t="shared" si="56"/>
        <v>#VALUE!</v>
      </c>
      <c r="O299" s="328" t="e">
        <f t="shared" si="56"/>
        <v>#VALUE!</v>
      </c>
      <c r="P299" s="328" t="e">
        <f t="shared" si="56"/>
        <v>#VALUE!</v>
      </c>
      <c r="Q299" s="328" t="e">
        <f t="shared" si="56"/>
        <v>#VALUE!</v>
      </c>
      <c r="R299" s="328" t="e">
        <f t="shared" si="56"/>
        <v>#VALUE!</v>
      </c>
      <c r="S299" s="328" t="e">
        <f t="shared" si="56"/>
        <v>#VALUE!</v>
      </c>
      <c r="T299" s="328" t="e">
        <f t="shared" si="56"/>
        <v>#VALUE!</v>
      </c>
      <c r="U299" s="328" t="e">
        <f t="shared" si="56"/>
        <v>#VALUE!</v>
      </c>
      <c r="V299" s="328" t="e">
        <f t="shared" si="56"/>
        <v>#VALUE!</v>
      </c>
      <c r="W299" s="328" t="e">
        <f t="shared" si="56"/>
        <v>#VALUE!</v>
      </c>
      <c r="X299" s="328" t="e">
        <f t="shared" si="56"/>
        <v>#VALUE!</v>
      </c>
      <c r="Y299" s="328" t="e">
        <f t="shared" si="56"/>
        <v>#VALUE!</v>
      </c>
      <c r="Z299" s="328" t="e">
        <f t="shared" si="56"/>
        <v>#VALUE!</v>
      </c>
      <c r="AA299" s="328" t="e">
        <f t="shared" si="56"/>
        <v>#VALUE!</v>
      </c>
      <c r="AB299" s="328" t="e">
        <f t="shared" si="56"/>
        <v>#VALUE!</v>
      </c>
      <c r="AC299" s="328" t="e">
        <f t="shared" si="56"/>
        <v>#VALUE!</v>
      </c>
      <c r="AD299" s="328" t="e">
        <f t="shared" si="56"/>
        <v>#VALUE!</v>
      </c>
      <c r="AE299" s="328" t="e">
        <f t="shared" si="56"/>
        <v>#VALUE!</v>
      </c>
      <c r="AF299" s="329" t="e">
        <f t="shared" si="56"/>
        <v>#VALUE!</v>
      </c>
      <c r="AG299" s="328" t="e">
        <f t="shared" si="56"/>
        <v>#VALUE!</v>
      </c>
      <c r="AH299" s="315" t="e">
        <f t="shared" si="56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7">D305+1</f>
        <v>2</v>
      </c>
      <c r="F305" s="302">
        <f t="shared" si="57"/>
        <v>3</v>
      </c>
      <c r="G305" s="302">
        <f t="shared" si="57"/>
        <v>4</v>
      </c>
      <c r="H305" s="302">
        <f t="shared" si="57"/>
        <v>5</v>
      </c>
      <c r="I305" s="302">
        <f t="shared" si="57"/>
        <v>6</v>
      </c>
      <c r="J305" s="302">
        <f t="shared" si="57"/>
        <v>7</v>
      </c>
      <c r="K305" s="302">
        <f t="shared" si="57"/>
        <v>8</v>
      </c>
      <c r="L305" s="302">
        <f t="shared" si="57"/>
        <v>9</v>
      </c>
      <c r="M305" s="302">
        <f t="shared" si="57"/>
        <v>10</v>
      </c>
      <c r="N305" s="302">
        <f t="shared" si="57"/>
        <v>11</v>
      </c>
      <c r="O305" s="302">
        <f t="shared" si="57"/>
        <v>12</v>
      </c>
      <c r="P305" s="302">
        <f t="shared" si="57"/>
        <v>13</v>
      </c>
      <c r="Q305" s="302">
        <f t="shared" si="57"/>
        <v>14</v>
      </c>
      <c r="R305" s="302">
        <f t="shared" si="57"/>
        <v>15</v>
      </c>
      <c r="S305" s="302">
        <f t="shared" si="57"/>
        <v>16</v>
      </c>
      <c r="T305" s="302">
        <f t="shared" si="57"/>
        <v>17</v>
      </c>
      <c r="U305" s="302">
        <f t="shared" si="57"/>
        <v>18</v>
      </c>
      <c r="V305" s="302">
        <f t="shared" si="57"/>
        <v>19</v>
      </c>
      <c r="W305" s="302">
        <f t="shared" si="57"/>
        <v>20</v>
      </c>
      <c r="X305" s="302">
        <f t="shared" si="57"/>
        <v>21</v>
      </c>
      <c r="Y305" s="302">
        <f t="shared" si="57"/>
        <v>22</v>
      </c>
      <c r="Z305" s="302">
        <f t="shared" si="57"/>
        <v>23</v>
      </c>
      <c r="AA305" s="302">
        <f t="shared" si="57"/>
        <v>24</v>
      </c>
      <c r="AB305" s="302">
        <f t="shared" si="57"/>
        <v>25</v>
      </c>
      <c r="AC305" s="302">
        <f t="shared" si="57"/>
        <v>26</v>
      </c>
      <c r="AD305" s="302">
        <f t="shared" si="57"/>
        <v>27</v>
      </c>
      <c r="AE305" s="302">
        <f t="shared" si="57"/>
        <v>28</v>
      </c>
      <c r="AF305" s="302">
        <f t="shared" si="57"/>
        <v>29</v>
      </c>
      <c r="AG305" s="302">
        <f t="shared" si="57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8">SUM(D306:AG306)</f>
        <v>0</v>
      </c>
    </row>
    <row r="307" spans="3:34">
      <c r="C307" s="307">
        <f t="shared" ref="C307:C336" si="59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8"/>
        <v>0</v>
      </c>
    </row>
    <row r="308" spans="3:34">
      <c r="C308" s="307">
        <f t="shared" si="59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8"/>
        <v>#VALUE!</v>
      </c>
    </row>
    <row r="309" spans="3:34">
      <c r="C309" s="307">
        <f t="shared" si="59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8"/>
        <v>#VALUE!</v>
      </c>
    </row>
    <row r="310" spans="3:34">
      <c r="C310" s="307">
        <f t="shared" si="59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8"/>
        <v>#VALUE!</v>
      </c>
    </row>
    <row r="311" spans="3:34">
      <c r="C311" s="307">
        <f t="shared" si="59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8"/>
        <v>#VALUE!</v>
      </c>
    </row>
    <row r="312" spans="3:34">
      <c r="C312" s="307">
        <f t="shared" si="59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8"/>
        <v>#VALUE!</v>
      </c>
    </row>
    <row r="313" spans="3:34">
      <c r="C313" s="307">
        <f t="shared" si="59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8"/>
        <v>#VALUE!</v>
      </c>
    </row>
    <row r="314" spans="3:34">
      <c r="C314" s="307">
        <f t="shared" si="59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8"/>
        <v>#VALUE!</v>
      </c>
    </row>
    <row r="315" spans="3:34">
      <c r="C315" s="307">
        <f t="shared" si="59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8"/>
        <v>#VALUE!</v>
      </c>
    </row>
    <row r="316" spans="3:34">
      <c r="C316" s="307">
        <f t="shared" si="59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8"/>
        <v>#VALUE!</v>
      </c>
    </row>
    <row r="317" spans="3:34">
      <c r="C317" s="307">
        <f t="shared" si="59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8"/>
        <v>#VALUE!</v>
      </c>
    </row>
    <row r="318" spans="3:34">
      <c r="C318" s="307">
        <f t="shared" si="59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8"/>
        <v>#VALUE!</v>
      </c>
    </row>
    <row r="319" spans="3:34">
      <c r="C319" s="307">
        <f t="shared" si="59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8"/>
        <v>#VALUE!</v>
      </c>
    </row>
    <row r="320" spans="3:34">
      <c r="C320" s="307">
        <f t="shared" si="59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8"/>
        <v>#VALUE!</v>
      </c>
    </row>
    <row r="321" spans="3:34">
      <c r="C321" s="307">
        <f t="shared" si="59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8"/>
        <v>#VALUE!</v>
      </c>
    </row>
    <row r="322" spans="3:34">
      <c r="C322" s="307">
        <f t="shared" si="59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8"/>
        <v>#VALUE!</v>
      </c>
    </row>
    <row r="323" spans="3:34">
      <c r="C323" s="307">
        <f t="shared" si="59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8"/>
        <v>#VALUE!</v>
      </c>
    </row>
    <row r="324" spans="3:34">
      <c r="C324" s="307">
        <f t="shared" si="59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8"/>
        <v>#VALUE!</v>
      </c>
    </row>
    <row r="325" spans="3:34">
      <c r="C325" s="307">
        <f t="shared" si="59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8"/>
        <v>#VALUE!</v>
      </c>
    </row>
    <row r="326" spans="3:34">
      <c r="C326" s="307">
        <f t="shared" si="59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8"/>
        <v>#VALUE!</v>
      </c>
    </row>
    <row r="327" spans="3:34">
      <c r="C327" s="307">
        <f t="shared" si="59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8"/>
        <v>#VALUE!</v>
      </c>
    </row>
    <row r="328" spans="3:34">
      <c r="C328" s="307">
        <f t="shared" si="59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8"/>
        <v>#VALUE!</v>
      </c>
    </row>
    <row r="329" spans="3:34">
      <c r="C329" s="307">
        <f t="shared" si="59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8"/>
        <v>#VALUE!</v>
      </c>
    </row>
    <row r="330" spans="3:34">
      <c r="C330" s="307">
        <f t="shared" si="59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8"/>
        <v>#VALUE!</v>
      </c>
    </row>
    <row r="331" spans="3:34">
      <c r="C331" s="307">
        <f t="shared" si="59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8"/>
        <v>#VALUE!</v>
      </c>
    </row>
    <row r="332" spans="3:34">
      <c r="C332" s="307">
        <f t="shared" si="59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8"/>
        <v>#VALUE!</v>
      </c>
    </row>
    <row r="333" spans="3:34">
      <c r="C333" s="307">
        <f t="shared" si="59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8"/>
        <v>#VALUE!</v>
      </c>
    </row>
    <row r="334" spans="3:34">
      <c r="C334" s="307">
        <f t="shared" si="59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8"/>
        <v>#VALUE!</v>
      </c>
    </row>
    <row r="335" spans="3:34">
      <c r="C335" s="307">
        <f t="shared" si="59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8"/>
        <v>#VALUE!</v>
      </c>
    </row>
    <row r="336" spans="3:34" ht="13.5" thickBot="1">
      <c r="C336" s="307">
        <f t="shared" si="59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8"/>
        <v>#VALUE!</v>
      </c>
    </row>
    <row r="337" spans="3:34" ht="14.25" thickTop="1" thickBot="1">
      <c r="C337" s="311" t="s">
        <v>0</v>
      </c>
      <c r="D337" s="328" t="e">
        <f t="shared" ref="D337:AH337" si="60">SUM(D306:D336)</f>
        <v>#VALUE!</v>
      </c>
      <c r="E337" s="328" t="e">
        <f t="shared" si="60"/>
        <v>#VALUE!</v>
      </c>
      <c r="F337" s="328" t="e">
        <f t="shared" si="60"/>
        <v>#VALUE!</v>
      </c>
      <c r="G337" s="328" t="e">
        <f t="shared" si="60"/>
        <v>#VALUE!</v>
      </c>
      <c r="H337" s="328" t="e">
        <f t="shared" si="60"/>
        <v>#VALUE!</v>
      </c>
      <c r="I337" s="328" t="e">
        <f t="shared" si="60"/>
        <v>#VALUE!</v>
      </c>
      <c r="J337" s="328" t="e">
        <f t="shared" si="60"/>
        <v>#VALUE!</v>
      </c>
      <c r="K337" s="328" t="e">
        <f t="shared" si="60"/>
        <v>#VALUE!</v>
      </c>
      <c r="L337" s="328" t="e">
        <f t="shared" si="60"/>
        <v>#VALUE!</v>
      </c>
      <c r="M337" s="336" t="e">
        <f t="shared" si="60"/>
        <v>#VALUE!</v>
      </c>
      <c r="N337" s="328" t="e">
        <f t="shared" si="60"/>
        <v>#VALUE!</v>
      </c>
      <c r="O337" s="328" t="e">
        <f t="shared" si="60"/>
        <v>#VALUE!</v>
      </c>
      <c r="P337" s="328" t="e">
        <f t="shared" si="60"/>
        <v>#VALUE!</v>
      </c>
      <c r="Q337" s="328" t="e">
        <f t="shared" si="60"/>
        <v>#VALUE!</v>
      </c>
      <c r="R337" s="328" t="e">
        <f t="shared" si="60"/>
        <v>#VALUE!</v>
      </c>
      <c r="S337" s="328" t="e">
        <f t="shared" si="60"/>
        <v>#VALUE!</v>
      </c>
      <c r="T337" s="328" t="e">
        <f t="shared" si="60"/>
        <v>#VALUE!</v>
      </c>
      <c r="U337" s="328" t="e">
        <f t="shared" si="60"/>
        <v>#VALUE!</v>
      </c>
      <c r="V337" s="328" t="e">
        <f t="shared" si="60"/>
        <v>#VALUE!</v>
      </c>
      <c r="W337" s="328" t="e">
        <f t="shared" si="60"/>
        <v>#VALUE!</v>
      </c>
      <c r="X337" s="328" t="e">
        <f t="shared" si="60"/>
        <v>#VALUE!</v>
      </c>
      <c r="Y337" s="328" t="e">
        <f t="shared" si="60"/>
        <v>#VALUE!</v>
      </c>
      <c r="Z337" s="328" t="e">
        <f t="shared" si="60"/>
        <v>#VALUE!</v>
      </c>
      <c r="AA337" s="328" t="e">
        <f t="shared" si="60"/>
        <v>#VALUE!</v>
      </c>
      <c r="AB337" s="328" t="e">
        <f t="shared" si="60"/>
        <v>#VALUE!</v>
      </c>
      <c r="AC337" s="328" t="e">
        <f t="shared" si="60"/>
        <v>#VALUE!</v>
      </c>
      <c r="AD337" s="328" t="e">
        <f t="shared" si="60"/>
        <v>#VALUE!</v>
      </c>
      <c r="AE337" s="328" t="e">
        <f t="shared" si="60"/>
        <v>#VALUE!</v>
      </c>
      <c r="AF337" s="329" t="e">
        <f t="shared" si="60"/>
        <v>#VALUE!</v>
      </c>
      <c r="AG337" s="329" t="e">
        <f t="shared" si="60"/>
        <v>#VALUE!</v>
      </c>
      <c r="AH337" s="315" t="e">
        <f t="shared" si="60"/>
        <v>#VALUE!</v>
      </c>
    </row>
    <row r="340" spans="3:34">
      <c r="C340" s="301" t="s">
        <v>1</v>
      </c>
      <c r="D340" s="302">
        <v>1</v>
      </c>
      <c r="E340" s="302">
        <f t="shared" ref="E340:AG340" si="61">D340+1</f>
        <v>2</v>
      </c>
      <c r="F340" s="302">
        <f t="shared" si="61"/>
        <v>3</v>
      </c>
      <c r="G340" s="302">
        <f t="shared" si="61"/>
        <v>4</v>
      </c>
      <c r="H340" s="302">
        <f t="shared" si="61"/>
        <v>5</v>
      </c>
      <c r="I340" s="302">
        <f t="shared" si="61"/>
        <v>6</v>
      </c>
      <c r="J340" s="302">
        <f t="shared" si="61"/>
        <v>7</v>
      </c>
      <c r="K340" s="302">
        <f t="shared" si="61"/>
        <v>8</v>
      </c>
      <c r="L340" s="302">
        <f t="shared" si="61"/>
        <v>9</v>
      </c>
      <c r="M340" s="302">
        <f t="shared" si="61"/>
        <v>10</v>
      </c>
      <c r="N340" s="302">
        <f t="shared" si="61"/>
        <v>11</v>
      </c>
      <c r="O340" s="302">
        <f t="shared" si="61"/>
        <v>12</v>
      </c>
      <c r="P340" s="302">
        <f t="shared" si="61"/>
        <v>13</v>
      </c>
      <c r="Q340" s="302">
        <f t="shared" si="61"/>
        <v>14</v>
      </c>
      <c r="R340" s="302">
        <f t="shared" si="61"/>
        <v>15</v>
      </c>
      <c r="S340" s="302">
        <f t="shared" si="61"/>
        <v>16</v>
      </c>
      <c r="T340" s="302">
        <f t="shared" si="61"/>
        <v>17</v>
      </c>
      <c r="U340" s="302">
        <f t="shared" si="61"/>
        <v>18</v>
      </c>
      <c r="V340" s="302">
        <f t="shared" si="61"/>
        <v>19</v>
      </c>
      <c r="W340" s="302">
        <f t="shared" si="61"/>
        <v>20</v>
      </c>
      <c r="X340" s="302">
        <f t="shared" si="61"/>
        <v>21</v>
      </c>
      <c r="Y340" s="302">
        <f t="shared" si="61"/>
        <v>22</v>
      </c>
      <c r="Z340" s="302">
        <f t="shared" si="61"/>
        <v>23</v>
      </c>
      <c r="AA340" s="302">
        <f t="shared" si="61"/>
        <v>24</v>
      </c>
      <c r="AB340" s="302">
        <f t="shared" si="61"/>
        <v>25</v>
      </c>
      <c r="AC340" s="302">
        <f t="shared" si="61"/>
        <v>26</v>
      </c>
      <c r="AD340" s="302">
        <f t="shared" si="61"/>
        <v>27</v>
      </c>
      <c r="AE340" s="302">
        <f t="shared" si="61"/>
        <v>28</v>
      </c>
      <c r="AF340" s="302">
        <f t="shared" si="61"/>
        <v>29</v>
      </c>
      <c r="AG340" s="302">
        <f t="shared" si="61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2">1+C341</f>
        <v>1</v>
      </c>
      <c r="AH342" s="341">
        <f t="shared" ref="AH342:AH371" ca="1" si="63">SUMIF($C$9:$AH$336,C342,$AH$9:$AH$336)</f>
        <v>0</v>
      </c>
    </row>
    <row r="343" spans="3:34">
      <c r="C343" s="307">
        <f t="shared" si="62"/>
        <v>2</v>
      </c>
      <c r="AH343" s="341" t="e">
        <f t="shared" ca="1" si="63"/>
        <v>#VALUE!</v>
      </c>
    </row>
    <row r="344" spans="3:34">
      <c r="C344" s="307">
        <f t="shared" si="62"/>
        <v>3</v>
      </c>
      <c r="AH344" s="341" t="e">
        <f t="shared" ca="1" si="63"/>
        <v>#VALUE!</v>
      </c>
    </row>
    <row r="345" spans="3:34">
      <c r="C345" s="307">
        <f t="shared" si="62"/>
        <v>4</v>
      </c>
      <c r="AH345" s="341" t="e">
        <f t="shared" ca="1" si="63"/>
        <v>#VALUE!</v>
      </c>
    </row>
    <row r="346" spans="3:34">
      <c r="C346" s="307">
        <f t="shared" si="62"/>
        <v>5</v>
      </c>
      <c r="AH346" s="341" t="e">
        <f t="shared" ca="1" si="63"/>
        <v>#VALUE!</v>
      </c>
    </row>
    <row r="347" spans="3:34">
      <c r="C347" s="307">
        <f t="shared" si="62"/>
        <v>6</v>
      </c>
      <c r="AH347" s="341" t="e">
        <f t="shared" ca="1" si="63"/>
        <v>#VALUE!</v>
      </c>
    </row>
    <row r="348" spans="3:34">
      <c r="C348" s="307">
        <f t="shared" si="62"/>
        <v>7</v>
      </c>
      <c r="AH348" s="341" t="e">
        <f t="shared" ca="1" si="63"/>
        <v>#VALUE!</v>
      </c>
    </row>
    <row r="349" spans="3:34">
      <c r="C349" s="307">
        <f t="shared" si="62"/>
        <v>8</v>
      </c>
      <c r="AH349" s="341" t="e">
        <f t="shared" ca="1" si="63"/>
        <v>#VALUE!</v>
      </c>
    </row>
    <row r="350" spans="3:34">
      <c r="C350" s="307">
        <f t="shared" si="62"/>
        <v>9</v>
      </c>
      <c r="AH350" s="341" t="e">
        <f t="shared" ca="1" si="63"/>
        <v>#VALUE!</v>
      </c>
    </row>
    <row r="351" spans="3:34">
      <c r="C351" s="307">
        <f t="shared" si="62"/>
        <v>10</v>
      </c>
      <c r="AH351" s="341" t="e">
        <f t="shared" ca="1" si="63"/>
        <v>#VALUE!</v>
      </c>
    </row>
    <row r="352" spans="3:34">
      <c r="C352" s="307">
        <f t="shared" si="62"/>
        <v>11</v>
      </c>
      <c r="AH352" s="341" t="e">
        <f t="shared" ca="1" si="63"/>
        <v>#VALUE!</v>
      </c>
    </row>
    <row r="353" spans="3:34">
      <c r="C353" s="307">
        <f t="shared" si="62"/>
        <v>12</v>
      </c>
      <c r="AH353" s="341" t="e">
        <f t="shared" ca="1" si="63"/>
        <v>#VALUE!</v>
      </c>
    </row>
    <row r="354" spans="3:34">
      <c r="C354" s="307">
        <f t="shared" si="62"/>
        <v>13</v>
      </c>
      <c r="AH354" s="341" t="e">
        <f t="shared" ca="1" si="63"/>
        <v>#VALUE!</v>
      </c>
    </row>
    <row r="355" spans="3:34">
      <c r="C355" s="307">
        <f t="shared" si="62"/>
        <v>14</v>
      </c>
      <c r="AH355" s="341" t="e">
        <f t="shared" ca="1" si="63"/>
        <v>#VALUE!</v>
      </c>
    </row>
    <row r="356" spans="3:34">
      <c r="C356" s="307">
        <f t="shared" si="62"/>
        <v>15</v>
      </c>
      <c r="AH356" s="341" t="e">
        <f t="shared" ca="1" si="63"/>
        <v>#VALUE!</v>
      </c>
    </row>
    <row r="357" spans="3:34">
      <c r="C357" s="307">
        <f t="shared" si="62"/>
        <v>16</v>
      </c>
      <c r="AH357" s="341" t="e">
        <f t="shared" ca="1" si="63"/>
        <v>#VALUE!</v>
      </c>
    </row>
    <row r="358" spans="3:34">
      <c r="C358" s="307">
        <f t="shared" si="62"/>
        <v>17</v>
      </c>
      <c r="AH358" s="341" t="e">
        <f t="shared" ca="1" si="63"/>
        <v>#VALUE!</v>
      </c>
    </row>
    <row r="359" spans="3:34">
      <c r="C359" s="307">
        <f t="shared" si="62"/>
        <v>18</v>
      </c>
      <c r="AH359" s="341" t="e">
        <f t="shared" ca="1" si="63"/>
        <v>#VALUE!</v>
      </c>
    </row>
    <row r="360" spans="3:34">
      <c r="C360" s="307">
        <f t="shared" si="62"/>
        <v>19</v>
      </c>
      <c r="AH360" s="341" t="e">
        <f t="shared" ca="1" si="63"/>
        <v>#VALUE!</v>
      </c>
    </row>
    <row r="361" spans="3:34">
      <c r="C361" s="307">
        <f t="shared" si="62"/>
        <v>20</v>
      </c>
      <c r="AH361" s="341" t="e">
        <f t="shared" ca="1" si="63"/>
        <v>#VALUE!</v>
      </c>
    </row>
    <row r="362" spans="3:34">
      <c r="C362" s="307">
        <f t="shared" si="62"/>
        <v>21</v>
      </c>
      <c r="AH362" s="341" t="e">
        <f t="shared" ca="1" si="63"/>
        <v>#VALUE!</v>
      </c>
    </row>
    <row r="363" spans="3:34">
      <c r="C363" s="307">
        <f t="shared" si="62"/>
        <v>22</v>
      </c>
      <c r="AH363" s="341" t="e">
        <f t="shared" ca="1" si="63"/>
        <v>#VALUE!</v>
      </c>
    </row>
    <row r="364" spans="3:34">
      <c r="C364" s="307">
        <f t="shared" si="62"/>
        <v>23</v>
      </c>
      <c r="AH364" s="341" t="e">
        <f t="shared" ca="1" si="63"/>
        <v>#VALUE!</v>
      </c>
    </row>
    <row r="365" spans="3:34">
      <c r="C365" s="307">
        <f t="shared" si="62"/>
        <v>24</v>
      </c>
      <c r="AH365" s="341" t="e">
        <f t="shared" ca="1" si="63"/>
        <v>#VALUE!</v>
      </c>
    </row>
    <row r="366" spans="3:34">
      <c r="C366" s="307">
        <f t="shared" si="62"/>
        <v>25</v>
      </c>
      <c r="AH366" s="341" t="e">
        <f t="shared" ca="1" si="63"/>
        <v>#VALUE!</v>
      </c>
    </row>
    <row r="367" spans="3:34">
      <c r="C367" s="307">
        <f t="shared" si="62"/>
        <v>26</v>
      </c>
      <c r="AH367" s="341" t="e">
        <f t="shared" ca="1" si="63"/>
        <v>#VALUE!</v>
      </c>
    </row>
    <row r="368" spans="3:34">
      <c r="C368" s="307">
        <f t="shared" si="62"/>
        <v>27</v>
      </c>
      <c r="AH368" s="341" t="e">
        <f t="shared" ca="1" si="63"/>
        <v>#VALUE!</v>
      </c>
    </row>
    <row r="369" spans="3:34">
      <c r="C369" s="307">
        <f t="shared" si="62"/>
        <v>28</v>
      </c>
      <c r="AH369" s="341" t="e">
        <f t="shared" ca="1" si="63"/>
        <v>#VALUE!</v>
      </c>
    </row>
    <row r="370" spans="3:34">
      <c r="C370" s="307">
        <f t="shared" si="62"/>
        <v>29</v>
      </c>
      <c r="AH370" s="341" t="e">
        <f t="shared" ca="1" si="63"/>
        <v>#VALUE!</v>
      </c>
    </row>
    <row r="371" spans="3:34">
      <c r="C371" s="307">
        <f t="shared" si="62"/>
        <v>30</v>
      </c>
      <c r="AH371" s="341" t="e">
        <f t="shared" ca="1" si="63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D733E-4641-4E44-9F4D-B1832A011726}">
  <sheetPr>
    <tabColor theme="7"/>
  </sheetPr>
  <dimension ref="A2:AJ68"/>
  <sheetViews>
    <sheetView showGridLines="0" zoomScale="70" zoomScaleNormal="70" workbookViewId="0">
      <selection activeCell="K49" sqref="K49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757</v>
      </c>
      <c r="D2" s="1238" t="s">
        <v>713</v>
      </c>
    </row>
    <row r="3" spans="1:33" ht="23.25">
      <c r="B3" s="1236" t="s">
        <v>756</v>
      </c>
      <c r="D3" s="1239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112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1">
        <f t="shared" ref="K9" si="1">SUM(K10:K12)</f>
        <v>4076440.4550725189</v>
      </c>
      <c r="L9" s="1211">
        <f t="shared" si="0"/>
        <v>4174011.9301507464</v>
      </c>
      <c r="M9" s="1211">
        <f t="shared" si="0"/>
        <v>4373221.3344247555</v>
      </c>
      <c r="N9" s="1211">
        <f t="shared" si="0"/>
        <v>4674062.202262952</v>
      </c>
      <c r="O9" s="1211">
        <f t="shared" si="0"/>
        <v>4687936.4642718704</v>
      </c>
      <c r="P9" s="1211">
        <f t="shared" si="0"/>
        <v>4694643.0421313886</v>
      </c>
      <c r="Q9" s="1211">
        <f t="shared" si="0"/>
        <v>4701349.6199909085</v>
      </c>
      <c r="R9" s="1211">
        <f t="shared" si="0"/>
        <v>4707497.3163621332</v>
      </c>
      <c r="S9" s="1211">
        <f t="shared" si="0"/>
        <v>4690692.3312450647</v>
      </c>
      <c r="T9" s="1211">
        <f t="shared" si="0"/>
        <v>4696281.1461279979</v>
      </c>
      <c r="U9" s="1211">
        <f t="shared" si="0"/>
        <v>4701869.9610109283</v>
      </c>
      <c r="V9" s="1211">
        <f t="shared" si="0"/>
        <v>4706899.8944055689</v>
      </c>
      <c r="W9" s="1211">
        <f t="shared" si="0"/>
        <v>4713047.5907767965</v>
      </c>
      <c r="X9" s="1211">
        <f t="shared" si="0"/>
        <v>4719195.2871480193</v>
      </c>
      <c r="Y9" s="1211">
        <f t="shared" si="0"/>
        <v>4723666.3390543666</v>
      </c>
      <c r="Z9" s="1211">
        <f t="shared" si="0"/>
        <v>4728137.390960712</v>
      </c>
      <c r="AA9" s="1211">
        <f t="shared" si="0"/>
        <v>4732608.4428670583</v>
      </c>
      <c r="AB9" s="1211">
        <f t="shared" si="0"/>
        <v>4738197.2577499906</v>
      </c>
      <c r="AC9" s="1211">
        <f t="shared" si="0"/>
        <v>4743786.0726329209</v>
      </c>
      <c r="AD9" s="1211">
        <f t="shared" si="0"/>
        <v>4748816.0060275607</v>
      </c>
      <c r="AE9" s="1211">
        <f t="shared" si="0"/>
        <v>4754404.8209104948</v>
      </c>
      <c r="AF9" s="1211">
        <f t="shared" si="0"/>
        <v>4758316.9913285477</v>
      </c>
      <c r="AG9" s="1213">
        <f t="shared" ref="AG9:AG17" si="2">SUM(C9:AF9)</f>
        <v>126890278.64508675</v>
      </c>
    </row>
    <row r="10" spans="1:33" ht="20.25" customHeight="1">
      <c r="B10" s="1143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22">
        <f>(1+$D$3)*('R1 DRE'!K5+'E3 DIST INDL'!B45)</f>
        <v>2239078.0618390017</v>
      </c>
      <c r="L10" s="1222">
        <f>(1+$D$3)*('R1 DRE'!L5+'E3 DIST INDL'!C45)</f>
        <v>2236903.6329661855</v>
      </c>
      <c r="M10" s="1222">
        <f>(1+$D$3)*('R1 DRE'!M5+'E3 DIST INDL'!D45)</f>
        <v>2238918.6871795147</v>
      </c>
      <c r="N10" s="1222">
        <f>(1+$D$3)*('R1 DRE'!N5+'E3 DIST INDL'!E45)</f>
        <v>2242764.0443904921</v>
      </c>
      <c r="O10" s="1222">
        <f>(1+$D$3)*('R1 DRE'!O5+'E3 DIST INDL'!F45)</f>
        <v>2241748.8367805546</v>
      </c>
      <c r="P10" s="1222">
        <f>(1+$D$3)*('R1 DRE'!P5+'E3 DIST INDL'!G45)</f>
        <v>2244955.5260524</v>
      </c>
      <c r="Q10" s="1222">
        <f>(1+$D$3)*('R1 DRE'!Q5+'E3 DIST INDL'!H45)</f>
        <v>2248162.2153242463</v>
      </c>
      <c r="R10" s="1222">
        <f>(1+$D$3)*('R1 DRE'!R5+'E3 DIST INDL'!I45)</f>
        <v>2251101.680490104</v>
      </c>
      <c r="S10" s="1222">
        <f>(1+$D$3)*('R1 DRE'!S5+'E3 DIST INDL'!J45)</f>
        <v>2242811.9215499754</v>
      </c>
      <c r="T10" s="1222">
        <f>(1+$D$3)*('R1 DRE'!T5+'E3 DIST INDL'!K45)</f>
        <v>2245484.1626098468</v>
      </c>
      <c r="U10" s="1222">
        <f>(1+$D$3)*('R1 DRE'!U5+'E3 DIST INDL'!L45)</f>
        <v>2248156.4036697173</v>
      </c>
      <c r="V10" s="1222">
        <f>(1+$D$3)*('R1 DRE'!V5+'E3 DIST INDL'!M45)</f>
        <v>2250561.4206236023</v>
      </c>
      <c r="W10" s="1222">
        <f>(1+$D$3)*('R1 DRE'!W5+'E3 DIST INDL'!N45)</f>
        <v>2253500.8857894614</v>
      </c>
      <c r="X10" s="1222">
        <f>(1+$D$3)*('R1 DRE'!X5+'E3 DIST INDL'!O45)</f>
        <v>2256440.3509553187</v>
      </c>
      <c r="Y10" s="1222">
        <f>(1+$D$3)*('R1 DRE'!Y5+'E3 DIST INDL'!P45)</f>
        <v>2258578.1438032161</v>
      </c>
      <c r="Z10" s="1222">
        <f>(1+$D$3)*('R1 DRE'!Z5+'E3 DIST INDL'!Q45)</f>
        <v>2260715.9366511134</v>
      </c>
      <c r="AA10" s="1222">
        <f>(1+$D$3)*('R1 DRE'!AA5+'E3 DIST INDL'!R45)</f>
        <v>2262853.7294990104</v>
      </c>
      <c r="AB10" s="1222">
        <f>(1+$D$3)*('R1 DRE'!AB5+'E3 DIST INDL'!S45)</f>
        <v>2265525.9705588818</v>
      </c>
      <c r="AC10" s="1222">
        <f>(1+$D$3)*('R1 DRE'!AC5+'E3 DIST INDL'!T45)</f>
        <v>2268198.2116187527</v>
      </c>
      <c r="AD10" s="1222">
        <f>(1+$D$3)*('R1 DRE'!AD5+'E3 DIST INDL'!U45)</f>
        <v>2270603.2285726368</v>
      </c>
      <c r="AE10" s="1222">
        <f>(1+$D$3)*('R1 DRE'!AE5+'E3 DIST INDL'!V45)</f>
        <v>2273275.4696325082</v>
      </c>
      <c r="AF10" s="1222">
        <f>(1+$D$3)*('R1 DRE'!AF5+'E3 DIST INDL'!W45)</f>
        <v>2275146.0383744184</v>
      </c>
      <c r="AG10" s="1213">
        <f t="shared" si="2"/>
        <v>64963382.401891261</v>
      </c>
    </row>
    <row r="11" spans="1:33" ht="20.25" customHeight="1">
      <c r="B11" s="1143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22">
        <f>(1+$D$3)*('R1 DRE'!K6+'E3 DIST INDL'!B46)</f>
        <v>1797028.7303120072</v>
      </c>
      <c r="L11" s="1222">
        <f>(1+$D$3)*('R1 DRE'!L6+'E3 DIST INDL'!C46)</f>
        <v>1895835.7137177221</v>
      </c>
      <c r="M11" s="1222">
        <f>(1+$D$3)*('R1 DRE'!M6+'E3 DIST INDL'!D46)</f>
        <v>2091084.8271024216</v>
      </c>
      <c r="N11" s="1222">
        <f>(1+$D$3)*('R1 DRE'!N6+'E3 DIST INDL'!E46)</f>
        <v>2385128.8489391641</v>
      </c>
      <c r="O11" s="1222">
        <f>(1+$D$3)*('R1 DRE'!O6+'E3 DIST INDL'!F46)</f>
        <v>2399994.135765851</v>
      </c>
      <c r="P11" s="1222">
        <f>(1+$D$3)*('R1 DRE'!P6+'E3 DIST INDL'!G46)</f>
        <v>2403427.6225925391</v>
      </c>
      <c r="Q11" s="1222">
        <f>(1+$D$3)*('R1 DRE'!Q6+'E3 DIST INDL'!H46)</f>
        <v>2406861.1094192276</v>
      </c>
      <c r="R11" s="1222">
        <f>(1+$D$3)*('R1 DRE'!R6+'E3 DIST INDL'!I46)</f>
        <v>2410008.4723436907</v>
      </c>
      <c r="S11" s="1222">
        <f>(1+$D$3)*('R1 DRE'!S6+'E3 DIST INDL'!J46)</f>
        <v>2401437.9113659309</v>
      </c>
      <c r="T11" s="1222">
        <f>(1+$D$3)*('R1 DRE'!T6+'E3 DIST INDL'!K46)</f>
        <v>2404299.1503881705</v>
      </c>
      <c r="U11" s="1222">
        <f>(1+$D$3)*('R1 DRE'!U6+'E3 DIST INDL'!L46)</f>
        <v>2407160.3894104101</v>
      </c>
      <c r="V11" s="1222">
        <f>(1+$D$3)*('R1 DRE'!V6+'E3 DIST INDL'!M46)</f>
        <v>2409735.5045304266</v>
      </c>
      <c r="W11" s="1222">
        <f>(1+$D$3)*('R1 DRE'!W6+'E3 DIST INDL'!N46)</f>
        <v>2412882.8674548911</v>
      </c>
      <c r="X11" s="1222">
        <f>(1+$D$3)*('R1 DRE'!X6+'E3 DIST INDL'!O46)</f>
        <v>2416030.2303793547</v>
      </c>
      <c r="Y11" s="1222">
        <f>(1+$D$3)*('R1 DRE'!Y6+'E3 DIST INDL'!P46)</f>
        <v>2418319.2215971467</v>
      </c>
      <c r="Z11" s="1222">
        <f>(1+$D$3)*('R1 DRE'!Z6+'E3 DIST INDL'!Q46)</f>
        <v>2420608.2128149383</v>
      </c>
      <c r="AA11" s="1222">
        <f>(1+$D$3)*('R1 DRE'!AA6+'E3 DIST INDL'!R46)</f>
        <v>2422897.2040327298</v>
      </c>
      <c r="AB11" s="1222">
        <f>(1+$D$3)*('R1 DRE'!AB6+'E3 DIST INDL'!S46)</f>
        <v>2425758.4430549708</v>
      </c>
      <c r="AC11" s="1222">
        <f>(1+$D$3)*('R1 DRE'!AC6+'E3 DIST INDL'!T46)</f>
        <v>2428619.6820772095</v>
      </c>
      <c r="AD11" s="1222">
        <f>(1+$D$3)*('R1 DRE'!AD6+'E3 DIST INDL'!U46)</f>
        <v>2431194.7971972255</v>
      </c>
      <c r="AE11" s="1222">
        <f>(1+$D$3)*('R1 DRE'!AE6+'E3 DIST INDL'!V46)</f>
        <v>2434056.036219466</v>
      </c>
      <c r="AF11" s="1222">
        <f>(1+$D$3)*('R1 DRE'!AF6+'E3 DIST INDL'!W46)</f>
        <v>2436058.903535034</v>
      </c>
      <c r="AG11" s="1213">
        <f t="shared" si="2"/>
        <v>60622918.449674062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14">
        <f>(1+$D$3)*'R1 DRE'!K7</f>
        <v>40333.662921510091</v>
      </c>
      <c r="L12" s="1214">
        <f>(1+$D$3)*'R1 DRE'!L7</f>
        <v>41272.583466839074</v>
      </c>
      <c r="M12" s="1214">
        <f>(1+$D$3)*'R1 DRE'!M7</f>
        <v>43217.820142819364</v>
      </c>
      <c r="N12" s="1214">
        <f>(1+$D$3)*'R1 DRE'!N7</f>
        <v>46169.308933296561</v>
      </c>
      <c r="O12" s="1214">
        <f>(1+$D$3)*'R1 DRE'!O7</f>
        <v>46193.491725464053</v>
      </c>
      <c r="P12" s="1214">
        <f>(1+$D$3)*'R1 DRE'!P7</f>
        <v>46259.893486449393</v>
      </c>
      <c r="Q12" s="1214">
        <f>(1+$D$3)*'R1 DRE'!Q7</f>
        <v>46326.29524743474</v>
      </c>
      <c r="R12" s="1214">
        <f>(1+$D$3)*'R1 DRE'!R7</f>
        <v>46387.163528337944</v>
      </c>
      <c r="S12" s="1214">
        <f>(1+$D$3)*'R1 DRE'!S7</f>
        <v>46442.498329159062</v>
      </c>
      <c r="T12" s="1214">
        <f>(1+$D$3)*'R1 DRE'!T7</f>
        <v>46497.833129980172</v>
      </c>
      <c r="U12" s="1214">
        <f>(1+$D$3)*'R1 DRE'!U7</f>
        <v>46553.167930801268</v>
      </c>
      <c r="V12" s="1214">
        <f>(1+$D$3)*'R1 DRE'!V7</f>
        <v>46602.969251540286</v>
      </c>
      <c r="W12" s="1214">
        <f>(1+$D$3)*'R1 DRE'!W7</f>
        <v>46663.837532443526</v>
      </c>
      <c r="X12" s="1214">
        <f>(1+$D$3)*'R1 DRE'!X7</f>
        <v>46724.705813346729</v>
      </c>
      <c r="Y12" s="1214">
        <f>(1+$D$3)*'R1 DRE'!Y7</f>
        <v>46768.973654003632</v>
      </c>
      <c r="Z12" s="1214">
        <f>(1+$D$3)*'R1 DRE'!Z7</f>
        <v>46813.24149466052</v>
      </c>
      <c r="AA12" s="1214">
        <f>(1+$D$3)*'R1 DRE'!AA7</f>
        <v>46857.509335317409</v>
      </c>
      <c r="AB12" s="1214">
        <f>(1+$D$3)*'R1 DRE'!AB7</f>
        <v>46912.844136138519</v>
      </c>
      <c r="AC12" s="1214">
        <f>(1+$D$3)*'R1 DRE'!AC7</f>
        <v>46968.178936959615</v>
      </c>
      <c r="AD12" s="1214">
        <f>(1+$D$3)*'R1 DRE'!AD7</f>
        <v>47017.980257698626</v>
      </c>
      <c r="AE12" s="1214">
        <f>(1+$D$3)*'R1 DRE'!AE7</f>
        <v>47073.315058519751</v>
      </c>
      <c r="AF12" s="1214">
        <f>(1+$D$3)*'R1 DRE'!AF7</f>
        <v>47112.049419094532</v>
      </c>
      <c r="AG12" s="1213">
        <f t="shared" si="2"/>
        <v>1303977.793521415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3">-SUM(D14:D15)</f>
        <v>-234617.19486967311</v>
      </c>
      <c r="E13" s="1212">
        <f t="shared" si="3"/>
        <v>-255067.11447188459</v>
      </c>
      <c r="F13" s="1212">
        <f t="shared" si="3"/>
        <v>-266470.53804765607</v>
      </c>
      <c r="G13" s="1212">
        <f t="shared" si="3"/>
        <v>-277240.35544356558</v>
      </c>
      <c r="H13" s="1212">
        <f t="shared" si="3"/>
        <v>-305292.86829691898</v>
      </c>
      <c r="I13" s="1212">
        <f t="shared" si="3"/>
        <v>-343021.62437981495</v>
      </c>
      <c r="J13" s="1212">
        <f t="shared" si="3"/>
        <v>-370742.7283114891</v>
      </c>
      <c r="K13" s="1212">
        <f t="shared" si="3"/>
        <v>-377070.74209420802</v>
      </c>
      <c r="L13" s="1212">
        <f t="shared" si="3"/>
        <v>-386096.10353894404</v>
      </c>
      <c r="M13" s="1212">
        <f t="shared" si="3"/>
        <v>-404522.97343428986</v>
      </c>
      <c r="N13" s="1212">
        <f t="shared" si="3"/>
        <v>-432350.75370932306</v>
      </c>
      <c r="O13" s="1212">
        <f t="shared" si="3"/>
        <v>-433634.12294514803</v>
      </c>
      <c r="P13" s="1212">
        <f t="shared" si="3"/>
        <v>-434254.48139715346</v>
      </c>
      <c r="Q13" s="1212">
        <f t="shared" si="3"/>
        <v>-434874.83984915906</v>
      </c>
      <c r="R13" s="1212">
        <f t="shared" si="3"/>
        <v>-435443.50176349736</v>
      </c>
      <c r="S13" s="1212">
        <f t="shared" si="3"/>
        <v>-433889.04064016847</v>
      </c>
      <c r="T13" s="1212">
        <f t="shared" si="3"/>
        <v>-434406.00601683982</v>
      </c>
      <c r="U13" s="1212">
        <f t="shared" si="3"/>
        <v>-434922.97139351082</v>
      </c>
      <c r="V13" s="1212">
        <f t="shared" si="3"/>
        <v>-435388.24023251515</v>
      </c>
      <c r="W13" s="1212">
        <f t="shared" si="3"/>
        <v>-435956.90214685362</v>
      </c>
      <c r="X13" s="1212">
        <f t="shared" si="3"/>
        <v>-436525.56406119181</v>
      </c>
      <c r="Y13" s="1212">
        <f t="shared" si="3"/>
        <v>-436939.13636252889</v>
      </c>
      <c r="Z13" s="1212">
        <f t="shared" si="3"/>
        <v>-437352.70866386587</v>
      </c>
      <c r="AA13" s="1212">
        <f t="shared" si="3"/>
        <v>-437766.2809652029</v>
      </c>
      <c r="AB13" s="1212">
        <f t="shared" si="3"/>
        <v>-438283.24634187412</v>
      </c>
      <c r="AC13" s="1212">
        <f t="shared" si="3"/>
        <v>-438800.21171854518</v>
      </c>
      <c r="AD13" s="1212">
        <f t="shared" si="3"/>
        <v>-439265.48055754934</v>
      </c>
      <c r="AE13" s="1212">
        <f t="shared" si="3"/>
        <v>-439782.4459342208</v>
      </c>
      <c r="AF13" s="1212">
        <f t="shared" si="3"/>
        <v>-440144.32169789064</v>
      </c>
      <c r="AG13" s="1213">
        <f t="shared" si="2"/>
        <v>-11689544.464326205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4">0.076*G9</f>
        <v>227786.67041849715</v>
      </c>
      <c r="H14" s="1214">
        <f t="shared" si="4"/>
        <v>250835.22151963072</v>
      </c>
      <c r="I14" s="1214">
        <f t="shared" si="4"/>
        <v>281833.98327422631</v>
      </c>
      <c r="J14" s="1214">
        <f t="shared" si="4"/>
        <v>304610.24163970997</v>
      </c>
      <c r="K14" s="1214">
        <f t="shared" si="4"/>
        <v>309809.47458551143</v>
      </c>
      <c r="L14" s="1214">
        <f t="shared" si="4"/>
        <v>317224.90669145674</v>
      </c>
      <c r="M14" s="1214">
        <f t="shared" si="4"/>
        <v>332364.8214162814</v>
      </c>
      <c r="N14" s="1214">
        <f t="shared" si="4"/>
        <v>355228.72737198434</v>
      </c>
      <c r="O14" s="1214">
        <f t="shared" si="4"/>
        <v>356283.17128466215</v>
      </c>
      <c r="P14" s="1214">
        <f t="shared" si="4"/>
        <v>356792.87120198552</v>
      </c>
      <c r="Q14" s="1214">
        <f t="shared" si="4"/>
        <v>357302.57111930905</v>
      </c>
      <c r="R14" s="1214">
        <f t="shared" si="4"/>
        <v>357769.79604352213</v>
      </c>
      <c r="S14" s="1214">
        <f t="shared" si="4"/>
        <v>356492.61717462493</v>
      </c>
      <c r="T14" s="1214">
        <f t="shared" si="4"/>
        <v>356917.36710572784</v>
      </c>
      <c r="U14" s="1214">
        <f t="shared" si="4"/>
        <v>357342.11703683052</v>
      </c>
      <c r="V14" s="1214">
        <f t="shared" si="4"/>
        <v>357724.39197482326</v>
      </c>
      <c r="W14" s="1214">
        <f t="shared" si="4"/>
        <v>358191.61689903651</v>
      </c>
      <c r="X14" s="1214">
        <f t="shared" si="4"/>
        <v>358658.84182324947</v>
      </c>
      <c r="Y14" s="1214">
        <f t="shared" si="4"/>
        <v>358998.64176813187</v>
      </c>
      <c r="Z14" s="1214">
        <f t="shared" si="4"/>
        <v>359338.44171301409</v>
      </c>
      <c r="AA14" s="1214">
        <f t="shared" si="4"/>
        <v>359678.24165789643</v>
      </c>
      <c r="AB14" s="1214">
        <f t="shared" si="4"/>
        <v>360102.99158899928</v>
      </c>
      <c r="AC14" s="1214">
        <f t="shared" si="4"/>
        <v>360527.74152010196</v>
      </c>
      <c r="AD14" s="1214">
        <f t="shared" si="4"/>
        <v>360910.01645809459</v>
      </c>
      <c r="AE14" s="1214">
        <f t="shared" si="4"/>
        <v>361334.76638919761</v>
      </c>
      <c r="AF14" s="1214">
        <f t="shared" si="4"/>
        <v>361632.09134096961</v>
      </c>
      <c r="AG14" s="1213">
        <f t="shared" si="2"/>
        <v>9604390.5576899871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5">0.0165*G9</f>
        <v>49453.685025068458</v>
      </c>
      <c r="H15" s="1214">
        <f t="shared" si="5"/>
        <v>54457.646777288253</v>
      </c>
      <c r="I15" s="1214">
        <f t="shared" si="5"/>
        <v>61187.641105588613</v>
      </c>
      <c r="J15" s="1214">
        <f t="shared" si="5"/>
        <v>66132.486671779145</v>
      </c>
      <c r="K15" s="1214">
        <f t="shared" si="5"/>
        <v>67261.267508696561</v>
      </c>
      <c r="L15" s="1214">
        <f t="shared" si="5"/>
        <v>68871.196847487314</v>
      </c>
      <c r="M15" s="1214">
        <f t="shared" si="5"/>
        <v>72158.152018008463</v>
      </c>
      <c r="N15" s="1214">
        <f t="shared" si="5"/>
        <v>77122.026337338713</v>
      </c>
      <c r="O15" s="1214">
        <f t="shared" si="5"/>
        <v>77350.951660485865</v>
      </c>
      <c r="P15" s="1214">
        <f t="shared" si="5"/>
        <v>77461.610195167916</v>
      </c>
      <c r="Q15" s="1214">
        <f t="shared" si="5"/>
        <v>77572.268729849995</v>
      </c>
      <c r="R15" s="1214">
        <f t="shared" si="5"/>
        <v>77673.705719975202</v>
      </c>
      <c r="S15" s="1214">
        <f t="shared" si="5"/>
        <v>77396.423465543572</v>
      </c>
      <c r="T15" s="1214">
        <f t="shared" si="5"/>
        <v>77488.638911111964</v>
      </c>
      <c r="U15" s="1214">
        <f t="shared" si="5"/>
        <v>77580.854356680313</v>
      </c>
      <c r="V15" s="1214">
        <f t="shared" si="5"/>
        <v>77663.84825769189</v>
      </c>
      <c r="W15" s="1214">
        <f t="shared" si="5"/>
        <v>77765.285247817141</v>
      </c>
      <c r="X15" s="1214">
        <f t="shared" si="5"/>
        <v>77866.722237942318</v>
      </c>
      <c r="Y15" s="1214">
        <f t="shared" si="5"/>
        <v>77940.494594397052</v>
      </c>
      <c r="Z15" s="1214">
        <f t="shared" si="5"/>
        <v>78014.266950851757</v>
      </c>
      <c r="AA15" s="1214">
        <f t="shared" si="5"/>
        <v>78088.039307306462</v>
      </c>
      <c r="AB15" s="1214">
        <f t="shared" si="5"/>
        <v>78180.254752874855</v>
      </c>
      <c r="AC15" s="1214">
        <f t="shared" si="5"/>
        <v>78272.470198443203</v>
      </c>
      <c r="AD15" s="1214">
        <f t="shared" si="5"/>
        <v>78355.464099454752</v>
      </c>
      <c r="AE15" s="1214">
        <f t="shared" si="5"/>
        <v>78447.679545023173</v>
      </c>
      <c r="AF15" s="1214">
        <f t="shared" si="5"/>
        <v>78512.230356921034</v>
      </c>
      <c r="AG15" s="1213">
        <f t="shared" si="2"/>
        <v>2085153.9066362137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2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6">D9+D13+D16</f>
        <v>2348736.4306745757</v>
      </c>
      <c r="E17" s="1212">
        <f t="shared" si="6"/>
        <v>2607846.6711710477</v>
      </c>
      <c r="F17" s="1212">
        <f t="shared" si="6"/>
        <v>2673176.6493209945</v>
      </c>
      <c r="G17" s="1212">
        <f t="shared" si="6"/>
        <v>2744549.5840927921</v>
      </c>
      <c r="H17" s="1212">
        <f t="shared" si="6"/>
        <v>3009978.9826078052</v>
      </c>
      <c r="I17" s="1212">
        <f t="shared" si="6"/>
        <v>3344926.3386004027</v>
      </c>
      <c r="J17" s="1212">
        <f t="shared" si="6"/>
        <v>3622302.386444245</v>
      </c>
      <c r="K17" s="1212">
        <f t="shared" si="6"/>
        <v>3696086.1899876515</v>
      </c>
      <c r="L17" s="1212">
        <f t="shared" si="6"/>
        <v>3783174.2778578913</v>
      </c>
      <c r="M17" s="1212">
        <f t="shared" si="6"/>
        <v>3958874.915776765</v>
      </c>
      <c r="N17" s="1212">
        <f t="shared" si="6"/>
        <v>4226806.4301617192</v>
      </c>
      <c r="O17" s="1212">
        <f t="shared" si="6"/>
        <v>4254180.2182262773</v>
      </c>
      <c r="P17" s="1212">
        <f t="shared" si="6"/>
        <v>4260053.2318412587</v>
      </c>
      <c r="Q17" s="1212">
        <f t="shared" si="6"/>
        <v>4266139.4512487734</v>
      </c>
      <c r="R17" s="1212">
        <f t="shared" si="6"/>
        <v>4271746.4297800753</v>
      </c>
      <c r="S17" s="1212">
        <f t="shared" si="6"/>
        <v>4256523.8498607492</v>
      </c>
      <c r="T17" s="1212">
        <f t="shared" si="6"/>
        <v>4261595.699367011</v>
      </c>
      <c r="U17" s="1212">
        <f t="shared" si="6"/>
        <v>4266667.5488732709</v>
      </c>
      <c r="V17" s="1212">
        <f t="shared" si="6"/>
        <v>4271260.1575033218</v>
      </c>
      <c r="W17" s="1212">
        <f t="shared" si="6"/>
        <v>4276783.3038113816</v>
      </c>
      <c r="X17" s="1212">
        <f t="shared" si="6"/>
        <v>4282362.3382682661</v>
      </c>
      <c r="Y17" s="1212">
        <f t="shared" si="6"/>
        <v>4286503.6500965208</v>
      </c>
      <c r="Z17" s="1212">
        <f t="shared" si="6"/>
        <v>4290561.1297015287</v>
      </c>
      <c r="AA17" s="1212">
        <f t="shared" si="6"/>
        <v>4294618.6093065385</v>
      </c>
      <c r="AB17" s="1212">
        <f t="shared" si="6"/>
        <v>4299634.57066397</v>
      </c>
      <c r="AC17" s="1212">
        <f t="shared" si="6"/>
        <v>4304706.4201702299</v>
      </c>
      <c r="AD17" s="1212">
        <f t="shared" si="6"/>
        <v>4309299.0288002789</v>
      </c>
      <c r="AE17" s="1212">
        <f t="shared" si="6"/>
        <v>4314342.9342321269</v>
      </c>
      <c r="AF17" s="1212">
        <f t="shared" si="6"/>
        <v>4317977.0611097543</v>
      </c>
      <c r="AG17" s="1213">
        <f t="shared" si="2"/>
        <v>114984485.70877934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7">D19+D20</f>
        <v>-369565.70052795502</v>
      </c>
      <c r="E18" s="1212">
        <f t="shared" si="7"/>
        <v>-372990.80023137957</v>
      </c>
      <c r="F18" s="1212">
        <f t="shared" si="7"/>
        <v>-365825.26800000004</v>
      </c>
      <c r="G18" s="1212">
        <f t="shared" si="7"/>
        <v>-364530.62316929037</v>
      </c>
      <c r="H18" s="1212">
        <f t="shared" si="7"/>
        <v>-386664.99739602057</v>
      </c>
      <c r="I18" s="1212">
        <f t="shared" si="7"/>
        <v>-368051.52738592168</v>
      </c>
      <c r="J18" s="1212">
        <f t="shared" si="7"/>
        <v>-369563.79094887548</v>
      </c>
      <c r="K18" s="1212">
        <f t="shared" si="7"/>
        <v>-375133.56257447001</v>
      </c>
      <c r="L18" s="1212">
        <f t="shared" si="7"/>
        <v>-363240.68255699542</v>
      </c>
      <c r="M18" s="1212">
        <f t="shared" si="7"/>
        <v>-363749.80000000005</v>
      </c>
      <c r="N18" s="1212">
        <f t="shared" si="7"/>
        <v>-364181.62070234847</v>
      </c>
      <c r="O18" s="1212">
        <f t="shared" si="7"/>
        <v>-364228.27326174878</v>
      </c>
      <c r="P18" s="1212">
        <f t="shared" si="7"/>
        <v>-364274.98954566196</v>
      </c>
      <c r="Q18" s="1212">
        <f t="shared" si="7"/>
        <v>-364321.77751965227</v>
      </c>
      <c r="R18" s="1212">
        <f t="shared" si="7"/>
        <v>-364387.82</v>
      </c>
      <c r="S18" s="1212">
        <f t="shared" si="7"/>
        <v>-364403.94594447548</v>
      </c>
      <c r="T18" s="1212">
        <f t="shared" si="7"/>
        <v>-364443.27800359356</v>
      </c>
      <c r="U18" s="1212">
        <f t="shared" si="7"/>
        <v>-364481.08886980714</v>
      </c>
      <c r="V18" s="1212">
        <f t="shared" si="7"/>
        <v>-364516.88956597808</v>
      </c>
      <c r="W18" s="1212">
        <f t="shared" si="7"/>
        <v>-364549.26</v>
      </c>
      <c r="X18" s="1212">
        <f t="shared" si="7"/>
        <v>-364602.52421609644</v>
      </c>
      <c r="Y18" s="1212">
        <f t="shared" si="7"/>
        <v>-364634.97064760717</v>
      </c>
      <c r="Z18" s="1212">
        <f t="shared" si="7"/>
        <v>-364669.39100334619</v>
      </c>
      <c r="AA18" s="1212">
        <f t="shared" si="7"/>
        <v>-364704.20385767962</v>
      </c>
      <c r="AB18" s="1212">
        <f t="shared" si="7"/>
        <v>-364788.28399999999</v>
      </c>
      <c r="AC18" s="1212">
        <f t="shared" si="7"/>
        <v>-364788.2876275403</v>
      </c>
      <c r="AD18" s="1212">
        <f t="shared" si="7"/>
        <v>-364826.46987865516</v>
      </c>
      <c r="AE18" s="1212">
        <f t="shared" si="7"/>
        <v>-364871.4609208664</v>
      </c>
      <c r="AF18" s="1212">
        <f t="shared" si="7"/>
        <v>-364911.84991323733</v>
      </c>
      <c r="AG18" s="1213">
        <f t="shared" ref="AG18:AG25" si="8">SUM(C18:AF18)</f>
        <v>-11087972.001531247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22">
        <f>'R1 DRE'!K14-'E3 DIST INDL'!B39</f>
        <v>-223177.89</v>
      </c>
      <c r="L19" s="1222">
        <f>'R1 DRE'!L14-'E3 DIST INDL'!C39</f>
        <v>-223436.28</v>
      </c>
      <c r="M19" s="1222">
        <f>'R1 DRE'!M14-'E3 DIST INDL'!D39</f>
        <v>-223694.67</v>
      </c>
      <c r="N19" s="1222">
        <f>'R1 DRE'!N14-'E3 DIST INDL'!E39</f>
        <v>-223953.06</v>
      </c>
      <c r="O19" s="1222">
        <f>'R1 DRE'!O14-'E3 DIST INDL'!F39</f>
        <v>-223953.06</v>
      </c>
      <c r="P19" s="1222">
        <f>'R1 DRE'!P14-'E3 DIST INDL'!G39</f>
        <v>-223953.06</v>
      </c>
      <c r="Q19" s="1222">
        <f>'R1 DRE'!Q14-'E3 DIST INDL'!H39</f>
        <v>-223953.06</v>
      </c>
      <c r="R19" s="1222">
        <f>'R1 DRE'!R14-'E3 DIST INDL'!I39</f>
        <v>-223953.06</v>
      </c>
      <c r="S19" s="1222">
        <f>'R1 DRE'!S14-'E3 DIST INDL'!B54</f>
        <v>-223953.06</v>
      </c>
      <c r="T19" s="1222">
        <f>'R1 DRE'!T14-'E3 DIST INDL'!C54</f>
        <v>-223953.06</v>
      </c>
      <c r="U19" s="1222">
        <f>'R1 DRE'!U14-'E3 DIST INDL'!D54</f>
        <v>-223953.06</v>
      </c>
      <c r="V19" s="1222">
        <f>'R1 DRE'!V14-'E3 DIST INDL'!E54</f>
        <v>-223953.06</v>
      </c>
      <c r="W19" s="1222">
        <f>'R1 DRE'!W14-'E3 DIST INDL'!F54</f>
        <v>-223953.06</v>
      </c>
      <c r="X19" s="1222">
        <f>'R1 DRE'!X14-'E3 DIST INDL'!G54</f>
        <v>-223953.06</v>
      </c>
      <c r="Y19" s="1222">
        <f>'R1 DRE'!Y14-'E3 DIST INDL'!H54</f>
        <v>-223953.06</v>
      </c>
      <c r="Z19" s="1222">
        <f>'R1 DRE'!Z14-'E3 DIST INDL'!I54</f>
        <v>-223953.06</v>
      </c>
      <c r="AA19" s="1222">
        <f>'R1 DRE'!AA14-'E3 DIST INDL'!B69</f>
        <v>-223953.06</v>
      </c>
      <c r="AB19" s="1222">
        <f>'R1 DRE'!AB14-'E3 DIST INDL'!C69</f>
        <v>-223953.06</v>
      </c>
      <c r="AC19" s="1222">
        <f>'R1 DRE'!AC14-'E3 DIST INDL'!D69</f>
        <v>-223953.06</v>
      </c>
      <c r="AD19" s="1222">
        <f>'R1 DRE'!AD14-'E3 DIST INDL'!E69</f>
        <v>-223953.06</v>
      </c>
      <c r="AE19" s="1222">
        <f>'R1 DRE'!AE14-'E3 DIST INDL'!F69</f>
        <v>-223953.06</v>
      </c>
      <c r="AF19" s="1222">
        <f>'R1 DRE'!AF14-'E3 DIST INDL'!G69</f>
        <v>-223953.06</v>
      </c>
      <c r="AG19" s="1215">
        <f t="shared" si="8"/>
        <v>-6708772.9799999958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22">
        <f>'R1 DRE'!K15-'E3 DIST INDL'!B40</f>
        <v>-151955.67257446999</v>
      </c>
      <c r="L20" s="1222">
        <f>'R1 DRE'!L15-'E3 DIST INDL'!C40</f>
        <v>-139804.40255699545</v>
      </c>
      <c r="M20" s="1222">
        <f>'R1 DRE'!M15-'E3 DIST INDL'!D40</f>
        <v>-140055.13</v>
      </c>
      <c r="N20" s="1222">
        <f>'R1 DRE'!N15-'E3 DIST INDL'!E40</f>
        <v>-140228.56070234848</v>
      </c>
      <c r="O20" s="1222">
        <f>'R1 DRE'!O15-'E3 DIST INDL'!F40</f>
        <v>-140275.21326174878</v>
      </c>
      <c r="P20" s="1222">
        <f>'R1 DRE'!P15-'E3 DIST INDL'!G40</f>
        <v>-140321.92954566196</v>
      </c>
      <c r="Q20" s="1222">
        <f>'R1 DRE'!Q15-'E3 DIST INDL'!H40</f>
        <v>-140368.7175196523</v>
      </c>
      <c r="R20" s="1222">
        <f>'R1 DRE'!R15-'E3 DIST INDL'!I40</f>
        <v>-140434.76</v>
      </c>
      <c r="S20" s="1222">
        <f>'R1 DRE'!S15-'E3 DIST INDL'!B55</f>
        <v>-140450.88594447548</v>
      </c>
      <c r="T20" s="1222">
        <f>'R1 DRE'!T15-'E3 DIST INDL'!C55</f>
        <v>-140490.21800359353</v>
      </c>
      <c r="U20" s="1222">
        <f>'R1 DRE'!U15-'E3 DIST INDL'!D55</f>
        <v>-140528.02886980714</v>
      </c>
      <c r="V20" s="1222">
        <f>'R1 DRE'!V15-'E3 DIST INDL'!E55</f>
        <v>-140563.82956597811</v>
      </c>
      <c r="W20" s="1222">
        <f>'R1 DRE'!W15-'E3 DIST INDL'!F55</f>
        <v>-140596.20000000001</v>
      </c>
      <c r="X20" s="1222">
        <f>'R1 DRE'!X15-'E3 DIST INDL'!G55</f>
        <v>-140649.46421609644</v>
      </c>
      <c r="Y20" s="1222">
        <f>'R1 DRE'!Y15-'E3 DIST INDL'!H55</f>
        <v>-140681.91064760718</v>
      </c>
      <c r="Z20" s="1222">
        <f>'R1 DRE'!Z15-'E3 DIST INDL'!I55</f>
        <v>-140716.33100334622</v>
      </c>
      <c r="AA20" s="1222">
        <f>'R1 DRE'!AA15-'E3 DIST INDL'!B70</f>
        <v>-140751.14385767962</v>
      </c>
      <c r="AB20" s="1222">
        <f>'R1 DRE'!AB15-'E3 DIST INDL'!C70</f>
        <v>-140835.22400000002</v>
      </c>
      <c r="AC20" s="1222">
        <f>'R1 DRE'!AC15-'E3 DIST INDL'!D70</f>
        <v>-140835.2276275403</v>
      </c>
      <c r="AD20" s="1222">
        <f>'R1 DRE'!AD15-'E3 DIST INDL'!E70</f>
        <v>-140873.40987865516</v>
      </c>
      <c r="AE20" s="1222">
        <f>'R1 DRE'!AE15-'E3 DIST INDL'!F70</f>
        <v>-140918.40092086641</v>
      </c>
      <c r="AF20" s="1222">
        <f>'R1 DRE'!AF15-'E3 DIST INDL'!G70</f>
        <v>-140958.78991323733</v>
      </c>
      <c r="AG20" s="1215">
        <f t="shared" si="8"/>
        <v>-4379199.0215312438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9">D22+D23+D24+D25</f>
        <v>-1230326.5123160521</v>
      </c>
      <c r="E21" s="1212">
        <f t="shared" si="9"/>
        <v>-1446948.7737891045</v>
      </c>
      <c r="F21" s="1212">
        <f t="shared" si="9"/>
        <v>-1394729.7694170631</v>
      </c>
      <c r="G21" s="1212">
        <f t="shared" si="9"/>
        <v>-1372431.1735002932</v>
      </c>
      <c r="H21" s="1212">
        <f t="shared" si="9"/>
        <v>-1372166.094364627</v>
      </c>
      <c r="I21" s="1212">
        <f t="shared" si="9"/>
        <v>-1366336.9765073925</v>
      </c>
      <c r="J21" s="1212">
        <f t="shared" si="9"/>
        <v>-1415767.7581980655</v>
      </c>
      <c r="K21" s="1212">
        <f t="shared" si="9"/>
        <v>-1440594.5979406382</v>
      </c>
      <c r="L21" s="1212">
        <f t="shared" si="9"/>
        <v>-1463113.5072006579</v>
      </c>
      <c r="M21" s="1212">
        <f t="shared" si="9"/>
        <v>-1465942.1863060191</v>
      </c>
      <c r="N21" s="1212">
        <f t="shared" si="9"/>
        <v>-1468873.5235940488</v>
      </c>
      <c r="O21" s="1212">
        <f t="shared" si="9"/>
        <v>-1469665.5967342837</v>
      </c>
      <c r="P21" s="1212">
        <f t="shared" si="9"/>
        <v>-1470457.6698745186</v>
      </c>
      <c r="Q21" s="1212">
        <f t="shared" si="9"/>
        <v>-1471249.7430147538</v>
      </c>
      <c r="R21" s="1212">
        <f t="shared" si="9"/>
        <v>-1471901.6427858537</v>
      </c>
      <c r="S21" s="1212">
        <f t="shared" si="9"/>
        <v>-1472547.4918946982</v>
      </c>
      <c r="T21" s="1212">
        <f t="shared" si="9"/>
        <v>-1473192.2652424646</v>
      </c>
      <c r="U21" s="1212">
        <f t="shared" si="9"/>
        <v>-1473937.0385902307</v>
      </c>
      <c r="V21" s="1212">
        <f t="shared" si="9"/>
        <v>-1474581.8119379971</v>
      </c>
      <c r="W21" s="1212">
        <f t="shared" si="9"/>
        <v>-1475356.4335217113</v>
      </c>
      <c r="X21" s="1212">
        <f t="shared" si="9"/>
        <v>-1475938.5989274431</v>
      </c>
      <c r="Y21" s="1212">
        <f t="shared" si="9"/>
        <v>-1476489.2095864292</v>
      </c>
      <c r="Z21" s="1212">
        <f t="shared" si="9"/>
        <v>-1477039.8202454157</v>
      </c>
      <c r="AA21" s="1212">
        <f t="shared" si="9"/>
        <v>-1477590.4309044017</v>
      </c>
      <c r="AB21" s="1212">
        <f t="shared" si="9"/>
        <v>-1478353.2655295818</v>
      </c>
      <c r="AC21" s="1212">
        <f t="shared" si="9"/>
        <v>-1478958.8868811175</v>
      </c>
      <c r="AD21" s="1212">
        <f t="shared" si="9"/>
        <v>-1479548.0789069431</v>
      </c>
      <c r="AE21" s="1212">
        <f t="shared" si="9"/>
        <v>-1480163.1633433762</v>
      </c>
      <c r="AF21" s="1212">
        <f t="shared" si="9"/>
        <v>-1480534.2371003563</v>
      </c>
      <c r="AG21" s="1213">
        <f t="shared" si="8"/>
        <v>-43052455.44242727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22">
        <f>'R1 DRE'!K17-'E3 DIST INDL'!B41</f>
        <v>-483991.60706838226</v>
      </c>
      <c r="L22" s="1222">
        <f>'R1 DRE'!L17-'E3 DIST INDL'!C41</f>
        <v>-490601.44199934782</v>
      </c>
      <c r="M22" s="1222">
        <f>'R1 DRE'!M17-'E3 DIST INDL'!D41</f>
        <v>-491947.21603734477</v>
      </c>
      <c r="N22" s="1222">
        <f>'R1 DRE'!N17-'E3 DIST INDL'!E41</f>
        <v>-493238.2370620927</v>
      </c>
      <c r="O22" s="1222">
        <f>'R1 DRE'!O17-'E3 DIST INDL'!F41</f>
        <v>-493942.44348001952</v>
      </c>
      <c r="P22" s="1222">
        <f>'R1 DRE'!P17-'E3 DIST INDL'!G41</f>
        <v>-494646.6498979461</v>
      </c>
      <c r="Q22" s="1222">
        <f>'R1 DRE'!Q17-'E3 DIST INDL'!H41</f>
        <v>-495350.85631587269</v>
      </c>
      <c r="R22" s="1222">
        <f>'R1 DRE'!R17-'E3 DIST INDL'!I41</f>
        <v>-495929.69936735166</v>
      </c>
      <c r="S22" s="1222">
        <f>'R1 DRE'!S17-'E3 DIST INDL'!B56</f>
        <v>-496503.85130256217</v>
      </c>
      <c r="T22" s="1222">
        <f>'R1 DRE'!T17-'E3 DIST INDL'!C56</f>
        <v>-497077.08497506118</v>
      </c>
      <c r="U22" s="1222">
        <f>'R1 DRE'!U17-'E3 DIST INDL'!D56</f>
        <v>-497650.31864756014</v>
      </c>
      <c r="V22" s="1222">
        <f>'R1 DRE'!V17-'E3 DIST INDL'!E56</f>
        <v>-498223.55232005921</v>
      </c>
      <c r="W22" s="1222">
        <f>'R1 DRE'!W17-'E3 DIST INDL'!F56</f>
        <v>-498912.86385540804</v>
      </c>
      <c r="X22" s="1222">
        <f>'R1 DRE'!X17-'E3 DIST INDL'!G56</f>
        <v>-499429.32190462324</v>
      </c>
      <c r="Y22" s="1222">
        <f>'R1 DRE'!Y17-'E3 DIST INDL'!H56</f>
        <v>-499918.84502573498</v>
      </c>
      <c r="Z22" s="1222">
        <f>'R1 DRE'!Z17-'E3 DIST INDL'!I56</f>
        <v>-500408.36814684671</v>
      </c>
      <c r="AA22" s="1222">
        <f>'R1 DRE'!AA17-'E3 DIST INDL'!B71</f>
        <v>-500897.89126795839</v>
      </c>
      <c r="AB22" s="1222">
        <f>'R1 DRE'!AB17-'E3 DIST INDL'!C71</f>
        <v>-501577.14152948157</v>
      </c>
      <c r="AC22" s="1222">
        <f>'R1 DRE'!AC17-'E3 DIST INDL'!D71</f>
        <v>-502114.57372358366</v>
      </c>
      <c r="AD22" s="1222">
        <f>'R1 DRE'!AD17-'E3 DIST INDL'!E71</f>
        <v>-502638.45892254676</v>
      </c>
      <c r="AE22" s="1222">
        <f>'R1 DRE'!AE17-'E3 DIST INDL'!F71</f>
        <v>-503185.39802233159</v>
      </c>
      <c r="AF22" s="1222">
        <f>'R1 DRE'!AF17-'E3 DIST INDL'!G71</f>
        <v>-503514.04969936021</v>
      </c>
      <c r="AG22" s="1215">
        <f t="shared" si="8"/>
        <v>-14663478.377531689</v>
      </c>
      <c r="AI22" s="1216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-'16 R1 OPEX'!E9</f>
        <v>-14599.065768930037</v>
      </c>
      <c r="H23" s="1214">
        <f>-'16 R1 OPEX'!E10</f>
        <v>-15057.798117373999</v>
      </c>
      <c r="I23" s="1214">
        <f>-'16 R1 OPEX'!E11</f>
        <v>-15064.87973247327</v>
      </c>
      <c r="J23" s="1214">
        <f>-'16 R1 OPEX'!E12</f>
        <v>-15072.495622356846</v>
      </c>
      <c r="K23" s="1222">
        <f>'R1 DRE'!K18-'E3 DIST INDL'!B42</f>
        <v>-15208.486253067265</v>
      </c>
      <c r="L23" s="1222">
        <f>'R1 DRE'!L18-'E3 DIST INDL'!C42</f>
        <v>-15378.442255394672</v>
      </c>
      <c r="M23" s="1222">
        <f>'R1 DRE'!M18-'E3 DIST INDL'!D42</f>
        <v>-15678.775172996442</v>
      </c>
      <c r="N23" s="1222">
        <f>'R1 DRE'!N18-'E3 DIST INDL'!E42</f>
        <v>-16141.157646812109</v>
      </c>
      <c r="O23" s="1222">
        <f>'R1 DRE'!O18-'E3 DIST INDL'!F42</f>
        <v>-16164.21888608165</v>
      </c>
      <c r="P23" s="1222">
        <f>'R1 DRE'!P18-'E3 DIST INDL'!G42</f>
        <v>-16187.280125351203</v>
      </c>
      <c r="Q23" s="1222">
        <f>'R1 DRE'!Q18-'E3 DIST INDL'!H42</f>
        <v>-16210.34136462075</v>
      </c>
      <c r="R23" s="1222">
        <f>'R1 DRE'!R18-'E3 DIST INDL'!I42</f>
        <v>-16228.783434356836</v>
      </c>
      <c r="S23" s="1222">
        <f>'R1 DRE'!S18-'E3 DIST INDL'!B57</f>
        <v>-16247.551737817845</v>
      </c>
      <c r="T23" s="1222">
        <f>'R1 DRE'!T18-'E3 DIST INDL'!C57</f>
        <v>-16266.320041278865</v>
      </c>
      <c r="U23" s="1222">
        <f>'R1 DRE'!U18-'E3 DIST INDL'!D57</f>
        <v>-16285.088344739874</v>
      </c>
      <c r="V23" s="1222">
        <f>'R1 DRE'!V18-'E3 DIST INDL'!E57</f>
        <v>-16303.856648200886</v>
      </c>
      <c r="W23" s="1222">
        <f>'R1 DRE'!W18-'E3 DIST INDL'!F57</f>
        <v>-16326.959313534353</v>
      </c>
      <c r="X23" s="1222">
        <f>'R1 DRE'!X18-'E3 DIST INDL'!G57</f>
        <v>-16342.988143058079</v>
      </c>
      <c r="Y23" s="1222">
        <f>'R1 DRE'!Y18-'E3 DIST INDL'!H57</f>
        <v>-16359.016972581807</v>
      </c>
      <c r="Z23" s="1222">
        <f>'R1 DRE'!Z18-'E3 DIST INDL'!I57</f>
        <v>-16375.045802105538</v>
      </c>
      <c r="AA23" s="1222">
        <f>'R1 DRE'!AA18-'E3 DIST INDL'!B72</f>
        <v>-16391.074631629261</v>
      </c>
      <c r="AB23" s="1222">
        <f>'R1 DRE'!AB18-'E3 DIST INDL'!C72</f>
        <v>-16414.177299443749</v>
      </c>
      <c r="AC23" s="1222">
        <f>'R1 DRE'!AC18-'E3 DIST INDL'!D72</f>
        <v>-16430.982920484839</v>
      </c>
      <c r="AD23" s="1222">
        <f>'R1 DRE'!AD18-'E3 DIST INDL'!E72</f>
        <v>-16448.197657312652</v>
      </c>
      <c r="AE23" s="1222">
        <f>'R1 DRE'!AE18-'E3 DIST INDL'!F72</f>
        <v>-16466.189179438916</v>
      </c>
      <c r="AF23" s="1222">
        <f>'R1 DRE'!AF18-'E3 DIST INDL'!G72</f>
        <v>-16475.962066103115</v>
      </c>
      <c r="AG23" s="1215">
        <f t="shared" si="8"/>
        <v>-479138.75306233147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22">
        <f>'R1 DRE'!K19-'E3 DIST INDL'!B43</f>
        <v>-553893.96000000008</v>
      </c>
      <c r="L24" s="1222">
        <f>'R1 DRE'!L19-'E3 DIST INDL'!C43</f>
        <v>-554536.02</v>
      </c>
      <c r="M24" s="1222">
        <f>'R1 DRE'!M19-'E3 DIST INDL'!D43</f>
        <v>-555178.08000000007</v>
      </c>
      <c r="N24" s="1222">
        <f>'R1 DRE'!N19-'E3 DIST INDL'!E43</f>
        <v>-555820.14</v>
      </c>
      <c r="O24" s="1222">
        <f>'R1 DRE'!O19-'E3 DIST INDL'!F43</f>
        <v>-555820.14</v>
      </c>
      <c r="P24" s="1222">
        <f>'R1 DRE'!P19-'E3 DIST INDL'!G43</f>
        <v>-555820.14</v>
      </c>
      <c r="Q24" s="1222">
        <f>'R1 DRE'!Q19-'E3 DIST INDL'!H43</f>
        <v>-555820.14</v>
      </c>
      <c r="R24" s="1222">
        <f>'R1 DRE'!R19-'E3 DIST INDL'!I43</f>
        <v>-555820.14</v>
      </c>
      <c r="S24" s="1222">
        <f>'R1 DRE'!S19-'E3 DIST INDL'!B58</f>
        <v>-555820.14</v>
      </c>
      <c r="T24" s="1222">
        <f>'R1 DRE'!T19-'E3 DIST INDL'!C58</f>
        <v>-555820.14</v>
      </c>
      <c r="U24" s="1222">
        <f>'R1 DRE'!U19-'E3 DIST INDL'!D58</f>
        <v>-555820.14</v>
      </c>
      <c r="V24" s="1222">
        <f>'R1 DRE'!V19-'E3 DIST INDL'!E58</f>
        <v>-555820.14</v>
      </c>
      <c r="W24" s="1222">
        <f>'R1 DRE'!W19-'E3 DIST INDL'!F58</f>
        <v>-555820.14</v>
      </c>
      <c r="X24" s="1222">
        <f>'R1 DRE'!X19-'E3 DIST INDL'!G58</f>
        <v>-555820.14</v>
      </c>
      <c r="Y24" s="1222">
        <f>'R1 DRE'!Y19-'E3 DIST INDL'!H58</f>
        <v>-555820.14</v>
      </c>
      <c r="Z24" s="1222">
        <f>'R1 DRE'!Z19-'E3 DIST INDL'!I58</f>
        <v>-555820.14</v>
      </c>
      <c r="AA24" s="1222">
        <f>'R1 DRE'!AA19-'E3 DIST INDL'!B73</f>
        <v>-555820.14</v>
      </c>
      <c r="AB24" s="1222">
        <f>'R1 DRE'!AB19-'E3 DIST INDL'!C73</f>
        <v>-555820.14</v>
      </c>
      <c r="AC24" s="1222">
        <f>'R1 DRE'!AC19-'E3 DIST INDL'!D73</f>
        <v>-555820.14</v>
      </c>
      <c r="AD24" s="1222">
        <f>'R1 DRE'!AD19-'E3 DIST INDL'!E73</f>
        <v>-555820.14</v>
      </c>
      <c r="AE24" s="1222">
        <f>'R1 DRE'!AE19-'E3 DIST INDL'!F73</f>
        <v>-555820.14</v>
      </c>
      <c r="AF24" s="1222">
        <f>'R1 DRE'!AF19-'E3 DIST INDL'!G73</f>
        <v>-555820.14</v>
      </c>
      <c r="AG24" s="1215">
        <f t="shared" si="8"/>
        <v>-16525094.460000008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22">
        <f>'R1 DRE'!K20-'E3 DIST INDL'!B44</f>
        <v>-387500.54461918876</v>
      </c>
      <c r="L25" s="1222">
        <f>'R1 DRE'!L20-'E3 DIST INDL'!C44</f>
        <v>-402597.60294591531</v>
      </c>
      <c r="M25" s="1222">
        <f>'R1 DRE'!M20-'E3 DIST INDL'!D44</f>
        <v>-403138.11509567773</v>
      </c>
      <c r="N25" s="1222">
        <f>'R1 DRE'!N20-'E3 DIST INDL'!E44</f>
        <v>-403673.98888514389</v>
      </c>
      <c r="O25" s="1222">
        <f>'R1 DRE'!O20-'E3 DIST INDL'!F44</f>
        <v>-403738.7943681826</v>
      </c>
      <c r="P25" s="1222">
        <f>'R1 DRE'!P20-'E3 DIST INDL'!G44</f>
        <v>-403803.59985122137</v>
      </c>
      <c r="Q25" s="1222">
        <f>'R1 DRE'!Q20-'E3 DIST INDL'!H44</f>
        <v>-403868.40533426026</v>
      </c>
      <c r="R25" s="1222">
        <f>'R1 DRE'!R20-'E3 DIST INDL'!I44</f>
        <v>-403923.0199841453</v>
      </c>
      <c r="S25" s="1222">
        <f>'R1 DRE'!S20-'E3 DIST INDL'!B59</f>
        <v>-403975.94885431847</v>
      </c>
      <c r="T25" s="1222">
        <f>'R1 DRE'!T20-'E3 DIST INDL'!C59</f>
        <v>-404028.72022612469</v>
      </c>
      <c r="U25" s="1222">
        <f>'R1 DRE'!U20-'E3 DIST INDL'!D59</f>
        <v>-404181.49159793073</v>
      </c>
      <c r="V25" s="1222">
        <f>'R1 DRE'!V20-'E3 DIST INDL'!E59</f>
        <v>-404234.26296973688</v>
      </c>
      <c r="W25" s="1222">
        <f>'R1 DRE'!W20-'E3 DIST INDL'!F59</f>
        <v>-404296.47035276901</v>
      </c>
      <c r="X25" s="1222">
        <f>'R1 DRE'!X20-'E3 DIST INDL'!G59</f>
        <v>-404346.14887976175</v>
      </c>
      <c r="Y25" s="1222">
        <f>'R1 DRE'!Y20-'E3 DIST INDL'!H59</f>
        <v>-404391.20758811251</v>
      </c>
      <c r="Z25" s="1222">
        <f>'R1 DRE'!Z20-'E3 DIST INDL'!I59</f>
        <v>-404436.26629646338</v>
      </c>
      <c r="AA25" s="1222">
        <f>'R1 DRE'!AA20-'E3 DIST INDL'!B74</f>
        <v>-404481.32500481396</v>
      </c>
      <c r="AB25" s="1222">
        <f>'R1 DRE'!AB20-'E3 DIST INDL'!C74</f>
        <v>-404541.80670065648</v>
      </c>
      <c r="AC25" s="1222">
        <f>'R1 DRE'!AC20-'E3 DIST INDL'!D74</f>
        <v>-404593.19023704907</v>
      </c>
      <c r="AD25" s="1222">
        <f>'R1 DRE'!AD20-'E3 DIST INDL'!E74</f>
        <v>-404641.2823270837</v>
      </c>
      <c r="AE25" s="1222">
        <f>'R1 DRE'!AE20-'E3 DIST INDL'!F74</f>
        <v>-404691.43614160578</v>
      </c>
      <c r="AF25" s="1222">
        <f>'R1 DRE'!AF20-'E3 DIST INDL'!G74</f>
        <v>-404724.08533489279</v>
      </c>
      <c r="AG25" s="1215">
        <f t="shared" si="8"/>
        <v>-11384743.851833247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10">-D17*0.01</f>
        <v>-23487.364306745756</v>
      </c>
      <c r="E26" s="1212">
        <f t="shared" si="10"/>
        <v>-26078.466711710476</v>
      </c>
      <c r="F26" s="1212">
        <f t="shared" si="10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1">-I17*0.005</f>
        <v>-16724.631693002015</v>
      </c>
      <c r="J26" s="1212">
        <f t="shared" si="11"/>
        <v>-18111.511932221227</v>
      </c>
      <c r="K26" s="1212">
        <f t="shared" si="11"/>
        <v>-18480.430949938258</v>
      </c>
      <c r="L26" s="1212">
        <f t="shared" si="11"/>
        <v>-18915.871389289456</v>
      </c>
      <c r="M26" s="1212">
        <f t="shared" si="11"/>
        <v>-19794.374578883824</v>
      </c>
      <c r="N26" s="1212">
        <f t="shared" si="11"/>
        <v>-21134.032150808598</v>
      </c>
      <c r="O26" s="1212">
        <f t="shared" si="11"/>
        <v>-21270.901091131385</v>
      </c>
      <c r="P26" s="1212">
        <f t="shared" si="11"/>
        <v>-21300.266159206294</v>
      </c>
      <c r="Q26" s="1212">
        <f t="shared" si="11"/>
        <v>-21330.697256243868</v>
      </c>
      <c r="R26" s="1212">
        <f t="shared" si="11"/>
        <v>-21358.732148900377</v>
      </c>
      <c r="S26" s="1212">
        <f t="shared" si="11"/>
        <v>-21282.619249303745</v>
      </c>
      <c r="T26" s="1212">
        <f t="shared" si="11"/>
        <v>-21307.978496835054</v>
      </c>
      <c r="U26" s="1212">
        <f t="shared" si="11"/>
        <v>-21333.337744366356</v>
      </c>
      <c r="V26" s="1212">
        <f t="shared" si="11"/>
        <v>-21356.300787516608</v>
      </c>
      <c r="W26" s="1212">
        <f t="shared" si="11"/>
        <v>-21383.916519056907</v>
      </c>
      <c r="X26" s="1212">
        <f t="shared" si="11"/>
        <v>-21411.811691341332</v>
      </c>
      <c r="Y26" s="1212">
        <f t="shared" si="11"/>
        <v>-21432.518250482604</v>
      </c>
      <c r="Z26" s="1212">
        <f t="shared" si="11"/>
        <v>-21452.805648507645</v>
      </c>
      <c r="AA26" s="1212">
        <f t="shared" si="11"/>
        <v>-21473.093046532693</v>
      </c>
      <c r="AB26" s="1212">
        <f t="shared" si="11"/>
        <v>-21498.172853319851</v>
      </c>
      <c r="AC26" s="1212">
        <f t="shared" si="11"/>
        <v>-21523.532100851149</v>
      </c>
      <c r="AD26" s="1212">
        <f t="shared" si="11"/>
        <v>-21546.495144001394</v>
      </c>
      <c r="AE26" s="1212">
        <f t="shared" si="11"/>
        <v>-21571.714671160636</v>
      </c>
      <c r="AF26" s="1212">
        <f t="shared" si="11"/>
        <v>-21589.885305548771</v>
      </c>
      <c r="AG26" s="1213">
        <f>SUM(C26:AF26)</f>
        <v>-629347.9573560725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2">D17+D18+D21+D26</f>
        <v>725356.85352382285</v>
      </c>
      <c r="E27" s="1212">
        <f t="shared" si="12"/>
        <v>761828.63043885329</v>
      </c>
      <c r="F27" s="1212">
        <f t="shared" si="12"/>
        <v>885889.84541072126</v>
      </c>
      <c r="G27" s="1212">
        <f t="shared" si="12"/>
        <v>987003.66554251267</v>
      </c>
      <c r="H27" s="1212">
        <f t="shared" si="12"/>
        <v>1236097.9959341185</v>
      </c>
      <c r="I27" s="1212">
        <f t="shared" si="12"/>
        <v>1593813.2030140865</v>
      </c>
      <c r="J27" s="1212">
        <f t="shared" si="12"/>
        <v>1818859.3253650826</v>
      </c>
      <c r="K27" s="1212">
        <f t="shared" si="12"/>
        <v>1861877.5985226051</v>
      </c>
      <c r="L27" s="1212">
        <f t="shared" si="12"/>
        <v>1937904.2167109489</v>
      </c>
      <c r="M27" s="1212">
        <f t="shared" si="12"/>
        <v>2109388.554891862</v>
      </c>
      <c r="N27" s="1212">
        <f t="shared" si="12"/>
        <v>2372617.253714513</v>
      </c>
      <c r="O27" s="1212">
        <f t="shared" si="12"/>
        <v>2399015.4471391132</v>
      </c>
      <c r="P27" s="1212">
        <f t="shared" si="12"/>
        <v>2404020.3062618719</v>
      </c>
      <c r="Q27" s="1212">
        <f t="shared" si="12"/>
        <v>2409237.2334581236</v>
      </c>
      <c r="R27" s="1212">
        <f t="shared" si="12"/>
        <v>2414098.2348453216</v>
      </c>
      <c r="S27" s="1212">
        <f t="shared" si="12"/>
        <v>2398289.7927722717</v>
      </c>
      <c r="T27" s="1212">
        <f t="shared" si="12"/>
        <v>2402652.177624118</v>
      </c>
      <c r="U27" s="1212">
        <f t="shared" si="12"/>
        <v>2406916.0836688662</v>
      </c>
      <c r="V27" s="1212">
        <f t="shared" si="12"/>
        <v>2410805.15521183</v>
      </c>
      <c r="W27" s="1212">
        <f t="shared" si="12"/>
        <v>2415493.6937706135</v>
      </c>
      <c r="X27" s="1212">
        <f t="shared" si="12"/>
        <v>2420409.4034333848</v>
      </c>
      <c r="Y27" s="1212">
        <f t="shared" si="12"/>
        <v>2423946.9516120018</v>
      </c>
      <c r="Z27" s="1212">
        <f t="shared" si="12"/>
        <v>2427399.1128042592</v>
      </c>
      <c r="AA27" s="1212">
        <f t="shared" si="12"/>
        <v>2430850.8814979247</v>
      </c>
      <c r="AB27" s="1212">
        <f t="shared" si="12"/>
        <v>2434994.8482810683</v>
      </c>
      <c r="AC27" s="1212">
        <f t="shared" si="12"/>
        <v>2439435.7135607204</v>
      </c>
      <c r="AD27" s="1212">
        <f t="shared" si="12"/>
        <v>2443377.9848706797</v>
      </c>
      <c r="AE27" s="1212">
        <f t="shared" si="12"/>
        <v>2447736.5952967233</v>
      </c>
      <c r="AF27" s="1212">
        <f t="shared" si="12"/>
        <v>2450941.0887906123</v>
      </c>
      <c r="AG27" s="1213">
        <f t="shared" ref="AG27:AG33" si="13">SUM(C27:AF27)</f>
        <v>60214710.307464756</v>
      </c>
    </row>
    <row r="28" spans="1:36" s="1127" customFormat="1" ht="20.25" customHeight="1">
      <c r="B28" s="1128" t="s">
        <v>221</v>
      </c>
      <c r="C28" s="1211">
        <f t="array" ref="C28:AF28">-TRANSPOSE('E3 R2 DEPR'!AH10:AH39)</f>
        <v>0</v>
      </c>
      <c r="D28" s="1211">
        <v>-19422.835502517231</v>
      </c>
      <c r="E28" s="1211">
        <v>-31767.091368703179</v>
      </c>
      <c r="F28" s="1211">
        <v>-42964.776963557146</v>
      </c>
      <c r="G28" s="1211">
        <v>-96570.054420457061</v>
      </c>
      <c r="H28" s="1211">
        <v>-304965.65942868049</v>
      </c>
      <c r="I28" s="1211">
        <v>-335294.75656698272</v>
      </c>
      <c r="J28" s="1211">
        <v>-409777.60554813145</v>
      </c>
      <c r="K28" s="1211">
        <v>-463947.68852428254</v>
      </c>
      <c r="L28" s="1211">
        <v>-625286.81221660471</v>
      </c>
      <c r="M28" s="1211">
        <v>-675275.71574459272</v>
      </c>
      <c r="N28" s="1211">
        <v>-814933.8988825751</v>
      </c>
      <c r="O28" s="1211">
        <v>-945656.68807653035</v>
      </c>
      <c r="P28" s="1211">
        <v>-949679.43829724425</v>
      </c>
      <c r="Q28" s="1211">
        <v>-953953.61040675279</v>
      </c>
      <c r="R28" s="1211">
        <v>-958512.72732356191</v>
      </c>
      <c r="S28" s="1211">
        <v>-963019.78116300027</v>
      </c>
      <c r="T28" s="1211">
        <v>-967873.53145162622</v>
      </c>
      <c r="U28" s="1211">
        <v>-973131.76093097089</v>
      </c>
      <c r="V28" s="1211">
        <v>-978868.01127207419</v>
      </c>
      <c r="W28" s="1211">
        <v>-985177.88664728787</v>
      </c>
      <c r="X28" s="1211">
        <v>-992821.63706419198</v>
      </c>
      <c r="Y28" s="1211">
        <v>-1000251.4812832091</v>
      </c>
      <c r="Z28" s="1211">
        <v>-1008742.7318192286</v>
      </c>
      <c r="AA28" s="1211">
        <v>-1018649.1907779181</v>
      </c>
      <c r="AB28" s="1211">
        <v>-1030536.9415283455</v>
      </c>
      <c r="AC28" s="1211">
        <v>-1047735.3799663796</v>
      </c>
      <c r="AD28" s="1211">
        <v>-1067819.6312170918</v>
      </c>
      <c r="AE28" s="1211">
        <v>-1098353.0080931601</v>
      </c>
      <c r="AF28" s="1211">
        <v>-1220085.0098420295</v>
      </c>
      <c r="AG28" s="1217">
        <f t="shared" si="13"/>
        <v>-21981075.342327688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4">D27+D28</f>
        <v>705934.01802130567</v>
      </c>
      <c r="E29" s="1212">
        <f t="shared" si="14"/>
        <v>730061.53907015012</v>
      </c>
      <c r="F29" s="1212">
        <f t="shared" si="14"/>
        <v>842925.06844716414</v>
      </c>
      <c r="G29" s="1212">
        <f t="shared" si="14"/>
        <v>890433.61112205556</v>
      </c>
      <c r="H29" s="1212">
        <f t="shared" si="14"/>
        <v>931132.33650543797</v>
      </c>
      <c r="I29" s="1212">
        <f t="shared" si="14"/>
        <v>1258518.4464471037</v>
      </c>
      <c r="J29" s="1212">
        <f t="shared" si="14"/>
        <v>1409081.7198169511</v>
      </c>
      <c r="K29" s="1212">
        <f t="shared" si="14"/>
        <v>1397929.9099983226</v>
      </c>
      <c r="L29" s="1212">
        <f t="shared" si="14"/>
        <v>1312617.4044943443</v>
      </c>
      <c r="M29" s="1212">
        <f t="shared" si="14"/>
        <v>1434112.8391472693</v>
      </c>
      <c r="N29" s="1212">
        <f t="shared" si="14"/>
        <v>1557683.3548319379</v>
      </c>
      <c r="O29" s="1212">
        <f t="shared" si="14"/>
        <v>1453358.7590625829</v>
      </c>
      <c r="P29" s="1212">
        <f t="shared" si="14"/>
        <v>1454340.8679646277</v>
      </c>
      <c r="Q29" s="1212">
        <f t="shared" si="14"/>
        <v>1455283.623051371</v>
      </c>
      <c r="R29" s="1212">
        <f t="shared" si="14"/>
        <v>1455585.5075217597</v>
      </c>
      <c r="S29" s="1212">
        <f t="shared" si="14"/>
        <v>1435270.0116092714</v>
      </c>
      <c r="T29" s="1212">
        <f t="shared" si="14"/>
        <v>1434778.6461724918</v>
      </c>
      <c r="U29" s="1212">
        <f t="shared" si="14"/>
        <v>1433784.3227378954</v>
      </c>
      <c r="V29" s="1212">
        <f t="shared" si="14"/>
        <v>1431937.1439397559</v>
      </c>
      <c r="W29" s="1212">
        <f t="shared" si="14"/>
        <v>1430315.8071233258</v>
      </c>
      <c r="X29" s="1212">
        <f t="shared" si="14"/>
        <v>1427587.7663691929</v>
      </c>
      <c r="Y29" s="1212">
        <f t="shared" si="14"/>
        <v>1423695.4703287927</v>
      </c>
      <c r="Z29" s="1212">
        <f t="shared" si="14"/>
        <v>1418656.3809850304</v>
      </c>
      <c r="AA29" s="1212">
        <f t="shared" si="14"/>
        <v>1412201.6907200066</v>
      </c>
      <c r="AB29" s="1212">
        <f t="shared" si="14"/>
        <v>1404457.9067527228</v>
      </c>
      <c r="AC29" s="1212">
        <f t="shared" si="14"/>
        <v>1391700.3335943408</v>
      </c>
      <c r="AD29" s="1212">
        <f t="shared" si="14"/>
        <v>1375558.3536535879</v>
      </c>
      <c r="AE29" s="1212">
        <f t="shared" si="14"/>
        <v>1349383.5872035632</v>
      </c>
      <c r="AF29" s="1212">
        <f t="shared" si="14"/>
        <v>1230856.0789485828</v>
      </c>
      <c r="AG29" s="1213">
        <f t="shared" si="13"/>
        <v>38233634.965137057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5">D31+D32</f>
        <v>-216017.56612724392</v>
      </c>
      <c r="E30" s="1212">
        <f t="shared" si="15"/>
        <v>-224220.92328385104</v>
      </c>
      <c r="F30" s="1212">
        <f t="shared" si="15"/>
        <v>-262594.52327203582</v>
      </c>
      <c r="G30" s="1212">
        <f t="shared" si="15"/>
        <v>-278747.42778149887</v>
      </c>
      <c r="H30" s="1212">
        <f t="shared" si="15"/>
        <v>-292584.99441184889</v>
      </c>
      <c r="I30" s="1212">
        <f t="shared" si="15"/>
        <v>-403896.27179201529</v>
      </c>
      <c r="J30" s="1212">
        <f t="shared" si="15"/>
        <v>-455087.78473776334</v>
      </c>
      <c r="K30" s="1212">
        <f t="shared" si="15"/>
        <v>-451296.16939942969</v>
      </c>
      <c r="L30" s="1212">
        <f t="shared" si="15"/>
        <v>-422289.91752807703</v>
      </c>
      <c r="M30" s="1212">
        <f t="shared" si="15"/>
        <v>-463598.36531007156</v>
      </c>
      <c r="N30" s="1212">
        <f t="shared" si="15"/>
        <v>-505612.34064285888</v>
      </c>
      <c r="O30" s="1212">
        <f t="shared" si="15"/>
        <v>-470141.97808127815</v>
      </c>
      <c r="P30" s="1212">
        <f t="shared" si="15"/>
        <v>-470475.89510797343</v>
      </c>
      <c r="Q30" s="1212">
        <f t="shared" si="15"/>
        <v>-470796.43183746614</v>
      </c>
      <c r="R30" s="1212">
        <f t="shared" si="15"/>
        <v>-470899.07255739829</v>
      </c>
      <c r="S30" s="1212">
        <f t="shared" si="15"/>
        <v>-463991.80394715228</v>
      </c>
      <c r="T30" s="1212">
        <f t="shared" si="15"/>
        <v>-463824.73969864723</v>
      </c>
      <c r="U30" s="1212">
        <f t="shared" si="15"/>
        <v>-463486.66973088443</v>
      </c>
      <c r="V30" s="1212">
        <f t="shared" si="15"/>
        <v>-462858.62893951696</v>
      </c>
      <c r="W30" s="1212">
        <f t="shared" si="15"/>
        <v>-462307.37442193076</v>
      </c>
      <c r="X30" s="1212">
        <f t="shared" si="15"/>
        <v>-461379.84056552558</v>
      </c>
      <c r="Y30" s="1212">
        <f t="shared" si="15"/>
        <v>-460056.45991178951</v>
      </c>
      <c r="Z30" s="1212">
        <f t="shared" si="15"/>
        <v>-458343.16953491035</v>
      </c>
      <c r="AA30" s="1212">
        <f t="shared" si="15"/>
        <v>-456148.57484480226</v>
      </c>
      <c r="AB30" s="1212">
        <f t="shared" si="15"/>
        <v>-453515.68829592573</v>
      </c>
      <c r="AC30" s="1212">
        <f t="shared" si="15"/>
        <v>-449178.11342207587</v>
      </c>
      <c r="AD30" s="1212">
        <f t="shared" si="15"/>
        <v>-443689.84024221986</v>
      </c>
      <c r="AE30" s="1212">
        <f t="shared" si="15"/>
        <v>-434790.41964921146</v>
      </c>
      <c r="AF30" s="1212">
        <f t="shared" si="15"/>
        <v>-394491.06684251816</v>
      </c>
      <c r="AG30" s="1213">
        <f t="shared" si="13"/>
        <v>-12186322.05191792</v>
      </c>
    </row>
    <row r="31" spans="1:36" s="89" customFormat="1" ht="20.25" customHeight="1">
      <c r="B31" s="477" t="s">
        <v>224</v>
      </c>
      <c r="C31" s="1214"/>
      <c r="D31" s="1214">
        <f t="shared" ref="D31:AF31" si="16">-((D29*0.15)+((D29-240000)*0.1))</f>
        <v>-152483.50450532642</v>
      </c>
      <c r="E31" s="1214">
        <f t="shared" si="16"/>
        <v>-158515.38476753753</v>
      </c>
      <c r="F31" s="1214">
        <f t="shared" si="16"/>
        <v>-186731.26711179104</v>
      </c>
      <c r="G31" s="1214">
        <f t="shared" si="16"/>
        <v>-198608.40278051386</v>
      </c>
      <c r="H31" s="1214">
        <f t="shared" si="16"/>
        <v>-208783.08412635949</v>
      </c>
      <c r="I31" s="1214">
        <f t="shared" si="16"/>
        <v>-290629.61161177594</v>
      </c>
      <c r="J31" s="1214">
        <f t="shared" si="16"/>
        <v>-328270.42995423777</v>
      </c>
      <c r="K31" s="1214">
        <f t="shared" si="16"/>
        <v>-325482.47749958065</v>
      </c>
      <c r="L31" s="1214">
        <f t="shared" si="16"/>
        <v>-304154.35112358606</v>
      </c>
      <c r="M31" s="1214">
        <f t="shared" si="16"/>
        <v>-334528.20978681732</v>
      </c>
      <c r="N31" s="1214">
        <f t="shared" si="16"/>
        <v>-365420.83870798448</v>
      </c>
      <c r="O31" s="1214">
        <f t="shared" si="16"/>
        <v>-339339.68976564571</v>
      </c>
      <c r="P31" s="1214">
        <f t="shared" si="16"/>
        <v>-339585.21699115692</v>
      </c>
      <c r="Q31" s="1214">
        <f t="shared" si="16"/>
        <v>-339820.90576284274</v>
      </c>
      <c r="R31" s="1214">
        <f t="shared" si="16"/>
        <v>-339896.37688043993</v>
      </c>
      <c r="S31" s="1214">
        <f t="shared" si="16"/>
        <v>-334817.50290231785</v>
      </c>
      <c r="T31" s="1214">
        <f t="shared" si="16"/>
        <v>-334694.66154312296</v>
      </c>
      <c r="U31" s="1214">
        <f t="shared" si="16"/>
        <v>-334446.08068447385</v>
      </c>
      <c r="V31" s="1214">
        <f t="shared" si="16"/>
        <v>-333984.28598493896</v>
      </c>
      <c r="W31" s="1214">
        <f t="shared" si="16"/>
        <v>-333578.95178083144</v>
      </c>
      <c r="X31" s="1214">
        <f t="shared" si="16"/>
        <v>-332896.94159229822</v>
      </c>
      <c r="Y31" s="1214">
        <f t="shared" si="16"/>
        <v>-331923.86758219817</v>
      </c>
      <c r="Z31" s="1214">
        <f t="shared" si="16"/>
        <v>-330664.09524625761</v>
      </c>
      <c r="AA31" s="1214">
        <f t="shared" si="16"/>
        <v>-329050.42268000165</v>
      </c>
      <c r="AB31" s="1214">
        <f t="shared" si="16"/>
        <v>-327114.4766881807</v>
      </c>
      <c r="AC31" s="1214">
        <f t="shared" si="16"/>
        <v>-323925.08339858521</v>
      </c>
      <c r="AD31" s="1214">
        <f t="shared" si="16"/>
        <v>-319889.58841339697</v>
      </c>
      <c r="AE31" s="1214">
        <f t="shared" si="16"/>
        <v>-313345.8968008908</v>
      </c>
      <c r="AF31" s="1214">
        <f t="shared" si="16"/>
        <v>-283714.01973714569</v>
      </c>
      <c r="AG31" s="1213">
        <f t="shared" si="13"/>
        <v>-8776295.6264102347</v>
      </c>
    </row>
    <row r="32" spans="1:36" s="89" customFormat="1" ht="20.25" customHeight="1">
      <c r="B32" s="477" t="s">
        <v>225</v>
      </c>
      <c r="C32" s="1214"/>
      <c r="D32" s="1214">
        <f t="shared" ref="D32:AF32" si="17">-(D29*0.09)</f>
        <v>-63534.061621917506</v>
      </c>
      <c r="E32" s="1214">
        <f t="shared" si="17"/>
        <v>-65705.538516313507</v>
      </c>
      <c r="F32" s="1214">
        <f t="shared" si="17"/>
        <v>-75863.256160244768</v>
      </c>
      <c r="G32" s="1214">
        <f t="shared" si="17"/>
        <v>-80139.025000984999</v>
      </c>
      <c r="H32" s="1214">
        <f t="shared" si="17"/>
        <v>-83801.910285489415</v>
      </c>
      <c r="I32" s="1214">
        <f t="shared" si="17"/>
        <v>-113266.66018023933</v>
      </c>
      <c r="J32" s="1214">
        <f t="shared" si="17"/>
        <v>-126817.35478352559</v>
      </c>
      <c r="K32" s="1214">
        <f t="shared" si="17"/>
        <v>-125813.69189984903</v>
      </c>
      <c r="L32" s="1214">
        <f t="shared" si="17"/>
        <v>-118135.56640449098</v>
      </c>
      <c r="M32" s="1214">
        <f t="shared" si="17"/>
        <v>-129070.15552325423</v>
      </c>
      <c r="N32" s="1214">
        <f t="shared" si="17"/>
        <v>-140191.5019348744</v>
      </c>
      <c r="O32" s="1214">
        <f t="shared" si="17"/>
        <v>-130802.28831563245</v>
      </c>
      <c r="P32" s="1214">
        <f t="shared" si="17"/>
        <v>-130890.67811681649</v>
      </c>
      <c r="Q32" s="1214">
        <f t="shared" si="17"/>
        <v>-130975.52607462338</v>
      </c>
      <c r="R32" s="1214">
        <f t="shared" si="17"/>
        <v>-131002.69567695836</v>
      </c>
      <c r="S32" s="1214">
        <f t="shared" si="17"/>
        <v>-129174.30104483443</v>
      </c>
      <c r="T32" s="1214">
        <f t="shared" si="17"/>
        <v>-129130.07815552426</v>
      </c>
      <c r="U32" s="1214">
        <f t="shared" si="17"/>
        <v>-129040.58904641058</v>
      </c>
      <c r="V32" s="1214">
        <f t="shared" si="17"/>
        <v>-128874.34295457802</v>
      </c>
      <c r="W32" s="1214">
        <f t="shared" si="17"/>
        <v>-128728.42264109931</v>
      </c>
      <c r="X32" s="1214">
        <f t="shared" si="17"/>
        <v>-128482.89897322735</v>
      </c>
      <c r="Y32" s="1214">
        <f t="shared" si="17"/>
        <v>-128132.59232959134</v>
      </c>
      <c r="Z32" s="1214">
        <f t="shared" si="17"/>
        <v>-127679.07428865273</v>
      </c>
      <c r="AA32" s="1214">
        <f t="shared" si="17"/>
        <v>-127098.15216480059</v>
      </c>
      <c r="AB32" s="1214">
        <f t="shared" si="17"/>
        <v>-126401.21160774505</v>
      </c>
      <c r="AC32" s="1214">
        <f t="shared" si="17"/>
        <v>-125253.03002349068</v>
      </c>
      <c r="AD32" s="1214">
        <f t="shared" si="17"/>
        <v>-123800.2518288229</v>
      </c>
      <c r="AE32" s="1214">
        <f t="shared" si="17"/>
        <v>-121444.52284832069</v>
      </c>
      <c r="AF32" s="1214">
        <f t="shared" si="17"/>
        <v>-110777.04710537245</v>
      </c>
      <c r="AG32" s="1213">
        <f t="shared" si="13"/>
        <v>-3410026.4255076847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8">D29+D30</f>
        <v>489916.45189406176</v>
      </c>
      <c r="E33" s="1219">
        <f t="shared" si="18"/>
        <v>505840.61578629911</v>
      </c>
      <c r="F33" s="1219">
        <f t="shared" si="18"/>
        <v>580330.54517512838</v>
      </c>
      <c r="G33" s="1219">
        <f t="shared" si="18"/>
        <v>611686.18334055669</v>
      </c>
      <c r="H33" s="1219">
        <f t="shared" si="18"/>
        <v>638547.34209358902</v>
      </c>
      <c r="I33" s="1219">
        <f t="shared" si="18"/>
        <v>854622.17465508846</v>
      </c>
      <c r="J33" s="1219">
        <f t="shared" si="18"/>
        <v>953993.93507918774</v>
      </c>
      <c r="K33" s="1219">
        <f t="shared" si="18"/>
        <v>946633.74059889291</v>
      </c>
      <c r="L33" s="1219">
        <f t="shared" si="18"/>
        <v>890327.48696626723</v>
      </c>
      <c r="M33" s="1219">
        <f t="shared" si="18"/>
        <v>970514.47383719776</v>
      </c>
      <c r="N33" s="1219">
        <f t="shared" si="18"/>
        <v>1052071.0141890789</v>
      </c>
      <c r="O33" s="1219">
        <f t="shared" si="18"/>
        <v>983216.78098130471</v>
      </c>
      <c r="P33" s="1219">
        <f t="shared" si="18"/>
        <v>983864.97285665432</v>
      </c>
      <c r="Q33" s="1219">
        <f t="shared" si="18"/>
        <v>984487.19121390488</v>
      </c>
      <c r="R33" s="1219">
        <f t="shared" si="18"/>
        <v>984686.43496436137</v>
      </c>
      <c r="S33" s="1219">
        <f t="shared" si="18"/>
        <v>971278.20766211906</v>
      </c>
      <c r="T33" s="1219">
        <f t="shared" si="18"/>
        <v>970953.90647384454</v>
      </c>
      <c r="U33" s="1219">
        <f t="shared" si="18"/>
        <v>970297.65300701093</v>
      </c>
      <c r="V33" s="1219">
        <f t="shared" si="18"/>
        <v>969078.5150002389</v>
      </c>
      <c r="W33" s="1219">
        <f t="shared" si="18"/>
        <v>968008.43270139501</v>
      </c>
      <c r="X33" s="1219">
        <f t="shared" si="18"/>
        <v>966207.92580366728</v>
      </c>
      <c r="Y33" s="1219">
        <f t="shared" si="18"/>
        <v>963639.01041700318</v>
      </c>
      <c r="Z33" s="1219">
        <f t="shared" si="18"/>
        <v>960313.21145012008</v>
      </c>
      <c r="AA33" s="1219">
        <f t="shared" si="18"/>
        <v>956053.11587520433</v>
      </c>
      <c r="AB33" s="1219">
        <f t="shared" si="18"/>
        <v>950942.21845679707</v>
      </c>
      <c r="AC33" s="1219">
        <f t="shared" si="18"/>
        <v>942522.22017226496</v>
      </c>
      <c r="AD33" s="1219">
        <f t="shared" si="18"/>
        <v>931868.51341136801</v>
      </c>
      <c r="AE33" s="1219">
        <f t="shared" si="18"/>
        <v>914593.16755435173</v>
      </c>
      <c r="AF33" s="1219">
        <f t="shared" si="18"/>
        <v>836365.01210606459</v>
      </c>
      <c r="AG33" s="1220">
        <f t="shared" si="13"/>
        <v>26047312.913219139</v>
      </c>
      <c r="AH33" s="136"/>
    </row>
    <row r="35" spans="2:34" s="135" customFormat="1">
      <c r="C35" s="135">
        <f>C29*0.15</f>
        <v>51667.868924417729</v>
      </c>
      <c r="D35" s="135">
        <f t="shared" ref="D35:AF35" si="19">D29*0.15</f>
        <v>105890.10270319585</v>
      </c>
      <c r="E35" s="135">
        <f t="shared" si="19"/>
        <v>109509.23086052251</v>
      </c>
      <c r="F35" s="135">
        <f t="shared" si="19"/>
        <v>126438.76026707461</v>
      </c>
      <c r="G35" s="135">
        <f t="shared" si="19"/>
        <v>133565.04166830832</v>
      </c>
      <c r="H35" s="135">
        <f t="shared" si="19"/>
        <v>139669.85047581568</v>
      </c>
      <c r="I35" s="135">
        <f t="shared" si="19"/>
        <v>188777.76696706555</v>
      </c>
      <c r="J35" s="135">
        <f t="shared" si="19"/>
        <v>211362.25797254266</v>
      </c>
      <c r="K35" s="135">
        <f t="shared" si="19"/>
        <v>209689.4864997484</v>
      </c>
      <c r="L35" s="135">
        <f t="shared" si="19"/>
        <v>196892.61067415163</v>
      </c>
      <c r="M35" s="135">
        <f t="shared" si="19"/>
        <v>215116.92587209039</v>
      </c>
      <c r="N35" s="135">
        <f t="shared" si="19"/>
        <v>233652.50322479068</v>
      </c>
      <c r="O35" s="135">
        <f t="shared" si="19"/>
        <v>218003.81385938742</v>
      </c>
      <c r="P35" s="135">
        <f t="shared" si="19"/>
        <v>218151.13019469415</v>
      </c>
      <c r="Q35" s="135">
        <f t="shared" si="19"/>
        <v>218292.54345770564</v>
      </c>
      <c r="R35" s="135">
        <f t="shared" si="19"/>
        <v>218337.82612826396</v>
      </c>
      <c r="S35" s="135">
        <f t="shared" si="19"/>
        <v>215290.5017413907</v>
      </c>
      <c r="T35" s="135">
        <f t="shared" si="19"/>
        <v>215216.79692587376</v>
      </c>
      <c r="U35" s="135">
        <f t="shared" si="19"/>
        <v>215067.64841068431</v>
      </c>
      <c r="V35" s="135">
        <f t="shared" si="19"/>
        <v>214790.57159096337</v>
      </c>
      <c r="W35" s="135">
        <f t="shared" si="19"/>
        <v>214547.37106849885</v>
      </c>
      <c r="X35" s="135">
        <f t="shared" si="19"/>
        <v>214138.16495537892</v>
      </c>
      <c r="Y35" s="135">
        <f t="shared" si="19"/>
        <v>213554.32054931889</v>
      </c>
      <c r="Z35" s="135">
        <f t="shared" si="19"/>
        <v>212798.45714775455</v>
      </c>
      <c r="AA35" s="135">
        <f t="shared" si="19"/>
        <v>211830.25360800099</v>
      </c>
      <c r="AB35" s="135">
        <f t="shared" si="19"/>
        <v>210668.68601290841</v>
      </c>
      <c r="AC35" s="135">
        <f t="shared" si="19"/>
        <v>208755.05003915113</v>
      </c>
      <c r="AD35" s="135">
        <f t="shared" si="19"/>
        <v>206333.75304803817</v>
      </c>
      <c r="AE35" s="135">
        <f t="shared" si="19"/>
        <v>202407.53808053446</v>
      </c>
      <c r="AF35" s="135">
        <f t="shared" si="19"/>
        <v>184628.4118422874</v>
      </c>
    </row>
    <row r="36" spans="2:34" s="135" customFormat="1">
      <c r="C36" s="135">
        <f>(C29-240000)*0.1</f>
        <v>10445.245949611819</v>
      </c>
      <c r="D36" s="135">
        <f t="shared" ref="D36:AF36" si="20">(D29-240000)*0.1</f>
        <v>46593.401802130567</v>
      </c>
      <c r="E36" s="135">
        <f t="shared" si="20"/>
        <v>49006.153907015017</v>
      </c>
      <c r="F36" s="135">
        <f t="shared" si="20"/>
        <v>60292.506844716416</v>
      </c>
      <c r="G36" s="135">
        <f t="shared" si="20"/>
        <v>65043.361112205559</v>
      </c>
      <c r="H36" s="135">
        <f t="shared" si="20"/>
        <v>69113.2336505438</v>
      </c>
      <c r="I36" s="135">
        <f t="shared" si="20"/>
        <v>101851.84464471038</v>
      </c>
      <c r="J36" s="135">
        <f t="shared" si="20"/>
        <v>116908.17198169511</v>
      </c>
      <c r="K36" s="135">
        <f t="shared" si="20"/>
        <v>115792.99099983227</v>
      </c>
      <c r="L36" s="135">
        <f t="shared" si="20"/>
        <v>107261.74044943444</v>
      </c>
      <c r="M36" s="135">
        <f t="shared" si="20"/>
        <v>119411.28391472693</v>
      </c>
      <c r="N36" s="135">
        <f t="shared" si="20"/>
        <v>131768.3354831938</v>
      </c>
      <c r="O36" s="135">
        <f t="shared" si="20"/>
        <v>121335.8759062583</v>
      </c>
      <c r="P36" s="135">
        <f t="shared" si="20"/>
        <v>121434.08679646277</v>
      </c>
      <c r="Q36" s="135">
        <f t="shared" si="20"/>
        <v>121528.3623051371</v>
      </c>
      <c r="R36" s="135">
        <f t="shared" si="20"/>
        <v>121558.55075217597</v>
      </c>
      <c r="S36" s="135">
        <f t="shared" si="20"/>
        <v>119527.00116092715</v>
      </c>
      <c r="T36" s="135">
        <f t="shared" si="20"/>
        <v>119477.86461724919</v>
      </c>
      <c r="U36" s="135">
        <f t="shared" si="20"/>
        <v>119378.43227378954</v>
      </c>
      <c r="V36" s="135">
        <f t="shared" si="20"/>
        <v>119193.71439397559</v>
      </c>
      <c r="W36" s="135">
        <f t="shared" si="20"/>
        <v>119031.58071233258</v>
      </c>
      <c r="X36" s="135">
        <f t="shared" si="20"/>
        <v>118758.7766369193</v>
      </c>
      <c r="Y36" s="135">
        <f t="shared" si="20"/>
        <v>118369.54703287927</v>
      </c>
      <c r="Z36" s="135">
        <f t="shared" si="20"/>
        <v>117865.63809850306</v>
      </c>
      <c r="AA36" s="135">
        <f t="shared" si="20"/>
        <v>117220.16907200066</v>
      </c>
      <c r="AB36" s="135">
        <f t="shared" si="20"/>
        <v>116445.79067527229</v>
      </c>
      <c r="AC36" s="135">
        <f t="shared" si="20"/>
        <v>115170.03335943409</v>
      </c>
      <c r="AD36" s="135">
        <f t="shared" si="20"/>
        <v>113555.8353653588</v>
      </c>
      <c r="AE36" s="135">
        <f t="shared" si="20"/>
        <v>110938.35872035632</v>
      </c>
      <c r="AF36" s="135">
        <f t="shared" si="20"/>
        <v>99085.607894858287</v>
      </c>
    </row>
    <row r="37" spans="2:34" s="135" customFormat="1">
      <c r="C37" s="135">
        <f>C35+C36</f>
        <v>62113.114874029547</v>
      </c>
      <c r="D37" s="135">
        <f t="shared" ref="D37:AF37" si="21">D35+D36</f>
        <v>152483.50450532642</v>
      </c>
      <c r="E37" s="135">
        <f t="shared" si="21"/>
        <v>158515.38476753753</v>
      </c>
      <c r="F37" s="135">
        <f t="shared" si="21"/>
        <v>186731.26711179104</v>
      </c>
      <c r="G37" s="135">
        <f t="shared" si="21"/>
        <v>198608.40278051386</v>
      </c>
      <c r="H37" s="135">
        <f t="shared" si="21"/>
        <v>208783.08412635949</v>
      </c>
      <c r="I37" s="135">
        <f t="shared" si="21"/>
        <v>290629.61161177594</v>
      </c>
      <c r="J37" s="135">
        <f t="shared" si="21"/>
        <v>328270.42995423777</v>
      </c>
      <c r="K37" s="135">
        <f t="shared" si="21"/>
        <v>325482.47749958065</v>
      </c>
      <c r="L37" s="135">
        <f t="shared" si="21"/>
        <v>304154.35112358606</v>
      </c>
      <c r="M37" s="135">
        <f t="shared" si="21"/>
        <v>334528.20978681732</v>
      </c>
      <c r="N37" s="135">
        <f t="shared" si="21"/>
        <v>365420.83870798448</v>
      </c>
      <c r="O37" s="135">
        <f t="shared" si="21"/>
        <v>339339.68976564571</v>
      </c>
      <c r="P37" s="135">
        <f t="shared" si="21"/>
        <v>339585.21699115692</v>
      </c>
      <c r="Q37" s="135">
        <f t="shared" si="21"/>
        <v>339820.90576284274</v>
      </c>
      <c r="R37" s="135">
        <f t="shared" si="21"/>
        <v>339896.37688043993</v>
      </c>
      <c r="S37" s="135">
        <f t="shared" si="21"/>
        <v>334817.50290231785</v>
      </c>
      <c r="T37" s="135">
        <f t="shared" si="21"/>
        <v>334694.66154312296</v>
      </c>
      <c r="U37" s="135">
        <f t="shared" si="21"/>
        <v>334446.08068447385</v>
      </c>
      <c r="V37" s="135">
        <f t="shared" si="21"/>
        <v>333984.28598493896</v>
      </c>
      <c r="W37" s="135">
        <f t="shared" si="21"/>
        <v>333578.95178083144</v>
      </c>
      <c r="X37" s="135">
        <f t="shared" si="21"/>
        <v>332896.94159229822</v>
      </c>
      <c r="Y37" s="135">
        <f t="shared" si="21"/>
        <v>331923.86758219817</v>
      </c>
      <c r="Z37" s="135">
        <f t="shared" si="21"/>
        <v>330664.09524625761</v>
      </c>
      <c r="AA37" s="135">
        <f t="shared" si="21"/>
        <v>329050.42268000165</v>
      </c>
      <c r="AB37" s="135">
        <f t="shared" si="21"/>
        <v>327114.4766881807</v>
      </c>
      <c r="AC37" s="135">
        <f t="shared" si="21"/>
        <v>323925.08339858521</v>
      </c>
      <c r="AD37" s="135">
        <f t="shared" si="21"/>
        <v>319889.58841339697</v>
      </c>
      <c r="AE37" s="135">
        <f t="shared" si="21"/>
        <v>313345.8968008908</v>
      </c>
      <c r="AF37" s="135">
        <f t="shared" si="21"/>
        <v>283714.01973714569</v>
      </c>
    </row>
    <row r="39" spans="2:34">
      <c r="B39" s="41" t="str">
        <f>IF(SUM(C39:AF39)&gt;=1,"CHECK","OK")</f>
        <v>OK</v>
      </c>
      <c r="C39" s="41">
        <f t="shared" ref="C39:AF39" si="22">IF(C29&lt;=240000,1,0)</f>
        <v>0</v>
      </c>
      <c r="D39" s="41">
        <f t="shared" si="22"/>
        <v>0</v>
      </c>
      <c r="E39" s="41">
        <f t="shared" si="22"/>
        <v>0</v>
      </c>
      <c r="F39" s="41">
        <f t="shared" si="22"/>
        <v>0</v>
      </c>
      <c r="G39" s="41">
        <f t="shared" si="22"/>
        <v>0</v>
      </c>
      <c r="H39" s="41">
        <f t="shared" si="22"/>
        <v>0</v>
      </c>
      <c r="I39" s="41">
        <f t="shared" si="22"/>
        <v>0</v>
      </c>
      <c r="J39" s="41">
        <f t="shared" si="22"/>
        <v>0</v>
      </c>
      <c r="K39" s="41">
        <f t="shared" si="22"/>
        <v>0</v>
      </c>
      <c r="L39" s="41">
        <f t="shared" si="22"/>
        <v>0</v>
      </c>
      <c r="M39" s="41">
        <f t="shared" si="22"/>
        <v>0</v>
      </c>
      <c r="N39" s="41">
        <f t="shared" si="22"/>
        <v>0</v>
      </c>
      <c r="O39" s="41">
        <f t="shared" si="22"/>
        <v>0</v>
      </c>
      <c r="P39" s="41">
        <f t="shared" si="22"/>
        <v>0</v>
      </c>
      <c r="Q39" s="41">
        <f t="shared" si="22"/>
        <v>0</v>
      </c>
      <c r="R39" s="41">
        <f t="shared" si="22"/>
        <v>0</v>
      </c>
      <c r="S39" s="41">
        <f t="shared" si="22"/>
        <v>0</v>
      </c>
      <c r="T39" s="41">
        <f t="shared" si="22"/>
        <v>0</v>
      </c>
      <c r="U39" s="41">
        <f t="shared" si="22"/>
        <v>0</v>
      </c>
      <c r="V39" s="41">
        <f t="shared" si="22"/>
        <v>0</v>
      </c>
      <c r="W39" s="41">
        <f t="shared" si="22"/>
        <v>0</v>
      </c>
      <c r="X39" s="41">
        <f t="shared" si="22"/>
        <v>0</v>
      </c>
      <c r="Y39" s="41">
        <f t="shared" si="22"/>
        <v>0</v>
      </c>
      <c r="Z39" s="41">
        <f t="shared" si="22"/>
        <v>0</v>
      </c>
      <c r="AA39" s="41">
        <f t="shared" si="22"/>
        <v>0</v>
      </c>
      <c r="AB39" s="41">
        <f t="shared" si="22"/>
        <v>0</v>
      </c>
      <c r="AC39" s="41">
        <f t="shared" si="22"/>
        <v>0</v>
      </c>
      <c r="AD39" s="41">
        <f t="shared" si="22"/>
        <v>0</v>
      </c>
      <c r="AE39" s="41">
        <f t="shared" si="22"/>
        <v>0</v>
      </c>
      <c r="AF39" s="41">
        <f t="shared" si="22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3">D27</f>
        <v>725356.85352382285</v>
      </c>
      <c r="E45" s="1227">
        <f t="shared" si="23"/>
        <v>761828.63043885329</v>
      </c>
      <c r="F45" s="1227">
        <f t="shared" si="23"/>
        <v>885889.84541072126</v>
      </c>
      <c r="G45" s="1227">
        <f t="shared" si="23"/>
        <v>987003.66554251267</v>
      </c>
      <c r="H45" s="1227">
        <f t="shared" si="23"/>
        <v>1236097.9959341185</v>
      </c>
      <c r="I45" s="1227">
        <f t="shared" si="23"/>
        <v>1593813.2030140865</v>
      </c>
      <c r="J45" s="1227">
        <f t="shared" si="23"/>
        <v>1818859.3253650826</v>
      </c>
      <c r="K45" s="1227">
        <f t="shared" si="23"/>
        <v>1861877.5985226051</v>
      </c>
      <c r="L45" s="1227">
        <f t="shared" si="23"/>
        <v>1937904.2167109489</v>
      </c>
      <c r="M45" s="1227">
        <f t="shared" si="23"/>
        <v>2109388.554891862</v>
      </c>
      <c r="N45" s="1227">
        <f t="shared" si="23"/>
        <v>2372617.253714513</v>
      </c>
      <c r="O45" s="1227">
        <f t="shared" si="23"/>
        <v>2399015.4471391132</v>
      </c>
      <c r="P45" s="1227">
        <f t="shared" si="23"/>
        <v>2404020.3062618719</v>
      </c>
      <c r="Q45" s="1227">
        <f t="shared" si="23"/>
        <v>2409237.2334581236</v>
      </c>
      <c r="R45" s="1227">
        <f t="shared" si="23"/>
        <v>2414098.2348453216</v>
      </c>
      <c r="S45" s="1227">
        <f t="shared" si="23"/>
        <v>2398289.7927722717</v>
      </c>
      <c r="T45" s="1227">
        <f t="shared" si="23"/>
        <v>2402652.177624118</v>
      </c>
      <c r="U45" s="1227">
        <f t="shared" si="23"/>
        <v>2406916.0836688662</v>
      </c>
      <c r="V45" s="1227">
        <f t="shared" si="23"/>
        <v>2410805.15521183</v>
      </c>
      <c r="W45" s="1227">
        <f t="shared" si="23"/>
        <v>2415493.6937706135</v>
      </c>
      <c r="X45" s="1227">
        <f t="shared" si="23"/>
        <v>2420409.4034333848</v>
      </c>
      <c r="Y45" s="1227">
        <f t="shared" si="23"/>
        <v>2423946.9516120018</v>
      </c>
      <c r="Z45" s="1227">
        <f t="shared" si="23"/>
        <v>2427399.1128042592</v>
      </c>
      <c r="AA45" s="1227">
        <f t="shared" si="23"/>
        <v>2430850.8814979247</v>
      </c>
      <c r="AB45" s="1227">
        <f t="shared" si="23"/>
        <v>2434994.8482810683</v>
      </c>
      <c r="AC45" s="1227">
        <f t="shared" si="23"/>
        <v>2439435.7135607204</v>
      </c>
      <c r="AD45" s="1227">
        <f t="shared" si="23"/>
        <v>2443377.9848706797</v>
      </c>
      <c r="AE45" s="1227">
        <f t="shared" si="23"/>
        <v>2447736.5952967233</v>
      </c>
      <c r="AF45" s="1227">
        <f t="shared" si="23"/>
        <v>2450941.0887906123</v>
      </c>
      <c r="AG45" s="1229">
        <f>SUM(C45:AF45)</f>
        <v>60214710.307464756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7" si="24">SUM(C46:AF46)</f>
        <v>0</v>
      </c>
    </row>
    <row r="47" spans="2:34" s="205" customFormat="1" ht="21" customHeight="1">
      <c r="B47" s="468" t="s">
        <v>229</v>
      </c>
      <c r="C47" s="1212">
        <f>C48+C54</f>
        <v>-563262.22957299976</v>
      </c>
      <c r="D47" s="1212">
        <f t="shared" ref="D47:AF47" si="25">D48+D54</f>
        <v>-561656.73038045038</v>
      </c>
      <c r="E47" s="1212">
        <f t="shared" si="25"/>
        <v>-526558.43434490811</v>
      </c>
      <c r="F47" s="1212">
        <f t="shared" si="25"/>
        <v>-1656331.7371514337</v>
      </c>
      <c r="G47" s="1212">
        <f t="shared" si="25"/>
        <v>-5488637.5529870847</v>
      </c>
      <c r="H47" s="1212">
        <f t="shared" si="25"/>
        <v>-1020483.3257311017</v>
      </c>
      <c r="I47" s="1212">
        <f t="shared" si="25"/>
        <v>-2117001.7983584367</v>
      </c>
      <c r="J47" s="1212">
        <f t="shared" si="25"/>
        <v>-1646829.6102130874</v>
      </c>
      <c r="K47" s="1212">
        <f t="shared" si="25"/>
        <v>-3839417.7669381956</v>
      </c>
      <c r="L47" s="1212">
        <f t="shared" si="25"/>
        <v>-1422067.9880878376</v>
      </c>
      <c r="M47" s="1212">
        <f t="shared" si="25"/>
        <v>-3117103.8449317371</v>
      </c>
      <c r="N47" s="1212">
        <f t="shared" si="25"/>
        <v>-2858622.5461340533</v>
      </c>
      <c r="O47" s="1212">
        <f t="shared" si="25"/>
        <v>-538528.73183341476</v>
      </c>
      <c r="P47" s="1212">
        <f t="shared" si="25"/>
        <v>-538862.64886010997</v>
      </c>
      <c r="Q47" s="1212">
        <f t="shared" si="25"/>
        <v>-539183.18558960268</v>
      </c>
      <c r="R47" s="1212">
        <f t="shared" si="25"/>
        <v>-533997.82630953484</v>
      </c>
      <c r="S47" s="1212">
        <f t="shared" si="25"/>
        <v>-527090.55769928882</v>
      </c>
      <c r="T47" s="1212">
        <f t="shared" si="25"/>
        <v>-526923.49345078378</v>
      </c>
      <c r="U47" s="1212">
        <f t="shared" si="25"/>
        <v>-526585.42348302098</v>
      </c>
      <c r="V47" s="1212">
        <f t="shared" si="25"/>
        <v>-525957.38269165356</v>
      </c>
      <c r="W47" s="1212">
        <f t="shared" si="25"/>
        <v>-531101.12817406736</v>
      </c>
      <c r="X47" s="1212">
        <f t="shared" si="25"/>
        <v>-520818.59431766218</v>
      </c>
      <c r="Y47" s="1212">
        <f t="shared" si="25"/>
        <v>-519495.21366392612</v>
      </c>
      <c r="Z47" s="1212">
        <f t="shared" si="25"/>
        <v>-517781.92328704696</v>
      </c>
      <c r="AA47" s="1212">
        <f t="shared" si="25"/>
        <v>-515587.32859693887</v>
      </c>
      <c r="AB47" s="1212">
        <f t="shared" si="25"/>
        <v>-522309.44204806234</v>
      </c>
      <c r="AC47" s="1212">
        <f t="shared" si="25"/>
        <v>-509430.86717421247</v>
      </c>
      <c r="AD47" s="1212">
        <f t="shared" si="25"/>
        <v>-504756.59399435646</v>
      </c>
      <c r="AE47" s="1212">
        <f t="shared" si="25"/>
        <v>-497075.17340134806</v>
      </c>
      <c r="AF47" s="1228">
        <f t="shared" si="25"/>
        <v>-453938.31483925111</v>
      </c>
      <c r="AG47" s="1231">
        <f t="shared" si="24"/>
        <v>-34167397.394245602</v>
      </c>
    </row>
    <row r="48" spans="2:34" s="206" customFormat="1" ht="21" customHeight="1">
      <c r="B48" s="468" t="s">
        <v>230</v>
      </c>
      <c r="C48" s="1212">
        <f>SUM(C49:C53)</f>
        <v>-563262.22957299976</v>
      </c>
      <c r="D48" s="1212">
        <f t="shared" ref="D48:AF48" si="26">SUM(D49:D53)</f>
        <v>-345639.16425320646</v>
      </c>
      <c r="E48" s="1212">
        <f t="shared" si="26"/>
        <v>-302337.51106105704</v>
      </c>
      <c r="F48" s="1212">
        <f t="shared" si="26"/>
        <v>-1393737.2138793978</v>
      </c>
      <c r="G48" s="1212">
        <f t="shared" si="26"/>
        <v>-5209890.1252055857</v>
      </c>
      <c r="H48" s="1212">
        <f t="shared" si="26"/>
        <v>-727898.33131925284</v>
      </c>
      <c r="I48" s="1212">
        <f t="shared" si="26"/>
        <v>-1713105.5265664214</v>
      </c>
      <c r="J48" s="1212">
        <f t="shared" si="26"/>
        <v>-1191741.8254753242</v>
      </c>
      <c r="K48" s="1211">
        <f t="shared" si="26"/>
        <v>-3388121.597538766</v>
      </c>
      <c r="L48" s="1211">
        <f t="shared" si="26"/>
        <v>-999778.07055976056</v>
      </c>
      <c r="M48" s="1211">
        <f t="shared" si="26"/>
        <v>-2653505.4796216656</v>
      </c>
      <c r="N48" s="1211">
        <f t="shared" si="26"/>
        <v>-2353010.2054911945</v>
      </c>
      <c r="O48" s="1211">
        <f t="shared" si="26"/>
        <v>-68386.753752136574</v>
      </c>
      <c r="P48" s="1211">
        <f t="shared" si="26"/>
        <v>-68386.753752136574</v>
      </c>
      <c r="Q48" s="1211">
        <f t="shared" si="26"/>
        <v>-68386.753752136574</v>
      </c>
      <c r="R48" s="1211">
        <f t="shared" si="26"/>
        <v>-63098.753752136574</v>
      </c>
      <c r="S48" s="1211">
        <f t="shared" si="26"/>
        <v>-63098.753752136574</v>
      </c>
      <c r="T48" s="1211">
        <f t="shared" si="26"/>
        <v>-63098.753752136574</v>
      </c>
      <c r="U48" s="1211">
        <f t="shared" si="26"/>
        <v>-63098.753752136574</v>
      </c>
      <c r="V48" s="1211">
        <f t="shared" si="26"/>
        <v>-63098.753752136574</v>
      </c>
      <c r="W48" s="1211">
        <f t="shared" si="26"/>
        <v>-68793.753752136574</v>
      </c>
      <c r="X48" s="1211">
        <f t="shared" si="26"/>
        <v>-59438.753752136574</v>
      </c>
      <c r="Y48" s="1211">
        <f t="shared" si="26"/>
        <v>-59438.753752136574</v>
      </c>
      <c r="Z48" s="1211">
        <f t="shared" si="26"/>
        <v>-59438.753752136574</v>
      </c>
      <c r="AA48" s="1211">
        <f t="shared" si="26"/>
        <v>-59438.753752136574</v>
      </c>
      <c r="AB48" s="1211">
        <f t="shared" si="26"/>
        <v>-68793.753752136574</v>
      </c>
      <c r="AC48" s="1211">
        <f t="shared" si="26"/>
        <v>-60252.753752136574</v>
      </c>
      <c r="AD48" s="1211">
        <f t="shared" si="26"/>
        <v>-61066.753752136574</v>
      </c>
      <c r="AE48" s="1211">
        <f t="shared" si="26"/>
        <v>-62284.753752136574</v>
      </c>
      <c r="AF48" s="1211">
        <f t="shared" si="26"/>
        <v>-59447.247996732927</v>
      </c>
      <c r="AG48" s="1231">
        <f t="shared" si="24"/>
        <v>-21981075.342327654</v>
      </c>
      <c r="AH48" s="207"/>
    </row>
    <row r="49" spans="2:34" s="206" customFormat="1" ht="21" customHeight="1">
      <c r="B49" s="1258" t="s">
        <v>231</v>
      </c>
      <c r="C49" s="1214">
        <f t="array" ref="C49:AF49">-TRANSPOSE('18 R1 Invest Total'!C4:C33)</f>
        <v>-408428.3754822117</v>
      </c>
      <c r="D49" s="1214">
        <v>-329783.01199834509</v>
      </c>
      <c r="E49" s="1214">
        <v>-226602.31678867349</v>
      </c>
      <c r="F49" s="1214">
        <v>-1359859.3479073208</v>
      </c>
      <c r="G49" s="1214">
        <v>-423362.0777800596</v>
      </c>
      <c r="H49" s="1214">
        <v>-99278.617780059591</v>
      </c>
      <c r="I49" s="1214">
        <v>-14581.887780059598</v>
      </c>
      <c r="J49" s="1214">
        <v>-14581.887780059598</v>
      </c>
      <c r="K49" s="1214">
        <v>-14581.887780059598</v>
      </c>
      <c r="L49" s="1214">
        <v>-15189.887780059598</v>
      </c>
      <c r="M49" s="1214">
        <v>-14785.887780059598</v>
      </c>
      <c r="N49" s="1214">
        <v>-14275.887780059598</v>
      </c>
      <c r="O49" s="1214">
        <v>-14275.887780059598</v>
      </c>
      <c r="P49" s="1214">
        <v>-14275.887780059598</v>
      </c>
      <c r="Q49" s="1214">
        <v>-14275.887780059598</v>
      </c>
      <c r="R49" s="1214">
        <v>-12851.887780059598</v>
      </c>
      <c r="S49" s="1214">
        <v>-12851.887780059598</v>
      </c>
      <c r="T49" s="1214">
        <v>-12851.887780059598</v>
      </c>
      <c r="U49" s="1214">
        <v>-12851.887780059598</v>
      </c>
      <c r="V49" s="1214">
        <v>-12851.887780059598</v>
      </c>
      <c r="W49" s="1214">
        <v>-14377.887780059598</v>
      </c>
      <c r="X49" s="1214">
        <v>-11835.887780059598</v>
      </c>
      <c r="Y49" s="1214">
        <v>-11835.887780059598</v>
      </c>
      <c r="Z49" s="1214">
        <v>-11835.887780059598</v>
      </c>
      <c r="AA49" s="1214">
        <v>-11835.887780059598</v>
      </c>
      <c r="AB49" s="1214">
        <v>-14377.887780059598</v>
      </c>
      <c r="AC49" s="1214">
        <v>-12039.887780059598</v>
      </c>
      <c r="AD49" s="1214">
        <v>-12243.887780059598</v>
      </c>
      <c r="AE49" s="1214">
        <v>-12647.887780059598</v>
      </c>
      <c r="AF49" s="1230">
        <v>-9773.2620246559418</v>
      </c>
      <c r="AG49" s="1231">
        <f t="shared" si="24"/>
        <v>-3165202.4287026967</v>
      </c>
    </row>
    <row r="50" spans="2:34" s="206" customFormat="1" ht="21" customHeight="1">
      <c r="B50" s="1259" t="s">
        <v>762</v>
      </c>
      <c r="C50" s="1214"/>
      <c r="D50" s="1214"/>
      <c r="E50" s="1214"/>
      <c r="F50" s="1214"/>
      <c r="G50" s="1214"/>
      <c r="H50" s="1214"/>
      <c r="I50" s="1214"/>
      <c r="J50" s="1214"/>
      <c r="K50" s="1222">
        <f>-'E3 DIST INDL'!B37</f>
        <v>-1023752.9967814514</v>
      </c>
      <c r="L50" s="1222"/>
      <c r="M50" s="1222"/>
      <c r="N50" s="1222"/>
      <c r="O50" s="1222"/>
      <c r="P50" s="1222"/>
      <c r="Q50" s="1222"/>
      <c r="R50" s="1222"/>
      <c r="S50" s="1222"/>
      <c r="T50" s="1222"/>
      <c r="U50" s="1222"/>
      <c r="V50" s="1222"/>
      <c r="W50" s="1222"/>
      <c r="X50" s="1222"/>
      <c r="Y50" s="1222"/>
      <c r="Z50" s="1222"/>
      <c r="AA50" s="1222"/>
      <c r="AB50" s="1222"/>
      <c r="AC50" s="1222"/>
      <c r="AD50" s="1222"/>
      <c r="AE50" s="1222"/>
      <c r="AF50" s="1222"/>
      <c r="AG50" s="1231">
        <f t="shared" si="24"/>
        <v>-1023752.9967814514</v>
      </c>
    </row>
    <row r="51" spans="2:34" s="206" customFormat="1" ht="21" customHeight="1">
      <c r="B51" s="470" t="s">
        <v>232</v>
      </c>
      <c r="C51" s="1214">
        <f t="array" ref="C51:AF51">-TRANSPOSE('18 R1 Invest Total'!D4:D33)</f>
        <v>-37879.125589369905</v>
      </c>
      <c r="D51" s="1214">
        <v>-571.94869673148537</v>
      </c>
      <c r="E51" s="1214">
        <v>-9420.8028316306008</v>
      </c>
      <c r="F51" s="1214">
        <v>-816</v>
      </c>
      <c r="G51" s="1214">
        <v>-4753466.1814534497</v>
      </c>
      <c r="H51" s="1214">
        <v>-595557.84756711626</v>
      </c>
      <c r="I51" s="1214">
        <v>-1665461.7728142848</v>
      </c>
      <c r="J51" s="1214">
        <v>-1144098.0717231876</v>
      </c>
      <c r="K51" s="1214">
        <v>-1876522.1650870387</v>
      </c>
      <c r="L51" s="1214">
        <v>-951526.31680762395</v>
      </c>
      <c r="M51" s="1214">
        <v>-2605657.7258695289</v>
      </c>
      <c r="N51" s="1214">
        <v>-2305672.4517390579</v>
      </c>
      <c r="O51" s="1214">
        <v>-21049</v>
      </c>
      <c r="P51" s="1214">
        <v>-21049</v>
      </c>
      <c r="Q51" s="1214">
        <v>-21049</v>
      </c>
      <c r="R51" s="1214">
        <v>-17185</v>
      </c>
      <c r="S51" s="1214">
        <v>-17185</v>
      </c>
      <c r="T51" s="1214">
        <v>-17185</v>
      </c>
      <c r="U51" s="1214">
        <v>-17185</v>
      </c>
      <c r="V51" s="1214">
        <v>-17185</v>
      </c>
      <c r="W51" s="1214">
        <v>-21354</v>
      </c>
      <c r="X51" s="1214">
        <v>-14541</v>
      </c>
      <c r="Y51" s="1214">
        <v>-14541</v>
      </c>
      <c r="Z51" s="1214">
        <v>-14541</v>
      </c>
      <c r="AA51" s="1214">
        <v>-14541</v>
      </c>
      <c r="AB51" s="1214">
        <v>-21354</v>
      </c>
      <c r="AC51" s="1214">
        <v>-15151</v>
      </c>
      <c r="AD51" s="1214">
        <v>-15761</v>
      </c>
      <c r="AE51" s="1214">
        <v>-16575</v>
      </c>
      <c r="AF51" s="1230">
        <v>-16612.120000000003</v>
      </c>
      <c r="AG51" s="1231">
        <f t="shared" si="24"/>
        <v>-16260693.530179018</v>
      </c>
    </row>
    <row r="52" spans="2:34" s="206" customFormat="1" ht="21" customHeight="1">
      <c r="B52" s="1259" t="s">
        <v>763</v>
      </c>
      <c r="C52" s="1214"/>
      <c r="D52" s="1214"/>
      <c r="E52" s="1214"/>
      <c r="F52" s="1214"/>
      <c r="G52" s="1214"/>
      <c r="H52" s="1214"/>
      <c r="I52" s="1214"/>
      <c r="J52" s="1214"/>
      <c r="K52" s="1222">
        <f>-'E3 DIST INDL'!B38</f>
        <v>-440202.68191813945</v>
      </c>
      <c r="L52" s="1214"/>
      <c r="M52" s="1214"/>
      <c r="N52" s="1214"/>
      <c r="O52" s="1214"/>
      <c r="P52" s="1214"/>
      <c r="Q52" s="1214"/>
      <c r="R52" s="1214"/>
      <c r="S52" s="1214"/>
      <c r="T52" s="1214"/>
      <c r="U52" s="1214"/>
      <c r="V52" s="1214"/>
      <c r="W52" s="1214"/>
      <c r="X52" s="1214"/>
      <c r="Y52" s="1214"/>
      <c r="Z52" s="1214"/>
      <c r="AA52" s="1214"/>
      <c r="AB52" s="1214"/>
      <c r="AC52" s="1214"/>
      <c r="AD52" s="1214"/>
      <c r="AE52" s="1214"/>
      <c r="AF52" s="1230"/>
      <c r="AG52" s="1231"/>
    </row>
    <row r="53" spans="2:34" s="206" customFormat="1" ht="21" customHeight="1">
      <c r="B53" s="470" t="s">
        <v>233</v>
      </c>
      <c r="C53" s="1214">
        <f t="array" ref="C53:AF53">-TRANSPOSE('18 R1 Invest Total'!E4:E33)</f>
        <v>-116954.72850141811</v>
      </c>
      <c r="D53" s="1214">
        <v>-15284.203558129915</v>
      </c>
      <c r="E53" s="1214">
        <v>-66314.391440752952</v>
      </c>
      <c r="F53" s="1214">
        <v>-33061.865972076979</v>
      </c>
      <c r="G53" s="1214">
        <v>-33061.865972076979</v>
      </c>
      <c r="H53" s="1214">
        <v>-33061.865972076979</v>
      </c>
      <c r="I53" s="1214">
        <v>-33061.865972076979</v>
      </c>
      <c r="J53" s="1214">
        <v>-33061.865972076979</v>
      </c>
      <c r="K53" s="1214">
        <v>-33061.865972076979</v>
      </c>
      <c r="L53" s="1214">
        <v>-33061.865972076979</v>
      </c>
      <c r="M53" s="1214">
        <v>-33061.865972076979</v>
      </c>
      <c r="N53" s="1214">
        <v>-33061.865972076979</v>
      </c>
      <c r="O53" s="1214">
        <v>-33061.865972076979</v>
      </c>
      <c r="P53" s="1214">
        <v>-33061.865972076979</v>
      </c>
      <c r="Q53" s="1214">
        <v>-33061.865972076979</v>
      </c>
      <c r="R53" s="1214">
        <v>-33061.865972076979</v>
      </c>
      <c r="S53" s="1214">
        <v>-33061.865972076979</v>
      </c>
      <c r="T53" s="1214">
        <v>-33061.865972076979</v>
      </c>
      <c r="U53" s="1214">
        <v>-33061.865972076979</v>
      </c>
      <c r="V53" s="1214">
        <v>-33061.865972076979</v>
      </c>
      <c r="W53" s="1214">
        <v>-33061.865972076979</v>
      </c>
      <c r="X53" s="1214">
        <v>-33061.865972076979</v>
      </c>
      <c r="Y53" s="1214">
        <v>-33061.865972076979</v>
      </c>
      <c r="Z53" s="1214">
        <v>-33061.865972076979</v>
      </c>
      <c r="AA53" s="1214">
        <v>-33061.865972076979</v>
      </c>
      <c r="AB53" s="1214">
        <v>-33061.865972076979</v>
      </c>
      <c r="AC53" s="1214">
        <v>-33061.865972076979</v>
      </c>
      <c r="AD53" s="1214">
        <v>-33061.865972076979</v>
      </c>
      <c r="AE53" s="1214">
        <v>-33061.865972076979</v>
      </c>
      <c r="AF53" s="1230">
        <v>-33061.865972076979</v>
      </c>
      <c r="AG53" s="1231">
        <f t="shared" si="24"/>
        <v>-1091223.70474638</v>
      </c>
    </row>
    <row r="54" spans="2:34" s="206" customFormat="1" ht="21" customHeight="1">
      <c r="B54" s="468" t="s">
        <v>234</v>
      </c>
      <c r="C54" s="1212">
        <f>C55+C56</f>
        <v>0</v>
      </c>
      <c r="D54" s="1212">
        <f t="shared" ref="D54:AF54" si="27">D55+D56</f>
        <v>-216017.56612724392</v>
      </c>
      <c r="E54" s="1212">
        <f t="shared" si="27"/>
        <v>-224220.92328385104</v>
      </c>
      <c r="F54" s="1212">
        <f t="shared" si="27"/>
        <v>-262594.52327203582</v>
      </c>
      <c r="G54" s="1212">
        <f t="shared" si="27"/>
        <v>-278747.42778149887</v>
      </c>
      <c r="H54" s="1212">
        <f t="shared" si="27"/>
        <v>-292584.99441184889</v>
      </c>
      <c r="I54" s="1212">
        <f t="shared" si="27"/>
        <v>-403896.27179201529</v>
      </c>
      <c r="J54" s="1212">
        <f t="shared" si="27"/>
        <v>-455087.78473776334</v>
      </c>
      <c r="K54" s="1212">
        <f t="shared" si="27"/>
        <v>-451296.16939942969</v>
      </c>
      <c r="L54" s="1212">
        <f t="shared" si="27"/>
        <v>-422289.91752807703</v>
      </c>
      <c r="M54" s="1212">
        <f t="shared" si="27"/>
        <v>-463598.36531007156</v>
      </c>
      <c r="N54" s="1212">
        <f t="shared" si="27"/>
        <v>-505612.34064285888</v>
      </c>
      <c r="O54" s="1212">
        <f t="shared" si="27"/>
        <v>-470141.97808127815</v>
      </c>
      <c r="P54" s="1212">
        <f t="shared" si="27"/>
        <v>-470475.89510797343</v>
      </c>
      <c r="Q54" s="1212">
        <f t="shared" si="27"/>
        <v>-470796.43183746614</v>
      </c>
      <c r="R54" s="1212">
        <f t="shared" si="27"/>
        <v>-470899.07255739829</v>
      </c>
      <c r="S54" s="1212">
        <f t="shared" si="27"/>
        <v>-463991.80394715228</v>
      </c>
      <c r="T54" s="1212">
        <f t="shared" si="27"/>
        <v>-463824.73969864723</v>
      </c>
      <c r="U54" s="1212">
        <f t="shared" si="27"/>
        <v>-463486.66973088443</v>
      </c>
      <c r="V54" s="1212">
        <f t="shared" si="27"/>
        <v>-462858.62893951696</v>
      </c>
      <c r="W54" s="1212">
        <f t="shared" si="27"/>
        <v>-462307.37442193076</v>
      </c>
      <c r="X54" s="1212">
        <f t="shared" si="27"/>
        <v>-461379.84056552558</v>
      </c>
      <c r="Y54" s="1212">
        <f t="shared" si="27"/>
        <v>-460056.45991178951</v>
      </c>
      <c r="Z54" s="1212">
        <f t="shared" si="27"/>
        <v>-458343.16953491035</v>
      </c>
      <c r="AA54" s="1212">
        <f t="shared" si="27"/>
        <v>-456148.57484480226</v>
      </c>
      <c r="AB54" s="1212">
        <f t="shared" si="27"/>
        <v>-453515.68829592573</v>
      </c>
      <c r="AC54" s="1212">
        <f t="shared" si="27"/>
        <v>-449178.11342207587</v>
      </c>
      <c r="AD54" s="1212">
        <f t="shared" si="27"/>
        <v>-443689.84024221986</v>
      </c>
      <c r="AE54" s="1212">
        <f t="shared" si="27"/>
        <v>-434790.41964921146</v>
      </c>
      <c r="AF54" s="1228">
        <f t="shared" si="27"/>
        <v>-394491.06684251816</v>
      </c>
      <c r="AG54" s="1231">
        <f t="shared" si="24"/>
        <v>-12186322.05191792</v>
      </c>
    </row>
    <row r="55" spans="2:34" s="206" customFormat="1" ht="21" customHeight="1">
      <c r="B55" s="469" t="s">
        <v>235</v>
      </c>
      <c r="C55" s="1214">
        <f>C31</f>
        <v>0</v>
      </c>
      <c r="D55" s="1214">
        <f t="shared" ref="D55:AF56" si="28">D31</f>
        <v>-152483.50450532642</v>
      </c>
      <c r="E55" s="1214">
        <f t="shared" si="28"/>
        <v>-158515.38476753753</v>
      </c>
      <c r="F55" s="1214">
        <f t="shared" si="28"/>
        <v>-186731.26711179104</v>
      </c>
      <c r="G55" s="1214">
        <f t="shared" si="28"/>
        <v>-198608.40278051386</v>
      </c>
      <c r="H55" s="1214">
        <f t="shared" si="28"/>
        <v>-208783.08412635949</v>
      </c>
      <c r="I55" s="1214">
        <f t="shared" si="28"/>
        <v>-290629.61161177594</v>
      </c>
      <c r="J55" s="1214">
        <f t="shared" si="28"/>
        <v>-328270.42995423777</v>
      </c>
      <c r="K55" s="1214">
        <f t="shared" si="28"/>
        <v>-325482.47749958065</v>
      </c>
      <c r="L55" s="1214">
        <f t="shared" si="28"/>
        <v>-304154.35112358606</v>
      </c>
      <c r="M55" s="1214">
        <f t="shared" si="28"/>
        <v>-334528.20978681732</v>
      </c>
      <c r="N55" s="1214">
        <f t="shared" si="28"/>
        <v>-365420.83870798448</v>
      </c>
      <c r="O55" s="1214">
        <f t="shared" si="28"/>
        <v>-339339.68976564571</v>
      </c>
      <c r="P55" s="1214">
        <f t="shared" si="28"/>
        <v>-339585.21699115692</v>
      </c>
      <c r="Q55" s="1214">
        <f t="shared" si="28"/>
        <v>-339820.90576284274</v>
      </c>
      <c r="R55" s="1214">
        <f t="shared" si="28"/>
        <v>-339896.37688043993</v>
      </c>
      <c r="S55" s="1214">
        <f t="shared" si="28"/>
        <v>-334817.50290231785</v>
      </c>
      <c r="T55" s="1214">
        <f t="shared" si="28"/>
        <v>-334694.66154312296</v>
      </c>
      <c r="U55" s="1214">
        <f t="shared" si="28"/>
        <v>-334446.08068447385</v>
      </c>
      <c r="V55" s="1214">
        <f t="shared" si="28"/>
        <v>-333984.28598493896</v>
      </c>
      <c r="W55" s="1214">
        <f t="shared" si="28"/>
        <v>-333578.95178083144</v>
      </c>
      <c r="X55" s="1214">
        <f t="shared" si="28"/>
        <v>-332896.94159229822</v>
      </c>
      <c r="Y55" s="1214">
        <f t="shared" si="28"/>
        <v>-331923.86758219817</v>
      </c>
      <c r="Z55" s="1214">
        <f t="shared" si="28"/>
        <v>-330664.09524625761</v>
      </c>
      <c r="AA55" s="1214">
        <f t="shared" si="28"/>
        <v>-329050.42268000165</v>
      </c>
      <c r="AB55" s="1214">
        <f t="shared" si="28"/>
        <v>-327114.4766881807</v>
      </c>
      <c r="AC55" s="1214">
        <f t="shared" si="28"/>
        <v>-323925.08339858521</v>
      </c>
      <c r="AD55" s="1214">
        <f t="shared" si="28"/>
        <v>-319889.58841339697</v>
      </c>
      <c r="AE55" s="1214">
        <f t="shared" si="28"/>
        <v>-313345.8968008908</v>
      </c>
      <c r="AF55" s="1214">
        <f t="shared" si="28"/>
        <v>-283714.01973714569</v>
      </c>
      <c r="AG55" s="1231">
        <f t="shared" si="24"/>
        <v>-8776295.6264102347</v>
      </c>
    </row>
    <row r="56" spans="2:34" s="206" customFormat="1" ht="21" customHeight="1" thickBot="1">
      <c r="B56" s="476" t="s">
        <v>236</v>
      </c>
      <c r="C56" s="1214">
        <f>C32</f>
        <v>0</v>
      </c>
      <c r="D56" s="1214">
        <f t="shared" si="28"/>
        <v>-63534.061621917506</v>
      </c>
      <c r="E56" s="1214">
        <f t="shared" si="28"/>
        <v>-65705.538516313507</v>
      </c>
      <c r="F56" s="1214">
        <f t="shared" si="28"/>
        <v>-75863.256160244768</v>
      </c>
      <c r="G56" s="1214">
        <f t="shared" si="28"/>
        <v>-80139.025000984999</v>
      </c>
      <c r="H56" s="1214">
        <f t="shared" si="28"/>
        <v>-83801.910285489415</v>
      </c>
      <c r="I56" s="1214">
        <f t="shared" si="28"/>
        <v>-113266.66018023933</v>
      </c>
      <c r="J56" s="1214">
        <f t="shared" si="28"/>
        <v>-126817.35478352559</v>
      </c>
      <c r="K56" s="1214">
        <f t="shared" si="28"/>
        <v>-125813.69189984903</v>
      </c>
      <c r="L56" s="1214">
        <f t="shared" si="28"/>
        <v>-118135.56640449098</v>
      </c>
      <c r="M56" s="1214">
        <f t="shared" si="28"/>
        <v>-129070.15552325423</v>
      </c>
      <c r="N56" s="1214">
        <f t="shared" si="28"/>
        <v>-140191.5019348744</v>
      </c>
      <c r="O56" s="1214">
        <f t="shared" si="28"/>
        <v>-130802.28831563245</v>
      </c>
      <c r="P56" s="1214">
        <f t="shared" si="28"/>
        <v>-130890.67811681649</v>
      </c>
      <c r="Q56" s="1214">
        <f t="shared" si="28"/>
        <v>-130975.52607462338</v>
      </c>
      <c r="R56" s="1214">
        <f t="shared" si="28"/>
        <v>-131002.69567695836</v>
      </c>
      <c r="S56" s="1214">
        <f t="shared" si="28"/>
        <v>-129174.30104483443</v>
      </c>
      <c r="T56" s="1214">
        <f t="shared" si="28"/>
        <v>-129130.07815552426</v>
      </c>
      <c r="U56" s="1214">
        <f t="shared" si="28"/>
        <v>-129040.58904641058</v>
      </c>
      <c r="V56" s="1214">
        <f t="shared" si="28"/>
        <v>-128874.34295457802</v>
      </c>
      <c r="W56" s="1214">
        <f t="shared" si="28"/>
        <v>-128728.42264109931</v>
      </c>
      <c r="X56" s="1214">
        <f t="shared" si="28"/>
        <v>-128482.89897322735</v>
      </c>
      <c r="Y56" s="1214">
        <f t="shared" si="28"/>
        <v>-128132.59232959134</v>
      </c>
      <c r="Z56" s="1214">
        <f t="shared" si="28"/>
        <v>-127679.07428865273</v>
      </c>
      <c r="AA56" s="1214">
        <f t="shared" si="28"/>
        <v>-127098.15216480059</v>
      </c>
      <c r="AB56" s="1214">
        <f t="shared" si="28"/>
        <v>-126401.21160774505</v>
      </c>
      <c r="AC56" s="1214">
        <f t="shared" si="28"/>
        <v>-125253.03002349068</v>
      </c>
      <c r="AD56" s="1214">
        <f t="shared" si="28"/>
        <v>-123800.2518288229</v>
      </c>
      <c r="AE56" s="1214">
        <f t="shared" si="28"/>
        <v>-121444.52284832069</v>
      </c>
      <c r="AF56" s="1214">
        <f t="shared" si="28"/>
        <v>-110777.04710537245</v>
      </c>
      <c r="AG56" s="1232">
        <f t="shared" si="24"/>
        <v>-3410026.4255076847</v>
      </c>
    </row>
    <row r="57" spans="2:34" s="206" customFormat="1" ht="21" customHeight="1" thickBot="1">
      <c r="B57" s="472" t="s">
        <v>237</v>
      </c>
      <c r="C57" s="1233">
        <f>C45+C47</f>
        <v>-218809.77007688157</v>
      </c>
      <c r="D57" s="1233">
        <f t="shared" ref="D57:AF57" si="29">D45+D47</f>
        <v>163700.12314337248</v>
      </c>
      <c r="E57" s="1233">
        <f t="shared" si="29"/>
        <v>235270.19609394518</v>
      </c>
      <c r="F57" s="1233">
        <f t="shared" si="29"/>
        <v>-770441.89174071245</v>
      </c>
      <c r="G57" s="1233">
        <f t="shared" si="29"/>
        <v>-4501633.8874445725</v>
      </c>
      <c r="H57" s="1233">
        <f t="shared" si="29"/>
        <v>215614.67020301684</v>
      </c>
      <c r="I57" s="1233">
        <f t="shared" si="29"/>
        <v>-523188.59534435021</v>
      </c>
      <c r="J57" s="1233">
        <f t="shared" si="29"/>
        <v>172029.71515199519</v>
      </c>
      <c r="K57" s="1233">
        <f t="shared" si="29"/>
        <v>-1977540.1684155904</v>
      </c>
      <c r="L57" s="1233">
        <f t="shared" si="29"/>
        <v>515836.22862311127</v>
      </c>
      <c r="M57" s="1233">
        <f t="shared" si="29"/>
        <v>-1007715.2900398751</v>
      </c>
      <c r="N57" s="1233">
        <f t="shared" si="29"/>
        <v>-486005.29241954023</v>
      </c>
      <c r="O57" s="1233">
        <f t="shared" si="29"/>
        <v>1860486.7153056986</v>
      </c>
      <c r="P57" s="1233">
        <f t="shared" si="29"/>
        <v>1865157.657401762</v>
      </c>
      <c r="Q57" s="1233">
        <f t="shared" si="29"/>
        <v>1870054.047868521</v>
      </c>
      <c r="R57" s="1233">
        <f t="shared" si="29"/>
        <v>1880100.4085357869</v>
      </c>
      <c r="S57" s="1233">
        <f t="shared" si="29"/>
        <v>1871199.235072983</v>
      </c>
      <c r="T57" s="1233">
        <f t="shared" si="29"/>
        <v>1875728.6841733344</v>
      </c>
      <c r="U57" s="1233">
        <f t="shared" si="29"/>
        <v>1880330.6601858451</v>
      </c>
      <c r="V57" s="1233">
        <f t="shared" si="29"/>
        <v>1884847.7725201766</v>
      </c>
      <c r="W57" s="1233">
        <f t="shared" si="29"/>
        <v>1884392.565596546</v>
      </c>
      <c r="X57" s="1233">
        <f t="shared" si="29"/>
        <v>1899590.8091157228</v>
      </c>
      <c r="Y57" s="1233">
        <f t="shared" si="29"/>
        <v>1904451.7379480756</v>
      </c>
      <c r="Z57" s="1233">
        <f t="shared" si="29"/>
        <v>1909617.1895172121</v>
      </c>
      <c r="AA57" s="1233">
        <f t="shared" si="29"/>
        <v>1915263.5529009858</v>
      </c>
      <c r="AB57" s="1233">
        <f t="shared" si="29"/>
        <v>1912685.4062330059</v>
      </c>
      <c r="AC57" s="1233">
        <f t="shared" si="29"/>
        <v>1930004.8463865081</v>
      </c>
      <c r="AD57" s="1233">
        <f t="shared" si="29"/>
        <v>1938621.3908763232</v>
      </c>
      <c r="AE57" s="1233">
        <f t="shared" si="29"/>
        <v>1950661.4218953752</v>
      </c>
      <c r="AF57" s="1234">
        <f t="shared" si="29"/>
        <v>1997002.7739513612</v>
      </c>
      <c r="AG57" s="1235">
        <f t="shared" si="24"/>
        <v>26047312.913219139</v>
      </c>
      <c r="AH57" s="207"/>
    </row>
    <row r="58" spans="2:34" s="206" customFormat="1" ht="21" customHeight="1" thickBot="1">
      <c r="B58" s="472" t="s">
        <v>238</v>
      </c>
      <c r="C58" s="886">
        <f>IRR(C57:AF57)</f>
        <v>0.10937236604475409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36"/>
    </row>
    <row r="59" spans="2:34" ht="15" thickBot="1"/>
    <row r="60" spans="2:34" ht="15.75" thickBot="1">
      <c r="B60" s="472" t="s">
        <v>714</v>
      </c>
      <c r="C60" s="886">
        <v>0.1203</v>
      </c>
    </row>
    <row r="61" spans="2:34" ht="15" thickBot="1"/>
    <row r="62" spans="2:34" ht="15.75" thickBot="1">
      <c r="B62" s="472" t="s">
        <v>659</v>
      </c>
      <c r="C62" s="886">
        <f>C58-C60</f>
        <v>-1.0927633955245916E-2</v>
      </c>
    </row>
    <row r="65" spans="32:32">
      <c r="AF65" s="41">
        <v>567.50879541981226</v>
      </c>
    </row>
    <row r="68" spans="32:32">
      <c r="AF68" s="41">
        <f>AF65*35%</f>
        <v>198.62807839693428</v>
      </c>
    </row>
  </sheetData>
  <mergeCells count="1">
    <mergeCell ref="AC42:AG42"/>
  </mergeCells>
  <conditionalFormatting sqref="B39">
    <cfRule type="cellIs" dxfId="26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B107E-F178-4022-BAE4-995F9CD83871}">
  <sheetPr>
    <tabColor theme="7"/>
  </sheetPr>
  <dimension ref="A2:AJ68"/>
  <sheetViews>
    <sheetView showGridLines="0" zoomScale="70" zoomScaleNormal="70" workbookViewId="0">
      <selection activeCell="D4" sqref="D4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757</v>
      </c>
      <c r="D2" s="1238" t="s">
        <v>713</v>
      </c>
    </row>
    <row r="3" spans="1:33" ht="23.25">
      <c r="B3" s="1236" t="s">
        <v>756</v>
      </c>
      <c r="D3" s="1239">
        <v>5.5800000000000002E-2</v>
      </c>
      <c r="F3" s="1237"/>
    </row>
    <row r="5" spans="1:33">
      <c r="D5" s="1237">
        <f>C58</f>
        <v>0.12033262677102763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112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1">
        <f t="shared" si="0"/>
        <v>4303905.8324655658</v>
      </c>
      <c r="L9" s="1211">
        <f t="shared" si="0"/>
        <v>4406921.7958531594</v>
      </c>
      <c r="M9" s="1211">
        <f t="shared" si="0"/>
        <v>4617247.0848856568</v>
      </c>
      <c r="N9" s="1211">
        <f t="shared" si="0"/>
        <v>4934874.8731492255</v>
      </c>
      <c r="O9" s="1211">
        <f t="shared" si="0"/>
        <v>4949523.3189782398</v>
      </c>
      <c r="P9" s="1211">
        <f t="shared" si="0"/>
        <v>4956604.1238823198</v>
      </c>
      <c r="Q9" s="1211">
        <f t="shared" si="0"/>
        <v>4963684.9287864026</v>
      </c>
      <c r="R9" s="1211">
        <f t="shared" si="0"/>
        <v>4970175.6666151397</v>
      </c>
      <c r="S9" s="1211">
        <f t="shared" si="0"/>
        <v>4952432.9633285403</v>
      </c>
      <c r="T9" s="1211">
        <f t="shared" si="0"/>
        <v>4958333.6340819402</v>
      </c>
      <c r="U9" s="1211">
        <f t="shared" si="0"/>
        <v>4964234.3048353381</v>
      </c>
      <c r="V9" s="1211">
        <f t="shared" si="0"/>
        <v>4969544.9085133998</v>
      </c>
      <c r="W9" s="1211">
        <f t="shared" si="0"/>
        <v>4976035.6463421416</v>
      </c>
      <c r="X9" s="1211">
        <f t="shared" si="0"/>
        <v>4982526.3841708805</v>
      </c>
      <c r="Y9" s="1211">
        <f t="shared" si="0"/>
        <v>4987246.9207735993</v>
      </c>
      <c r="Z9" s="1211">
        <f t="shared" si="0"/>
        <v>4991967.4573763199</v>
      </c>
      <c r="AA9" s="1211">
        <f t="shared" si="0"/>
        <v>4996687.9939790396</v>
      </c>
      <c r="AB9" s="1211">
        <f t="shared" si="0"/>
        <v>5002588.6647324413</v>
      </c>
      <c r="AC9" s="1211">
        <f t="shared" si="0"/>
        <v>5008489.3354858393</v>
      </c>
      <c r="AD9" s="1211">
        <f t="shared" si="0"/>
        <v>5013799.939163899</v>
      </c>
      <c r="AE9" s="1211">
        <f t="shared" si="0"/>
        <v>5019700.6099172998</v>
      </c>
      <c r="AF9" s="1211">
        <f t="shared" si="0"/>
        <v>5023831.0794446804</v>
      </c>
      <c r="AG9" s="1213">
        <f t="shared" ref="AG9:AG17" si="1">SUM(C9:AF9)</f>
        <v>132595554.2149345</v>
      </c>
    </row>
    <row r="10" spans="1:33" ht="20.25" customHeight="1">
      <c r="B10" s="1143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22">
        <f>(1+$D$3)*('R1 DRE'!K5+'E3 DIST INDL'!B45)</f>
        <v>2364018.6176896184</v>
      </c>
      <c r="L10" s="1222">
        <f>(1+$D$3)*('R1 DRE'!L5+'E3 DIST INDL'!C45)</f>
        <v>2361722.8556856988</v>
      </c>
      <c r="M10" s="1222">
        <f>(1+$D$3)*('R1 DRE'!M5+'E3 DIST INDL'!D45)</f>
        <v>2363850.3499241318</v>
      </c>
      <c r="N10" s="1222">
        <f>(1+$D$3)*('R1 DRE'!N5+'E3 DIST INDL'!E45)</f>
        <v>2367910.2780674817</v>
      </c>
      <c r="O10" s="1222">
        <f>(1+$D$3)*('R1 DRE'!O5+'E3 DIST INDL'!F45)</f>
        <v>2366838.4218729096</v>
      </c>
      <c r="P10" s="1222">
        <f>(1+$D$3)*('R1 DRE'!P5+'E3 DIST INDL'!G45)</f>
        <v>2370224.0444061239</v>
      </c>
      <c r="Q10" s="1222">
        <f>(1+$D$3)*('R1 DRE'!Q5+'E3 DIST INDL'!H45)</f>
        <v>2373609.6669393396</v>
      </c>
      <c r="R10" s="1222">
        <f>(1+$D$3)*('R1 DRE'!R5+'E3 DIST INDL'!I45)</f>
        <v>2376713.1542614521</v>
      </c>
      <c r="S10" s="1222">
        <f>(1+$D$3)*('R1 DRE'!S5+'E3 DIST INDL'!J45)</f>
        <v>2367960.826772464</v>
      </c>
      <c r="T10" s="1222">
        <f>(1+$D$3)*('R1 DRE'!T5+'E3 DIST INDL'!K45)</f>
        <v>2370782.1788834762</v>
      </c>
      <c r="U10" s="1222">
        <f>(1+$D$3)*('R1 DRE'!U5+'E3 DIST INDL'!L45)</f>
        <v>2373603.5309944875</v>
      </c>
      <c r="V10" s="1222">
        <f>(1+$D$3)*('R1 DRE'!V5+'E3 DIST INDL'!M45)</f>
        <v>2376142.7478943993</v>
      </c>
      <c r="W10" s="1222">
        <f>(1+$D$3)*('R1 DRE'!W5+'E3 DIST INDL'!N45)</f>
        <v>2379246.2352165137</v>
      </c>
      <c r="X10" s="1222">
        <f>(1+$D$3)*('R1 DRE'!X5+'E3 DIST INDL'!O45)</f>
        <v>2382349.7225386258</v>
      </c>
      <c r="Y10" s="1222">
        <f>(1+$D$3)*('R1 DRE'!Y5+'E3 DIST INDL'!P45)</f>
        <v>2384606.8042274355</v>
      </c>
      <c r="Z10" s="1222">
        <f>(1+$D$3)*('R1 DRE'!Z5+'E3 DIST INDL'!Q45)</f>
        <v>2386863.8859162456</v>
      </c>
      <c r="AA10" s="1222">
        <f>(1+$D$3)*('R1 DRE'!AA5+'E3 DIST INDL'!R45)</f>
        <v>2389120.9676050553</v>
      </c>
      <c r="AB10" s="1222">
        <f>(1+$D$3)*('R1 DRE'!AB5+'E3 DIST INDL'!S45)</f>
        <v>2391942.3197160675</v>
      </c>
      <c r="AC10" s="1222">
        <f>(1+$D$3)*('R1 DRE'!AC5+'E3 DIST INDL'!T45)</f>
        <v>2394763.6718270793</v>
      </c>
      <c r="AD10" s="1222">
        <f>(1+$D$3)*('R1 DRE'!AD5+'E3 DIST INDL'!U45)</f>
        <v>2397302.8887269902</v>
      </c>
      <c r="AE10" s="1222">
        <f>(1+$D$3)*('R1 DRE'!AE5+'E3 DIST INDL'!V45)</f>
        <v>2400124.2408380024</v>
      </c>
      <c r="AF10" s="1222">
        <f>(1+$D$3)*('R1 DRE'!AF5+'E3 DIST INDL'!W45)</f>
        <v>2402099.1873157113</v>
      </c>
      <c r="AG10" s="1213">
        <f t="shared" si="1"/>
        <v>67729694.440279633</v>
      </c>
    </row>
    <row r="11" spans="1:33" ht="20.25" customHeight="1">
      <c r="B11" s="1143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22">
        <f>(1+$D$3)*('R1 DRE'!K6+'E3 DIST INDL'!B46)</f>
        <v>1897302.9334634175</v>
      </c>
      <c r="L11" s="1222">
        <f>(1+$D$3)*('R1 DRE'!L6+'E3 DIST INDL'!C46)</f>
        <v>2001623.3465431712</v>
      </c>
      <c r="M11" s="1222">
        <f>(1+$D$3)*('R1 DRE'!M6+'E3 DIST INDL'!D46)</f>
        <v>2207767.3604547367</v>
      </c>
      <c r="N11" s="1222">
        <f>(1+$D$3)*('R1 DRE'!N6+'E3 DIST INDL'!E46)</f>
        <v>2518219.0387099697</v>
      </c>
      <c r="O11" s="1222">
        <f>(1+$D$3)*('R1 DRE'!O6+'E3 DIST INDL'!F46)</f>
        <v>2533913.8085415857</v>
      </c>
      <c r="P11" s="1222">
        <f>(1+$D$3)*('R1 DRE'!P6+'E3 DIST INDL'!G46)</f>
        <v>2537538.8839332028</v>
      </c>
      <c r="Q11" s="1222">
        <f>(1+$D$3)*('R1 DRE'!Q6+'E3 DIST INDL'!H46)</f>
        <v>2541163.9593248204</v>
      </c>
      <c r="R11" s="1222">
        <f>(1+$D$3)*('R1 DRE'!R6+'E3 DIST INDL'!I46)</f>
        <v>2544486.9451004686</v>
      </c>
      <c r="S11" s="1222">
        <f>(1+$D$3)*('R1 DRE'!S6+'E3 DIST INDL'!J46)</f>
        <v>2535438.1468201499</v>
      </c>
      <c r="T11" s="1222">
        <f>(1+$D$3)*('R1 DRE'!T6+'E3 DIST INDL'!K46)</f>
        <v>2538459.0429798304</v>
      </c>
      <c r="U11" s="1222">
        <f>(1+$D$3)*('R1 DRE'!U6+'E3 DIST INDL'!L46)</f>
        <v>2541479.939139511</v>
      </c>
      <c r="V11" s="1222">
        <f>(1+$D$3)*('R1 DRE'!V6+'E3 DIST INDL'!M46)</f>
        <v>2544198.7456832244</v>
      </c>
      <c r="W11" s="1222">
        <f>(1+$D$3)*('R1 DRE'!W6+'E3 DIST INDL'!N46)</f>
        <v>2547521.7314588744</v>
      </c>
      <c r="X11" s="1222">
        <f>(1+$D$3)*('R1 DRE'!X6+'E3 DIST INDL'!O46)</f>
        <v>2550844.717234523</v>
      </c>
      <c r="Y11" s="1222">
        <f>(1+$D$3)*('R1 DRE'!Y6+'E3 DIST INDL'!P46)</f>
        <v>2553261.4341622675</v>
      </c>
      <c r="Z11" s="1222">
        <f>(1+$D$3)*('R1 DRE'!Z6+'E3 DIST INDL'!Q46)</f>
        <v>2555678.1510900119</v>
      </c>
      <c r="AA11" s="1222">
        <f>(1+$D$3)*('R1 DRE'!AA6+'E3 DIST INDL'!R46)</f>
        <v>2558094.8680177564</v>
      </c>
      <c r="AB11" s="1222">
        <f>(1+$D$3)*('R1 DRE'!AB6+'E3 DIST INDL'!S46)</f>
        <v>2561115.7641774383</v>
      </c>
      <c r="AC11" s="1222">
        <f>(1+$D$3)*('R1 DRE'!AC6+'E3 DIST INDL'!T46)</f>
        <v>2564136.660337118</v>
      </c>
      <c r="AD11" s="1222">
        <f>(1+$D$3)*('R1 DRE'!AD6+'E3 DIST INDL'!U46)</f>
        <v>2566855.4668808309</v>
      </c>
      <c r="AE11" s="1222">
        <f>(1+$D$3)*('R1 DRE'!AE6+'E3 DIST INDL'!V46)</f>
        <v>2569876.3630405124</v>
      </c>
      <c r="AF11" s="1222">
        <f>(1+$D$3)*('R1 DRE'!AF6+'E3 DIST INDL'!W46)</f>
        <v>2571990.9903522893</v>
      </c>
      <c r="AG11" s="1213">
        <f t="shared" si="1"/>
        <v>63505458.732869238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14">
        <f>(1+$D$3)*'R1 DRE'!K7</f>
        <v>42584.281312530358</v>
      </c>
      <c r="L12" s="1214">
        <f>(1+$D$3)*'R1 DRE'!L7</f>
        <v>43575.593624288696</v>
      </c>
      <c r="M12" s="1214">
        <f>(1+$D$3)*'R1 DRE'!M7</f>
        <v>45629.374506788685</v>
      </c>
      <c r="N12" s="1214">
        <f>(1+$D$3)*'R1 DRE'!N7</f>
        <v>48745.55637177451</v>
      </c>
      <c r="O12" s="1214">
        <f>(1+$D$3)*'R1 DRE'!O7</f>
        <v>48771.088563744954</v>
      </c>
      <c r="P12" s="1214">
        <f>(1+$D$3)*'R1 DRE'!P7</f>
        <v>48841.195542993271</v>
      </c>
      <c r="Q12" s="1214">
        <f>(1+$D$3)*'R1 DRE'!Q7</f>
        <v>48911.302522241604</v>
      </c>
      <c r="R12" s="1214">
        <f>(1+$D$3)*'R1 DRE'!R7</f>
        <v>48975.567253219204</v>
      </c>
      <c r="S12" s="1214">
        <f>(1+$D$3)*'R1 DRE'!S7</f>
        <v>49033.989735926138</v>
      </c>
      <c r="T12" s="1214">
        <f>(1+$D$3)*'R1 DRE'!T7</f>
        <v>49092.412218633071</v>
      </c>
      <c r="U12" s="1214">
        <f>(1+$D$3)*'R1 DRE'!U7</f>
        <v>49150.834701339983</v>
      </c>
      <c r="V12" s="1214">
        <f>(1+$D$3)*'R1 DRE'!V7</f>
        <v>49203.414935776236</v>
      </c>
      <c r="W12" s="1214">
        <f>(1+$D$3)*'R1 DRE'!W7</f>
        <v>49267.67966675388</v>
      </c>
      <c r="X12" s="1214">
        <f>(1+$D$3)*'R1 DRE'!X7</f>
        <v>49331.94439773148</v>
      </c>
      <c r="Y12" s="1214">
        <f>(1+$D$3)*'R1 DRE'!Y7</f>
        <v>49378.682383897038</v>
      </c>
      <c r="Z12" s="1214">
        <f>(1+$D$3)*'R1 DRE'!Z7</f>
        <v>49425.42037006258</v>
      </c>
      <c r="AA12" s="1214">
        <f>(1+$D$3)*'R1 DRE'!AA7</f>
        <v>49472.158356228123</v>
      </c>
      <c r="AB12" s="1214">
        <f>(1+$D$3)*'R1 DRE'!AB7</f>
        <v>49530.58083893505</v>
      </c>
      <c r="AC12" s="1214">
        <f>(1+$D$3)*'R1 DRE'!AC7</f>
        <v>49589.003321641969</v>
      </c>
      <c r="AD12" s="1214">
        <f>(1+$D$3)*'R1 DRE'!AD7</f>
        <v>49641.583556078214</v>
      </c>
      <c r="AE12" s="1214">
        <f>(1+$D$3)*'R1 DRE'!AE7</f>
        <v>49700.006038785155</v>
      </c>
      <c r="AF12" s="1214">
        <f>(1+$D$3)*'R1 DRE'!AF7</f>
        <v>49740.90177668001</v>
      </c>
      <c r="AG12" s="1213">
        <f t="shared" si="1"/>
        <v>1360401.0417856502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2">-SUM(D14:D15)</f>
        <v>-234617.19486967311</v>
      </c>
      <c r="E13" s="1212">
        <f t="shared" si="2"/>
        <v>-255067.11447188459</v>
      </c>
      <c r="F13" s="1212">
        <f t="shared" si="2"/>
        <v>-266470.53804765607</v>
      </c>
      <c r="G13" s="1212">
        <f t="shared" si="2"/>
        <v>-277240.35544356558</v>
      </c>
      <c r="H13" s="1212">
        <f t="shared" si="2"/>
        <v>-305292.86829691898</v>
      </c>
      <c r="I13" s="1212">
        <f t="shared" si="2"/>
        <v>-343021.62437981495</v>
      </c>
      <c r="J13" s="1212">
        <f t="shared" si="2"/>
        <v>-370742.7283114891</v>
      </c>
      <c r="K13" s="1212">
        <f t="shared" si="2"/>
        <v>-398111.28950306482</v>
      </c>
      <c r="L13" s="1212">
        <f t="shared" si="2"/>
        <v>-407640.26611641725</v>
      </c>
      <c r="M13" s="1212">
        <f t="shared" si="2"/>
        <v>-427095.35535192321</v>
      </c>
      <c r="N13" s="1212">
        <f t="shared" si="2"/>
        <v>-456475.92576630338</v>
      </c>
      <c r="O13" s="1212">
        <f t="shared" si="2"/>
        <v>-457830.90700548713</v>
      </c>
      <c r="P13" s="1212">
        <f t="shared" si="2"/>
        <v>-458485.88145911461</v>
      </c>
      <c r="Q13" s="1212">
        <f t="shared" si="2"/>
        <v>-459140.8559127422</v>
      </c>
      <c r="R13" s="1212">
        <f t="shared" si="2"/>
        <v>-459741.24916190043</v>
      </c>
      <c r="S13" s="1212">
        <f t="shared" si="2"/>
        <v>-458100.04910788999</v>
      </c>
      <c r="T13" s="1212">
        <f t="shared" si="2"/>
        <v>-458645.86115257943</v>
      </c>
      <c r="U13" s="1212">
        <f t="shared" si="2"/>
        <v>-459191.6731972688</v>
      </c>
      <c r="V13" s="1212">
        <f t="shared" si="2"/>
        <v>-459682.90403748944</v>
      </c>
      <c r="W13" s="1212">
        <f t="shared" si="2"/>
        <v>-460283.29728664807</v>
      </c>
      <c r="X13" s="1212">
        <f t="shared" si="2"/>
        <v>-460883.69053580641</v>
      </c>
      <c r="Y13" s="1212">
        <f t="shared" si="2"/>
        <v>-461320.34017155797</v>
      </c>
      <c r="Z13" s="1212">
        <f t="shared" si="2"/>
        <v>-461756.98980730958</v>
      </c>
      <c r="AA13" s="1212">
        <f t="shared" si="2"/>
        <v>-462193.63944306114</v>
      </c>
      <c r="AB13" s="1212">
        <f t="shared" si="2"/>
        <v>-462739.45148775086</v>
      </c>
      <c r="AC13" s="1212">
        <f t="shared" si="2"/>
        <v>-463285.26353244012</v>
      </c>
      <c r="AD13" s="1212">
        <f t="shared" si="2"/>
        <v>-463776.4943726607</v>
      </c>
      <c r="AE13" s="1212">
        <f t="shared" si="2"/>
        <v>-464322.30641735025</v>
      </c>
      <c r="AF13" s="1212">
        <f t="shared" si="2"/>
        <v>-464704.37484863296</v>
      </c>
      <c r="AG13" s="1213">
        <f t="shared" si="1"/>
        <v>-12217282.454537118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3">0.076*G9</f>
        <v>227786.67041849715</v>
      </c>
      <c r="H14" s="1214">
        <f t="shared" si="3"/>
        <v>250835.22151963072</v>
      </c>
      <c r="I14" s="1214">
        <f t="shared" si="3"/>
        <v>281833.98327422631</v>
      </c>
      <c r="J14" s="1214">
        <f t="shared" si="3"/>
        <v>304610.24163970997</v>
      </c>
      <c r="K14" s="1214">
        <f t="shared" si="3"/>
        <v>327096.843267383</v>
      </c>
      <c r="L14" s="1214">
        <f t="shared" si="3"/>
        <v>334926.05648484011</v>
      </c>
      <c r="M14" s="1214">
        <f t="shared" si="3"/>
        <v>350910.77845130989</v>
      </c>
      <c r="N14" s="1214">
        <f t="shared" si="3"/>
        <v>375050.49035934114</v>
      </c>
      <c r="O14" s="1214">
        <f t="shared" si="3"/>
        <v>376163.7722423462</v>
      </c>
      <c r="P14" s="1214">
        <f t="shared" si="3"/>
        <v>376701.9134150563</v>
      </c>
      <c r="Q14" s="1214">
        <f t="shared" si="3"/>
        <v>377240.05458776659</v>
      </c>
      <c r="R14" s="1214">
        <f t="shared" si="3"/>
        <v>377733.3506627506</v>
      </c>
      <c r="S14" s="1214">
        <f t="shared" si="3"/>
        <v>376384.90521296905</v>
      </c>
      <c r="T14" s="1214">
        <f t="shared" si="3"/>
        <v>376833.35619022744</v>
      </c>
      <c r="U14" s="1214">
        <f t="shared" si="3"/>
        <v>377281.80716748571</v>
      </c>
      <c r="V14" s="1214">
        <f t="shared" si="3"/>
        <v>377685.41304701834</v>
      </c>
      <c r="W14" s="1214">
        <f t="shared" si="3"/>
        <v>378178.70912200277</v>
      </c>
      <c r="X14" s="1214">
        <f t="shared" si="3"/>
        <v>378672.00519698689</v>
      </c>
      <c r="Y14" s="1214">
        <f t="shared" si="3"/>
        <v>379030.76597879356</v>
      </c>
      <c r="Z14" s="1214">
        <f t="shared" si="3"/>
        <v>379389.52676060033</v>
      </c>
      <c r="AA14" s="1214">
        <f t="shared" si="3"/>
        <v>379748.28754240699</v>
      </c>
      <c r="AB14" s="1214">
        <f t="shared" si="3"/>
        <v>380196.73851966555</v>
      </c>
      <c r="AC14" s="1214">
        <f t="shared" si="3"/>
        <v>380645.18949692376</v>
      </c>
      <c r="AD14" s="1214">
        <f t="shared" si="3"/>
        <v>381048.79537645634</v>
      </c>
      <c r="AE14" s="1214">
        <f t="shared" si="3"/>
        <v>381497.24635371479</v>
      </c>
      <c r="AF14" s="1214">
        <f t="shared" si="3"/>
        <v>381811.1620377957</v>
      </c>
      <c r="AG14" s="1213">
        <f t="shared" si="1"/>
        <v>10037991.500998417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4">0.0165*G9</f>
        <v>49453.685025068458</v>
      </c>
      <c r="H15" s="1214">
        <f t="shared" si="4"/>
        <v>54457.646777288253</v>
      </c>
      <c r="I15" s="1214">
        <f t="shared" si="4"/>
        <v>61187.641105588613</v>
      </c>
      <c r="J15" s="1214">
        <f t="shared" si="4"/>
        <v>66132.486671779145</v>
      </c>
      <c r="K15" s="1214">
        <f t="shared" si="4"/>
        <v>71014.44623568184</v>
      </c>
      <c r="L15" s="1214">
        <f t="shared" si="4"/>
        <v>72714.209631577134</v>
      </c>
      <c r="M15" s="1214">
        <f t="shared" si="4"/>
        <v>76184.576900613334</v>
      </c>
      <c r="N15" s="1214">
        <f t="shared" si="4"/>
        <v>81425.43540696222</v>
      </c>
      <c r="O15" s="1214">
        <f t="shared" si="4"/>
        <v>81667.134763140959</v>
      </c>
      <c r="P15" s="1214">
        <f t="shared" si="4"/>
        <v>81783.968044058274</v>
      </c>
      <c r="Q15" s="1214">
        <f t="shared" si="4"/>
        <v>81900.801324975648</v>
      </c>
      <c r="R15" s="1214">
        <f t="shared" si="4"/>
        <v>82007.898499149815</v>
      </c>
      <c r="S15" s="1214">
        <f t="shared" si="4"/>
        <v>81715.143894920926</v>
      </c>
      <c r="T15" s="1214">
        <f t="shared" si="4"/>
        <v>81812.504962352017</v>
      </c>
      <c r="U15" s="1214">
        <f t="shared" si="4"/>
        <v>81909.866029783079</v>
      </c>
      <c r="V15" s="1214">
        <f t="shared" si="4"/>
        <v>81997.490990471095</v>
      </c>
      <c r="W15" s="1214">
        <f t="shared" si="4"/>
        <v>82104.588164645334</v>
      </c>
      <c r="X15" s="1214">
        <f t="shared" si="4"/>
        <v>82211.68533881953</v>
      </c>
      <c r="Y15" s="1214">
        <f t="shared" si="4"/>
        <v>82289.574192764398</v>
      </c>
      <c r="Z15" s="1214">
        <f t="shared" si="4"/>
        <v>82367.463046709279</v>
      </c>
      <c r="AA15" s="1214">
        <f t="shared" si="4"/>
        <v>82445.351900654161</v>
      </c>
      <c r="AB15" s="1214">
        <f t="shared" si="4"/>
        <v>82542.712968085281</v>
      </c>
      <c r="AC15" s="1214">
        <f t="shared" si="4"/>
        <v>82640.074035516358</v>
      </c>
      <c r="AD15" s="1214">
        <f t="shared" si="4"/>
        <v>82727.698996204344</v>
      </c>
      <c r="AE15" s="1214">
        <f t="shared" si="4"/>
        <v>82825.06006363545</v>
      </c>
      <c r="AF15" s="1214">
        <f t="shared" si="4"/>
        <v>82893.212810837227</v>
      </c>
      <c r="AG15" s="1213">
        <f t="shared" si="1"/>
        <v>2179290.9535387023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1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5">D9+D13+D16</f>
        <v>2348736.4306745757</v>
      </c>
      <c r="E17" s="1212">
        <f t="shared" si="5"/>
        <v>2607846.6711710477</v>
      </c>
      <c r="F17" s="1212">
        <f t="shared" si="5"/>
        <v>2673176.6493209945</v>
      </c>
      <c r="G17" s="1212">
        <f t="shared" si="5"/>
        <v>2744549.5840927921</v>
      </c>
      <c r="H17" s="1212">
        <f t="shared" si="5"/>
        <v>3009978.9826078052</v>
      </c>
      <c r="I17" s="1212">
        <f t="shared" si="5"/>
        <v>3344926.3386004027</v>
      </c>
      <c r="J17" s="1212">
        <f t="shared" si="5"/>
        <v>3622302.386444245</v>
      </c>
      <c r="K17" s="1212">
        <f t="shared" si="5"/>
        <v>3902511.0199718415</v>
      </c>
      <c r="L17" s="1212">
        <f t="shared" si="5"/>
        <v>3994539.9809828312</v>
      </c>
      <c r="M17" s="1212">
        <f t="shared" si="5"/>
        <v>4180328.2843200332</v>
      </c>
      <c r="N17" s="1212">
        <f t="shared" si="5"/>
        <v>4463493.9289910123</v>
      </c>
      <c r="O17" s="1212">
        <f t="shared" si="5"/>
        <v>4491570.2888723072</v>
      </c>
      <c r="P17" s="1212">
        <f t="shared" si="5"/>
        <v>4497782.9135302287</v>
      </c>
      <c r="Q17" s="1212">
        <f t="shared" si="5"/>
        <v>4504208.7439806843</v>
      </c>
      <c r="R17" s="1212">
        <f t="shared" si="5"/>
        <v>4510127.0326346792</v>
      </c>
      <c r="S17" s="1212">
        <f t="shared" si="5"/>
        <v>4494053.473476504</v>
      </c>
      <c r="T17" s="1212">
        <f t="shared" si="5"/>
        <v>4499408.3321852144</v>
      </c>
      <c r="U17" s="1212">
        <f t="shared" si="5"/>
        <v>4504763.1908939229</v>
      </c>
      <c r="V17" s="1212">
        <f t="shared" si="5"/>
        <v>4509610.5078061782</v>
      </c>
      <c r="W17" s="1212">
        <f t="shared" si="5"/>
        <v>4515444.9642369319</v>
      </c>
      <c r="X17" s="1212">
        <f t="shared" si="5"/>
        <v>4521335.308816513</v>
      </c>
      <c r="Y17" s="1212">
        <f t="shared" si="5"/>
        <v>4525703.0280067241</v>
      </c>
      <c r="Z17" s="1212">
        <f t="shared" si="5"/>
        <v>4529986.914973693</v>
      </c>
      <c r="AA17" s="1212">
        <f t="shared" si="5"/>
        <v>4534270.8019406609</v>
      </c>
      <c r="AB17" s="1212">
        <f t="shared" si="5"/>
        <v>4539569.7725005439</v>
      </c>
      <c r="AC17" s="1212">
        <f t="shared" si="5"/>
        <v>4544924.6312092533</v>
      </c>
      <c r="AD17" s="1212">
        <f t="shared" si="5"/>
        <v>4549771.9481215067</v>
      </c>
      <c r="AE17" s="1212">
        <f t="shared" si="5"/>
        <v>4555098.8627558025</v>
      </c>
      <c r="AF17" s="1212">
        <f t="shared" si="5"/>
        <v>4558931.0960751446</v>
      </c>
      <c r="AG17" s="1213">
        <f t="shared" si="1"/>
        <v>120162023.28841618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6">D19+D20</f>
        <v>-369565.70052795502</v>
      </c>
      <c r="E18" s="1212">
        <f t="shared" si="6"/>
        <v>-372990.80023137957</v>
      </c>
      <c r="F18" s="1212">
        <f t="shared" si="6"/>
        <v>-365825.26800000004</v>
      </c>
      <c r="G18" s="1212">
        <f t="shared" si="6"/>
        <v>-364530.62316929037</v>
      </c>
      <c r="H18" s="1212">
        <f t="shared" si="6"/>
        <v>-386664.99739602057</v>
      </c>
      <c r="I18" s="1212">
        <f t="shared" si="6"/>
        <v>-368051.52738592168</v>
      </c>
      <c r="J18" s="1212">
        <f t="shared" si="6"/>
        <v>-369563.79094887548</v>
      </c>
      <c r="K18" s="1212">
        <f t="shared" si="6"/>
        <v>-375133.56257447001</v>
      </c>
      <c r="L18" s="1212">
        <f t="shared" si="6"/>
        <v>-363240.68255699542</v>
      </c>
      <c r="M18" s="1212">
        <f t="shared" si="6"/>
        <v>-363749.80000000005</v>
      </c>
      <c r="N18" s="1212">
        <f t="shared" si="6"/>
        <v>-364181.62070234847</v>
      </c>
      <c r="O18" s="1212">
        <f t="shared" si="6"/>
        <v>-364228.27326174878</v>
      </c>
      <c r="P18" s="1212">
        <f t="shared" si="6"/>
        <v>-364274.98954566196</v>
      </c>
      <c r="Q18" s="1212">
        <f t="shared" si="6"/>
        <v>-364321.77751965227</v>
      </c>
      <c r="R18" s="1212">
        <f t="shared" si="6"/>
        <v>-364387.82</v>
      </c>
      <c r="S18" s="1212">
        <f t="shared" si="6"/>
        <v>-364403.94594447548</v>
      </c>
      <c r="T18" s="1212">
        <f t="shared" si="6"/>
        <v>-364443.27800359356</v>
      </c>
      <c r="U18" s="1212">
        <f t="shared" si="6"/>
        <v>-364481.08886980714</v>
      </c>
      <c r="V18" s="1212">
        <f t="shared" si="6"/>
        <v>-364516.88956597808</v>
      </c>
      <c r="W18" s="1212">
        <f t="shared" si="6"/>
        <v>-364549.26</v>
      </c>
      <c r="X18" s="1212">
        <f t="shared" si="6"/>
        <v>-364602.52421609644</v>
      </c>
      <c r="Y18" s="1212">
        <f t="shared" si="6"/>
        <v>-364634.97064760717</v>
      </c>
      <c r="Z18" s="1212">
        <f t="shared" si="6"/>
        <v>-364669.39100334619</v>
      </c>
      <c r="AA18" s="1212">
        <f t="shared" si="6"/>
        <v>-364704.20385767962</v>
      </c>
      <c r="AB18" s="1212">
        <f t="shared" si="6"/>
        <v>-364788.28399999999</v>
      </c>
      <c r="AC18" s="1212">
        <f t="shared" si="6"/>
        <v>-364788.2876275403</v>
      </c>
      <c r="AD18" s="1212">
        <f t="shared" si="6"/>
        <v>-364826.46987865516</v>
      </c>
      <c r="AE18" s="1212">
        <f t="shared" si="6"/>
        <v>-364871.4609208664</v>
      </c>
      <c r="AF18" s="1212">
        <f t="shared" si="6"/>
        <v>-364911.84991323733</v>
      </c>
      <c r="AG18" s="1213">
        <f t="shared" ref="AG18:AG25" si="7">SUM(C18:AF18)</f>
        <v>-11087972.001531247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22">
        <f>'R1 DRE'!K14-'E3 DIST INDL'!B39</f>
        <v>-223177.89</v>
      </c>
      <c r="L19" s="1222">
        <f>'R1 DRE'!L14-'E3 DIST INDL'!C39</f>
        <v>-223436.28</v>
      </c>
      <c r="M19" s="1222">
        <f>'R1 DRE'!M14-'E3 DIST INDL'!D39</f>
        <v>-223694.67</v>
      </c>
      <c r="N19" s="1222">
        <f>'R1 DRE'!N14-'E3 DIST INDL'!E39</f>
        <v>-223953.06</v>
      </c>
      <c r="O19" s="1222">
        <f>'R1 DRE'!O14-'E3 DIST INDL'!F39</f>
        <v>-223953.06</v>
      </c>
      <c r="P19" s="1222">
        <f>'R1 DRE'!P14-'E3 DIST INDL'!G39</f>
        <v>-223953.06</v>
      </c>
      <c r="Q19" s="1222">
        <f>'R1 DRE'!Q14-'E3 DIST INDL'!H39</f>
        <v>-223953.06</v>
      </c>
      <c r="R19" s="1222">
        <f>'R1 DRE'!R14-'E3 DIST INDL'!I39</f>
        <v>-223953.06</v>
      </c>
      <c r="S19" s="1222">
        <f>'R1 DRE'!S14-'E3 DIST INDL'!B54</f>
        <v>-223953.06</v>
      </c>
      <c r="T19" s="1222">
        <f>'R1 DRE'!T14-'E3 DIST INDL'!C54</f>
        <v>-223953.06</v>
      </c>
      <c r="U19" s="1222">
        <f>'R1 DRE'!U14-'E3 DIST INDL'!D54</f>
        <v>-223953.06</v>
      </c>
      <c r="V19" s="1222">
        <f>'R1 DRE'!V14-'E3 DIST INDL'!E54</f>
        <v>-223953.06</v>
      </c>
      <c r="W19" s="1222">
        <f>'R1 DRE'!W14-'E3 DIST INDL'!F54</f>
        <v>-223953.06</v>
      </c>
      <c r="X19" s="1222">
        <f>'R1 DRE'!X14-'E3 DIST INDL'!G54</f>
        <v>-223953.06</v>
      </c>
      <c r="Y19" s="1222">
        <f>'R1 DRE'!Y14-'E3 DIST INDL'!H54</f>
        <v>-223953.06</v>
      </c>
      <c r="Z19" s="1222">
        <f>'R1 DRE'!Z14-'E3 DIST INDL'!I54</f>
        <v>-223953.06</v>
      </c>
      <c r="AA19" s="1222">
        <f>'R1 DRE'!AA14-'E3 DIST INDL'!B69</f>
        <v>-223953.06</v>
      </c>
      <c r="AB19" s="1222">
        <f>'R1 DRE'!AB14-'E3 DIST INDL'!C69</f>
        <v>-223953.06</v>
      </c>
      <c r="AC19" s="1222">
        <f>'R1 DRE'!AC14-'E3 DIST INDL'!D69</f>
        <v>-223953.06</v>
      </c>
      <c r="AD19" s="1222">
        <f>'R1 DRE'!AD14-'E3 DIST INDL'!E69</f>
        <v>-223953.06</v>
      </c>
      <c r="AE19" s="1222">
        <f>'R1 DRE'!AE14-'E3 DIST INDL'!F69</f>
        <v>-223953.06</v>
      </c>
      <c r="AF19" s="1222">
        <f>'R1 DRE'!AF14-'E3 DIST INDL'!G69</f>
        <v>-223953.06</v>
      </c>
      <c r="AG19" s="1215">
        <f t="shared" si="7"/>
        <v>-6708772.9799999958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22">
        <f>'R1 DRE'!K15-'E3 DIST INDL'!B40</f>
        <v>-151955.67257446999</v>
      </c>
      <c r="L20" s="1222">
        <f>'R1 DRE'!L15-'E3 DIST INDL'!C40</f>
        <v>-139804.40255699545</v>
      </c>
      <c r="M20" s="1222">
        <f>'R1 DRE'!M15-'E3 DIST INDL'!D40</f>
        <v>-140055.13</v>
      </c>
      <c r="N20" s="1222">
        <f>'R1 DRE'!N15-'E3 DIST INDL'!E40</f>
        <v>-140228.56070234848</v>
      </c>
      <c r="O20" s="1222">
        <f>'R1 DRE'!O15-'E3 DIST INDL'!F40</f>
        <v>-140275.21326174878</v>
      </c>
      <c r="P20" s="1222">
        <f>'R1 DRE'!P15-'E3 DIST INDL'!G40</f>
        <v>-140321.92954566196</v>
      </c>
      <c r="Q20" s="1222">
        <f>'R1 DRE'!Q15-'E3 DIST INDL'!H40</f>
        <v>-140368.7175196523</v>
      </c>
      <c r="R20" s="1222">
        <f>'R1 DRE'!R15-'E3 DIST INDL'!I40</f>
        <v>-140434.76</v>
      </c>
      <c r="S20" s="1222">
        <f>'R1 DRE'!S15-'E3 DIST INDL'!B55</f>
        <v>-140450.88594447548</v>
      </c>
      <c r="T20" s="1222">
        <f>'R1 DRE'!T15-'E3 DIST INDL'!C55</f>
        <v>-140490.21800359353</v>
      </c>
      <c r="U20" s="1222">
        <f>'R1 DRE'!U15-'E3 DIST INDL'!D55</f>
        <v>-140528.02886980714</v>
      </c>
      <c r="V20" s="1222">
        <f>'R1 DRE'!V15-'E3 DIST INDL'!E55</f>
        <v>-140563.82956597811</v>
      </c>
      <c r="W20" s="1222">
        <f>'R1 DRE'!W15-'E3 DIST INDL'!F55</f>
        <v>-140596.20000000001</v>
      </c>
      <c r="X20" s="1222">
        <f>'R1 DRE'!X15-'E3 DIST INDL'!G55</f>
        <v>-140649.46421609644</v>
      </c>
      <c r="Y20" s="1222">
        <f>'R1 DRE'!Y15-'E3 DIST INDL'!H55</f>
        <v>-140681.91064760718</v>
      </c>
      <c r="Z20" s="1222">
        <f>'R1 DRE'!Z15-'E3 DIST INDL'!I55</f>
        <v>-140716.33100334622</v>
      </c>
      <c r="AA20" s="1222">
        <f>'R1 DRE'!AA15-'E3 DIST INDL'!B70</f>
        <v>-140751.14385767962</v>
      </c>
      <c r="AB20" s="1222">
        <f>'R1 DRE'!AB15-'E3 DIST INDL'!C70</f>
        <v>-140835.22400000002</v>
      </c>
      <c r="AC20" s="1222">
        <f>'R1 DRE'!AC15-'E3 DIST INDL'!D70</f>
        <v>-140835.2276275403</v>
      </c>
      <c r="AD20" s="1222">
        <f>'R1 DRE'!AD15-'E3 DIST INDL'!E70</f>
        <v>-140873.40987865516</v>
      </c>
      <c r="AE20" s="1222">
        <f>'R1 DRE'!AE15-'E3 DIST INDL'!F70</f>
        <v>-140918.40092086641</v>
      </c>
      <c r="AF20" s="1222">
        <f>'R1 DRE'!AF15-'E3 DIST INDL'!G70</f>
        <v>-140958.78991323733</v>
      </c>
      <c r="AG20" s="1215">
        <f t="shared" si="7"/>
        <v>-4379199.0215312438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8">D22+D23+D24+D25</f>
        <v>-1230326.5123160521</v>
      </c>
      <c r="E21" s="1212">
        <f t="shared" si="8"/>
        <v>-1446948.7737891045</v>
      </c>
      <c r="F21" s="1212">
        <f t="shared" si="8"/>
        <v>-1394729.7694170631</v>
      </c>
      <c r="G21" s="1212">
        <f t="shared" si="8"/>
        <v>-1372431.1735002932</v>
      </c>
      <c r="H21" s="1212">
        <f t="shared" si="8"/>
        <v>-1372166.094364627</v>
      </c>
      <c r="I21" s="1212">
        <f t="shared" si="8"/>
        <v>-1366336.9765073925</v>
      </c>
      <c r="J21" s="1212">
        <f t="shared" si="8"/>
        <v>-1415767.7581980655</v>
      </c>
      <c r="K21" s="1212">
        <f t="shared" si="8"/>
        <v>-1440594.5979406382</v>
      </c>
      <c r="L21" s="1212">
        <f t="shared" si="8"/>
        <v>-1463113.5072006579</v>
      </c>
      <c r="M21" s="1212">
        <f t="shared" si="8"/>
        <v>-1465942.1863060191</v>
      </c>
      <c r="N21" s="1212">
        <f t="shared" si="8"/>
        <v>-1468873.5235940488</v>
      </c>
      <c r="O21" s="1212">
        <f t="shared" si="8"/>
        <v>-1469665.5967342837</v>
      </c>
      <c r="P21" s="1212">
        <f t="shared" si="8"/>
        <v>-1470457.6698745186</v>
      </c>
      <c r="Q21" s="1212">
        <f t="shared" si="8"/>
        <v>-1471249.7430147538</v>
      </c>
      <c r="R21" s="1212">
        <f t="shared" si="8"/>
        <v>-1471901.6427858537</v>
      </c>
      <c r="S21" s="1212">
        <f t="shared" si="8"/>
        <v>-1472547.4918946982</v>
      </c>
      <c r="T21" s="1212">
        <f t="shared" si="8"/>
        <v>-1473192.2652424646</v>
      </c>
      <c r="U21" s="1212">
        <f t="shared" si="8"/>
        <v>-1473937.0385902307</v>
      </c>
      <c r="V21" s="1212">
        <f t="shared" si="8"/>
        <v>-1474581.8119379971</v>
      </c>
      <c r="W21" s="1212">
        <f t="shared" si="8"/>
        <v>-1475356.4335217113</v>
      </c>
      <c r="X21" s="1212">
        <f t="shared" si="8"/>
        <v>-1475938.5989274431</v>
      </c>
      <c r="Y21" s="1212">
        <f t="shared" si="8"/>
        <v>-1476489.2095864292</v>
      </c>
      <c r="Z21" s="1212">
        <f t="shared" si="8"/>
        <v>-1477039.8202454157</v>
      </c>
      <c r="AA21" s="1212">
        <f t="shared" si="8"/>
        <v>-1477590.4309044017</v>
      </c>
      <c r="AB21" s="1212">
        <f t="shared" si="8"/>
        <v>-1478353.2655295818</v>
      </c>
      <c r="AC21" s="1212">
        <f t="shared" si="8"/>
        <v>-1478958.8868811175</v>
      </c>
      <c r="AD21" s="1212">
        <f t="shared" si="8"/>
        <v>-1479548.0789069431</v>
      </c>
      <c r="AE21" s="1212">
        <f t="shared" si="8"/>
        <v>-1480163.1633433762</v>
      </c>
      <c r="AF21" s="1212">
        <f t="shared" si="8"/>
        <v>-1480534.2371003563</v>
      </c>
      <c r="AG21" s="1213">
        <f t="shared" si="7"/>
        <v>-43052455.44242727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22">
        <f>'R1 DRE'!K17-'E3 DIST INDL'!B41</f>
        <v>-483991.60706838226</v>
      </c>
      <c r="L22" s="1222">
        <f>'R1 DRE'!L17-'E3 DIST INDL'!C41</f>
        <v>-490601.44199934782</v>
      </c>
      <c r="M22" s="1222">
        <f>'R1 DRE'!M17-'E3 DIST INDL'!D41</f>
        <v>-491947.21603734477</v>
      </c>
      <c r="N22" s="1222">
        <f>'R1 DRE'!N17-'E3 DIST INDL'!E41</f>
        <v>-493238.2370620927</v>
      </c>
      <c r="O22" s="1222">
        <f>'R1 DRE'!O17-'E3 DIST INDL'!F41</f>
        <v>-493942.44348001952</v>
      </c>
      <c r="P22" s="1222">
        <f>'R1 DRE'!P17-'E3 DIST INDL'!G41</f>
        <v>-494646.6498979461</v>
      </c>
      <c r="Q22" s="1222">
        <f>'R1 DRE'!Q17-'E3 DIST INDL'!H41</f>
        <v>-495350.85631587269</v>
      </c>
      <c r="R22" s="1222">
        <f>'R1 DRE'!R17-'E3 DIST INDL'!I41</f>
        <v>-495929.69936735166</v>
      </c>
      <c r="S22" s="1222">
        <f>'R1 DRE'!S17-'E3 DIST INDL'!B56</f>
        <v>-496503.85130256217</v>
      </c>
      <c r="T22" s="1222">
        <f>'R1 DRE'!T17-'E3 DIST INDL'!C56</f>
        <v>-497077.08497506118</v>
      </c>
      <c r="U22" s="1222">
        <f>'R1 DRE'!U17-'E3 DIST INDL'!D56</f>
        <v>-497650.31864756014</v>
      </c>
      <c r="V22" s="1222">
        <f>'R1 DRE'!V17-'E3 DIST INDL'!E56</f>
        <v>-498223.55232005921</v>
      </c>
      <c r="W22" s="1222">
        <f>'R1 DRE'!W17-'E3 DIST INDL'!F56</f>
        <v>-498912.86385540804</v>
      </c>
      <c r="X22" s="1222">
        <f>'R1 DRE'!X17-'E3 DIST INDL'!G56</f>
        <v>-499429.32190462324</v>
      </c>
      <c r="Y22" s="1222">
        <f>'R1 DRE'!Y17-'E3 DIST INDL'!H56</f>
        <v>-499918.84502573498</v>
      </c>
      <c r="Z22" s="1222">
        <f>'R1 DRE'!Z17-'E3 DIST INDL'!I56</f>
        <v>-500408.36814684671</v>
      </c>
      <c r="AA22" s="1222">
        <f>'R1 DRE'!AA17-'E3 DIST INDL'!B71</f>
        <v>-500897.89126795839</v>
      </c>
      <c r="AB22" s="1222">
        <f>'R1 DRE'!AB17-'E3 DIST INDL'!C71</f>
        <v>-501577.14152948157</v>
      </c>
      <c r="AC22" s="1222">
        <f>'R1 DRE'!AC17-'E3 DIST INDL'!D71</f>
        <v>-502114.57372358366</v>
      </c>
      <c r="AD22" s="1222">
        <f>'R1 DRE'!AD17-'E3 DIST INDL'!E71</f>
        <v>-502638.45892254676</v>
      </c>
      <c r="AE22" s="1222">
        <f>'R1 DRE'!AE17-'E3 DIST INDL'!F71</f>
        <v>-503185.39802233159</v>
      </c>
      <c r="AF22" s="1222">
        <f>'R1 DRE'!AF17-'E3 DIST INDL'!G71</f>
        <v>-503514.04969936021</v>
      </c>
      <c r="AG22" s="1215">
        <f t="shared" si="7"/>
        <v>-14663478.377531689</v>
      </c>
      <c r="AI22" s="1216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-'16 R1 OPEX'!E9</f>
        <v>-14599.065768930037</v>
      </c>
      <c r="H23" s="1214">
        <f>-'16 R1 OPEX'!E10</f>
        <v>-15057.798117373999</v>
      </c>
      <c r="I23" s="1214">
        <f>-'16 R1 OPEX'!E11</f>
        <v>-15064.87973247327</v>
      </c>
      <c r="J23" s="1214">
        <f>-'16 R1 OPEX'!E12</f>
        <v>-15072.495622356846</v>
      </c>
      <c r="K23" s="1222">
        <f>'R1 DRE'!K18-'E3 DIST INDL'!B42</f>
        <v>-15208.486253067265</v>
      </c>
      <c r="L23" s="1222">
        <f>'R1 DRE'!L18-'E3 DIST INDL'!C42</f>
        <v>-15378.442255394672</v>
      </c>
      <c r="M23" s="1222">
        <f>'R1 DRE'!M18-'E3 DIST INDL'!D42</f>
        <v>-15678.775172996442</v>
      </c>
      <c r="N23" s="1222">
        <f>'R1 DRE'!N18-'E3 DIST INDL'!E42</f>
        <v>-16141.157646812109</v>
      </c>
      <c r="O23" s="1222">
        <f>'R1 DRE'!O18-'E3 DIST INDL'!F42</f>
        <v>-16164.21888608165</v>
      </c>
      <c r="P23" s="1222">
        <f>'R1 DRE'!P18-'E3 DIST INDL'!G42</f>
        <v>-16187.280125351203</v>
      </c>
      <c r="Q23" s="1222">
        <f>'R1 DRE'!Q18-'E3 DIST INDL'!H42</f>
        <v>-16210.34136462075</v>
      </c>
      <c r="R23" s="1222">
        <f>'R1 DRE'!R18-'E3 DIST INDL'!I42</f>
        <v>-16228.783434356836</v>
      </c>
      <c r="S23" s="1222">
        <f>'R1 DRE'!S18-'E3 DIST INDL'!B57</f>
        <v>-16247.551737817845</v>
      </c>
      <c r="T23" s="1222">
        <f>'R1 DRE'!T18-'E3 DIST INDL'!C57</f>
        <v>-16266.320041278865</v>
      </c>
      <c r="U23" s="1222">
        <f>'R1 DRE'!U18-'E3 DIST INDL'!D57</f>
        <v>-16285.088344739874</v>
      </c>
      <c r="V23" s="1222">
        <f>'R1 DRE'!V18-'E3 DIST INDL'!E57</f>
        <v>-16303.856648200886</v>
      </c>
      <c r="W23" s="1222">
        <f>'R1 DRE'!W18-'E3 DIST INDL'!F57</f>
        <v>-16326.959313534353</v>
      </c>
      <c r="X23" s="1222">
        <f>'R1 DRE'!X18-'E3 DIST INDL'!G57</f>
        <v>-16342.988143058079</v>
      </c>
      <c r="Y23" s="1222">
        <f>'R1 DRE'!Y18-'E3 DIST INDL'!H57</f>
        <v>-16359.016972581807</v>
      </c>
      <c r="Z23" s="1222">
        <f>'R1 DRE'!Z18-'E3 DIST INDL'!I57</f>
        <v>-16375.045802105538</v>
      </c>
      <c r="AA23" s="1222">
        <f>'R1 DRE'!AA18-'E3 DIST INDL'!B72</f>
        <v>-16391.074631629261</v>
      </c>
      <c r="AB23" s="1222">
        <f>'R1 DRE'!AB18-'E3 DIST INDL'!C72</f>
        <v>-16414.177299443749</v>
      </c>
      <c r="AC23" s="1222">
        <f>'R1 DRE'!AC18-'E3 DIST INDL'!D72</f>
        <v>-16430.982920484839</v>
      </c>
      <c r="AD23" s="1222">
        <f>'R1 DRE'!AD18-'E3 DIST INDL'!E72</f>
        <v>-16448.197657312652</v>
      </c>
      <c r="AE23" s="1222">
        <f>'R1 DRE'!AE18-'E3 DIST INDL'!F72</f>
        <v>-16466.189179438916</v>
      </c>
      <c r="AF23" s="1222">
        <f>'R1 DRE'!AF18-'E3 DIST INDL'!G72</f>
        <v>-16475.962066103115</v>
      </c>
      <c r="AG23" s="1215">
        <f t="shared" si="7"/>
        <v>-479138.75306233147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22">
        <f>'R1 DRE'!K19-'E3 DIST INDL'!B43</f>
        <v>-553893.96000000008</v>
      </c>
      <c r="L24" s="1222">
        <f>'R1 DRE'!L19-'E3 DIST INDL'!C43</f>
        <v>-554536.02</v>
      </c>
      <c r="M24" s="1222">
        <f>'R1 DRE'!M19-'E3 DIST INDL'!D43</f>
        <v>-555178.08000000007</v>
      </c>
      <c r="N24" s="1222">
        <f>'R1 DRE'!N19-'E3 DIST INDL'!E43</f>
        <v>-555820.14</v>
      </c>
      <c r="O24" s="1222">
        <f>'R1 DRE'!O19-'E3 DIST INDL'!F43</f>
        <v>-555820.14</v>
      </c>
      <c r="P24" s="1222">
        <f>'R1 DRE'!P19-'E3 DIST INDL'!G43</f>
        <v>-555820.14</v>
      </c>
      <c r="Q24" s="1222">
        <f>'R1 DRE'!Q19-'E3 DIST INDL'!H43</f>
        <v>-555820.14</v>
      </c>
      <c r="R24" s="1222">
        <f>'R1 DRE'!R19-'E3 DIST INDL'!I43</f>
        <v>-555820.14</v>
      </c>
      <c r="S24" s="1222">
        <f>'R1 DRE'!S19-'E3 DIST INDL'!B58</f>
        <v>-555820.14</v>
      </c>
      <c r="T24" s="1222">
        <f>'R1 DRE'!T19-'E3 DIST INDL'!C58</f>
        <v>-555820.14</v>
      </c>
      <c r="U24" s="1222">
        <f>'R1 DRE'!U19-'E3 DIST INDL'!D58</f>
        <v>-555820.14</v>
      </c>
      <c r="V24" s="1222">
        <f>'R1 DRE'!V19-'E3 DIST INDL'!E58</f>
        <v>-555820.14</v>
      </c>
      <c r="W24" s="1222">
        <f>'R1 DRE'!W19-'E3 DIST INDL'!F58</f>
        <v>-555820.14</v>
      </c>
      <c r="X24" s="1222">
        <f>'R1 DRE'!X19-'E3 DIST INDL'!G58</f>
        <v>-555820.14</v>
      </c>
      <c r="Y24" s="1222">
        <f>'R1 DRE'!Y19-'E3 DIST INDL'!H58</f>
        <v>-555820.14</v>
      </c>
      <c r="Z24" s="1222">
        <f>'R1 DRE'!Z19-'E3 DIST INDL'!I58</f>
        <v>-555820.14</v>
      </c>
      <c r="AA24" s="1222">
        <f>'R1 DRE'!AA19-'E3 DIST INDL'!B73</f>
        <v>-555820.14</v>
      </c>
      <c r="AB24" s="1222">
        <f>'R1 DRE'!AB19-'E3 DIST INDL'!C73</f>
        <v>-555820.14</v>
      </c>
      <c r="AC24" s="1222">
        <f>'R1 DRE'!AC19-'E3 DIST INDL'!D73</f>
        <v>-555820.14</v>
      </c>
      <c r="AD24" s="1222">
        <f>'R1 DRE'!AD19-'E3 DIST INDL'!E73</f>
        <v>-555820.14</v>
      </c>
      <c r="AE24" s="1222">
        <f>'R1 DRE'!AE19-'E3 DIST INDL'!F73</f>
        <v>-555820.14</v>
      </c>
      <c r="AF24" s="1222">
        <f>'R1 DRE'!AF19-'E3 DIST INDL'!G73</f>
        <v>-555820.14</v>
      </c>
      <c r="AG24" s="1215">
        <f t="shared" si="7"/>
        <v>-16525094.460000008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22">
        <f>'R1 DRE'!K20-'E3 DIST INDL'!B44</f>
        <v>-387500.54461918876</v>
      </c>
      <c r="L25" s="1222">
        <f>'R1 DRE'!L20-'E3 DIST INDL'!C44</f>
        <v>-402597.60294591531</v>
      </c>
      <c r="M25" s="1222">
        <f>'R1 DRE'!M20-'E3 DIST INDL'!D44</f>
        <v>-403138.11509567773</v>
      </c>
      <c r="N25" s="1222">
        <f>'R1 DRE'!N20-'E3 DIST INDL'!E44</f>
        <v>-403673.98888514389</v>
      </c>
      <c r="O25" s="1222">
        <f>'R1 DRE'!O20-'E3 DIST INDL'!F44</f>
        <v>-403738.7943681826</v>
      </c>
      <c r="P25" s="1222">
        <f>'R1 DRE'!P20-'E3 DIST INDL'!G44</f>
        <v>-403803.59985122137</v>
      </c>
      <c r="Q25" s="1222">
        <f>'R1 DRE'!Q20-'E3 DIST INDL'!H44</f>
        <v>-403868.40533426026</v>
      </c>
      <c r="R25" s="1222">
        <f>'R1 DRE'!R20-'E3 DIST INDL'!I44</f>
        <v>-403923.0199841453</v>
      </c>
      <c r="S25" s="1222">
        <f>'R1 DRE'!S20-'E3 DIST INDL'!B59</f>
        <v>-403975.94885431847</v>
      </c>
      <c r="T25" s="1222">
        <f>'R1 DRE'!T20-'E3 DIST INDL'!C59</f>
        <v>-404028.72022612469</v>
      </c>
      <c r="U25" s="1222">
        <f>'R1 DRE'!U20-'E3 DIST INDL'!D59</f>
        <v>-404181.49159793073</v>
      </c>
      <c r="V25" s="1222">
        <f>'R1 DRE'!V20-'E3 DIST INDL'!E59</f>
        <v>-404234.26296973688</v>
      </c>
      <c r="W25" s="1222">
        <f>'R1 DRE'!W20-'E3 DIST INDL'!F59</f>
        <v>-404296.47035276901</v>
      </c>
      <c r="X25" s="1222">
        <f>'R1 DRE'!X20-'E3 DIST INDL'!G59</f>
        <v>-404346.14887976175</v>
      </c>
      <c r="Y25" s="1222">
        <f>'R1 DRE'!Y20-'E3 DIST INDL'!H59</f>
        <v>-404391.20758811251</v>
      </c>
      <c r="Z25" s="1222">
        <f>'R1 DRE'!Z20-'E3 DIST INDL'!I59</f>
        <v>-404436.26629646338</v>
      </c>
      <c r="AA25" s="1222">
        <f>'R1 DRE'!AA20-'E3 DIST INDL'!B74</f>
        <v>-404481.32500481396</v>
      </c>
      <c r="AB25" s="1222">
        <f>'R1 DRE'!AB20-'E3 DIST INDL'!C74</f>
        <v>-404541.80670065648</v>
      </c>
      <c r="AC25" s="1222">
        <f>'R1 DRE'!AC20-'E3 DIST INDL'!D74</f>
        <v>-404593.19023704907</v>
      </c>
      <c r="AD25" s="1222">
        <f>'R1 DRE'!AD20-'E3 DIST INDL'!E74</f>
        <v>-404641.2823270837</v>
      </c>
      <c r="AE25" s="1222">
        <f>'R1 DRE'!AE20-'E3 DIST INDL'!F74</f>
        <v>-404691.43614160578</v>
      </c>
      <c r="AF25" s="1222">
        <f>'R1 DRE'!AF20-'E3 DIST INDL'!G74</f>
        <v>-404724.08533489279</v>
      </c>
      <c r="AG25" s="1215">
        <f t="shared" si="7"/>
        <v>-11384743.851833247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9">-D17*0.01</f>
        <v>-23487.364306745756</v>
      </c>
      <c r="E26" s="1212">
        <f t="shared" si="9"/>
        <v>-26078.466711710476</v>
      </c>
      <c r="F26" s="1212">
        <f t="shared" si="9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0">-I17*0.005</f>
        <v>-16724.631693002015</v>
      </c>
      <c r="J26" s="1212">
        <f t="shared" si="10"/>
        <v>-18111.511932221227</v>
      </c>
      <c r="K26" s="1212">
        <f t="shared" si="10"/>
        <v>-19512.555099859208</v>
      </c>
      <c r="L26" s="1212">
        <f t="shared" si="10"/>
        <v>-19972.699904914156</v>
      </c>
      <c r="M26" s="1212">
        <f t="shared" si="10"/>
        <v>-20901.641421600165</v>
      </c>
      <c r="N26" s="1212">
        <f t="shared" si="10"/>
        <v>-22317.469644955061</v>
      </c>
      <c r="O26" s="1212">
        <f t="shared" si="10"/>
        <v>-22457.851444361535</v>
      </c>
      <c r="P26" s="1212">
        <f t="shared" si="10"/>
        <v>-22488.914567651143</v>
      </c>
      <c r="Q26" s="1212">
        <f t="shared" si="10"/>
        <v>-22521.04371990342</v>
      </c>
      <c r="R26" s="1212">
        <f t="shared" si="10"/>
        <v>-22550.635163173396</v>
      </c>
      <c r="S26" s="1212">
        <f t="shared" si="10"/>
        <v>-22470.267367382519</v>
      </c>
      <c r="T26" s="1212">
        <f t="shared" si="10"/>
        <v>-22497.041660926072</v>
      </c>
      <c r="U26" s="1212">
        <f t="shared" si="10"/>
        <v>-22523.815954469614</v>
      </c>
      <c r="V26" s="1212">
        <f t="shared" si="10"/>
        <v>-22548.05253903089</v>
      </c>
      <c r="W26" s="1212">
        <f t="shared" si="10"/>
        <v>-22577.22482118466</v>
      </c>
      <c r="X26" s="1212">
        <f t="shared" si="10"/>
        <v>-22606.676544082566</v>
      </c>
      <c r="Y26" s="1212">
        <f t="shared" si="10"/>
        <v>-22628.515140033622</v>
      </c>
      <c r="Z26" s="1212">
        <f t="shared" si="10"/>
        <v>-22649.934574868465</v>
      </c>
      <c r="AA26" s="1212">
        <f t="shared" si="10"/>
        <v>-22671.354009703304</v>
      </c>
      <c r="AB26" s="1212">
        <f t="shared" si="10"/>
        <v>-22697.84886250272</v>
      </c>
      <c r="AC26" s="1212">
        <f t="shared" si="10"/>
        <v>-22724.623156046266</v>
      </c>
      <c r="AD26" s="1212">
        <f t="shared" si="10"/>
        <v>-22748.859740607535</v>
      </c>
      <c r="AE26" s="1212">
        <f t="shared" si="10"/>
        <v>-22775.494313779014</v>
      </c>
      <c r="AF26" s="1212">
        <f t="shared" si="10"/>
        <v>-22794.655480375724</v>
      </c>
      <c r="AG26" s="1213">
        <f>SUM(C26:AF26)</f>
        <v>-655235.64525425667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1">D17+D18+D21+D26</f>
        <v>725356.85352382285</v>
      </c>
      <c r="E27" s="1212">
        <f t="shared" si="11"/>
        <v>761828.63043885329</v>
      </c>
      <c r="F27" s="1212">
        <f t="shared" si="11"/>
        <v>885889.84541072126</v>
      </c>
      <c r="G27" s="1212">
        <f t="shared" si="11"/>
        <v>987003.66554251267</v>
      </c>
      <c r="H27" s="1212">
        <f t="shared" si="11"/>
        <v>1236097.9959341185</v>
      </c>
      <c r="I27" s="1212">
        <f t="shared" si="11"/>
        <v>1593813.2030140865</v>
      </c>
      <c r="J27" s="1212">
        <f t="shared" si="11"/>
        <v>1818859.3253650826</v>
      </c>
      <c r="K27" s="1212">
        <f t="shared" si="11"/>
        <v>2067270.3043568742</v>
      </c>
      <c r="L27" s="1212">
        <f t="shared" si="11"/>
        <v>2148213.0913202637</v>
      </c>
      <c r="M27" s="1212">
        <f t="shared" si="11"/>
        <v>2329734.6565924138</v>
      </c>
      <c r="N27" s="1212">
        <f t="shared" si="11"/>
        <v>2608121.3150496599</v>
      </c>
      <c r="O27" s="1212">
        <f t="shared" si="11"/>
        <v>2635218.5674319128</v>
      </c>
      <c r="P27" s="1212">
        <f t="shared" si="11"/>
        <v>2640561.3395423968</v>
      </c>
      <c r="Q27" s="1212">
        <f t="shared" si="11"/>
        <v>2646116.1797263748</v>
      </c>
      <c r="R27" s="1212">
        <f t="shared" si="11"/>
        <v>2651286.9346856521</v>
      </c>
      <c r="S27" s="1212">
        <f t="shared" si="11"/>
        <v>2634631.7682699477</v>
      </c>
      <c r="T27" s="1212">
        <f t="shared" si="11"/>
        <v>2639275.7472782303</v>
      </c>
      <c r="U27" s="1212">
        <f t="shared" si="11"/>
        <v>2643821.247479415</v>
      </c>
      <c r="V27" s="1212">
        <f t="shared" si="11"/>
        <v>2647963.7537631718</v>
      </c>
      <c r="W27" s="1212">
        <f t="shared" si="11"/>
        <v>2652962.0458940361</v>
      </c>
      <c r="X27" s="1212">
        <f t="shared" si="11"/>
        <v>2658187.5091288909</v>
      </c>
      <c r="Y27" s="1212">
        <f t="shared" si="11"/>
        <v>2661950.3326326539</v>
      </c>
      <c r="Z27" s="1212">
        <f t="shared" si="11"/>
        <v>2665627.7691500625</v>
      </c>
      <c r="AA27" s="1212">
        <f t="shared" si="11"/>
        <v>2669304.8131688763</v>
      </c>
      <c r="AB27" s="1212">
        <f t="shared" si="11"/>
        <v>2673730.3741084593</v>
      </c>
      <c r="AC27" s="1212">
        <f t="shared" si="11"/>
        <v>2678452.8335445486</v>
      </c>
      <c r="AD27" s="1212">
        <f t="shared" si="11"/>
        <v>2682648.5395953013</v>
      </c>
      <c r="AE27" s="1212">
        <f t="shared" si="11"/>
        <v>2687288.7441777806</v>
      </c>
      <c r="AF27" s="1212">
        <f t="shared" si="11"/>
        <v>2690690.3535811757</v>
      </c>
      <c r="AG27" s="1213">
        <f t="shared" ref="AG27:AG33" si="12">SUM(C27:AF27)</f>
        <v>65366360.199203402</v>
      </c>
    </row>
    <row r="28" spans="1:36" s="1127" customFormat="1" ht="20.25" customHeight="1">
      <c r="B28" s="1128" t="s">
        <v>221</v>
      </c>
      <c r="C28" s="1211">
        <f t="array" ref="C28:AF28">-TRANSPOSE('E3 R2 DEPR'!AH10:AH39)</f>
        <v>0</v>
      </c>
      <c r="D28" s="1211">
        <v>-19422.835502517231</v>
      </c>
      <c r="E28" s="1211">
        <v>-31767.091368703179</v>
      </c>
      <c r="F28" s="1211">
        <v>-42964.776963557146</v>
      </c>
      <c r="G28" s="1211">
        <v>-96570.054420457061</v>
      </c>
      <c r="H28" s="1211">
        <v>-304965.65942868049</v>
      </c>
      <c r="I28" s="1211">
        <v>-335294.75656698272</v>
      </c>
      <c r="J28" s="1211">
        <v>-409777.60554813145</v>
      </c>
      <c r="K28" s="1211">
        <v>-463947.68852428254</v>
      </c>
      <c r="L28" s="1211">
        <v>-625286.81221660471</v>
      </c>
      <c r="M28" s="1211">
        <v>-675275.71574459272</v>
      </c>
      <c r="N28" s="1211">
        <v>-814933.8988825751</v>
      </c>
      <c r="O28" s="1211">
        <v>-945656.68807653035</v>
      </c>
      <c r="P28" s="1211">
        <v>-949679.43829724425</v>
      </c>
      <c r="Q28" s="1211">
        <v>-953953.61040675279</v>
      </c>
      <c r="R28" s="1211">
        <v>-958512.72732356191</v>
      </c>
      <c r="S28" s="1211">
        <v>-963019.78116300027</v>
      </c>
      <c r="T28" s="1211">
        <v>-967873.53145162622</v>
      </c>
      <c r="U28" s="1211">
        <v>-973131.76093097089</v>
      </c>
      <c r="V28" s="1211">
        <v>-978868.01127207419</v>
      </c>
      <c r="W28" s="1211">
        <v>-985177.88664728787</v>
      </c>
      <c r="X28" s="1211">
        <v>-992821.63706419198</v>
      </c>
      <c r="Y28" s="1211">
        <v>-1000251.4812832091</v>
      </c>
      <c r="Z28" s="1211">
        <v>-1008742.7318192286</v>
      </c>
      <c r="AA28" s="1211">
        <v>-1018649.1907779181</v>
      </c>
      <c r="AB28" s="1211">
        <v>-1030536.9415283455</v>
      </c>
      <c r="AC28" s="1211">
        <v>-1047735.3799663796</v>
      </c>
      <c r="AD28" s="1211">
        <v>-1067819.6312170918</v>
      </c>
      <c r="AE28" s="1211">
        <v>-1098353.0080931601</v>
      </c>
      <c r="AF28" s="1211">
        <v>-1220085.0098420295</v>
      </c>
      <c r="AG28" s="1217">
        <f t="shared" si="12"/>
        <v>-21981075.342327688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3">D27+D28</f>
        <v>705934.01802130567</v>
      </c>
      <c r="E29" s="1212">
        <f t="shared" si="13"/>
        <v>730061.53907015012</v>
      </c>
      <c r="F29" s="1212">
        <f t="shared" si="13"/>
        <v>842925.06844716414</v>
      </c>
      <c r="G29" s="1212">
        <f t="shared" si="13"/>
        <v>890433.61112205556</v>
      </c>
      <c r="H29" s="1212">
        <f t="shared" si="13"/>
        <v>931132.33650543797</v>
      </c>
      <c r="I29" s="1212">
        <f t="shared" si="13"/>
        <v>1258518.4464471037</v>
      </c>
      <c r="J29" s="1212">
        <f t="shared" si="13"/>
        <v>1409081.7198169511</v>
      </c>
      <c r="K29" s="1212">
        <f t="shared" si="13"/>
        <v>1603322.6158325917</v>
      </c>
      <c r="L29" s="1212">
        <f t="shared" si="13"/>
        <v>1522926.2791036591</v>
      </c>
      <c r="M29" s="1212">
        <f t="shared" si="13"/>
        <v>1654458.9408478211</v>
      </c>
      <c r="N29" s="1212">
        <f t="shared" si="13"/>
        <v>1793187.4161670848</v>
      </c>
      <c r="O29" s="1212">
        <f t="shared" si="13"/>
        <v>1689561.8793553824</v>
      </c>
      <c r="P29" s="1212">
        <f t="shared" si="13"/>
        <v>1690881.9012451526</v>
      </c>
      <c r="Q29" s="1212">
        <f t="shared" si="13"/>
        <v>1692162.5693196221</v>
      </c>
      <c r="R29" s="1212">
        <f t="shared" si="13"/>
        <v>1692774.2073620902</v>
      </c>
      <c r="S29" s="1212">
        <f t="shared" si="13"/>
        <v>1671611.9871069475</v>
      </c>
      <c r="T29" s="1212">
        <f t="shared" si="13"/>
        <v>1671402.215826604</v>
      </c>
      <c r="U29" s="1212">
        <f t="shared" si="13"/>
        <v>1670689.4865484443</v>
      </c>
      <c r="V29" s="1212">
        <f t="shared" si="13"/>
        <v>1669095.7424910977</v>
      </c>
      <c r="W29" s="1212">
        <f t="shared" si="13"/>
        <v>1667784.1592467483</v>
      </c>
      <c r="X29" s="1212">
        <f t="shared" si="13"/>
        <v>1665365.872064699</v>
      </c>
      <c r="Y29" s="1212">
        <f t="shared" si="13"/>
        <v>1661698.8513494448</v>
      </c>
      <c r="Z29" s="1212">
        <f t="shared" si="13"/>
        <v>1656885.0373308337</v>
      </c>
      <c r="AA29" s="1212">
        <f t="shared" si="13"/>
        <v>1650655.6223909582</v>
      </c>
      <c r="AB29" s="1212">
        <f t="shared" si="13"/>
        <v>1643193.4325801139</v>
      </c>
      <c r="AC29" s="1212">
        <f t="shared" si="13"/>
        <v>1630717.453578169</v>
      </c>
      <c r="AD29" s="1212">
        <f t="shared" si="13"/>
        <v>1614828.9083782095</v>
      </c>
      <c r="AE29" s="1212">
        <f t="shared" si="13"/>
        <v>1588935.7360846205</v>
      </c>
      <c r="AF29" s="1212">
        <f t="shared" si="13"/>
        <v>1470605.3437391461</v>
      </c>
      <c r="AG29" s="1213">
        <f t="shared" si="12"/>
        <v>43385284.85687571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4">D31+D32</f>
        <v>-216017.56612724392</v>
      </c>
      <c r="E30" s="1212">
        <f t="shared" si="14"/>
        <v>-224220.92328385104</v>
      </c>
      <c r="F30" s="1212">
        <f t="shared" si="14"/>
        <v>-262594.52327203582</v>
      </c>
      <c r="G30" s="1212">
        <f t="shared" si="14"/>
        <v>-278747.42778149887</v>
      </c>
      <c r="H30" s="1212">
        <f t="shared" si="14"/>
        <v>-292584.99441184889</v>
      </c>
      <c r="I30" s="1212">
        <f t="shared" si="14"/>
        <v>-403896.27179201529</v>
      </c>
      <c r="J30" s="1212">
        <f t="shared" si="14"/>
        <v>-455087.78473776334</v>
      </c>
      <c r="K30" s="1212">
        <f t="shared" si="14"/>
        <v>-521129.68938308116</v>
      </c>
      <c r="L30" s="1212">
        <f t="shared" si="14"/>
        <v>-493794.93489524408</v>
      </c>
      <c r="M30" s="1212">
        <f t="shared" si="14"/>
        <v>-538516.03988825914</v>
      </c>
      <c r="N30" s="1212">
        <f t="shared" si="14"/>
        <v>-585683.72149680881</v>
      </c>
      <c r="O30" s="1212">
        <f t="shared" si="14"/>
        <v>-550451.03898083</v>
      </c>
      <c r="P30" s="1212">
        <f t="shared" si="14"/>
        <v>-550899.8464233519</v>
      </c>
      <c r="Q30" s="1212">
        <f t="shared" si="14"/>
        <v>-551335.27356867155</v>
      </c>
      <c r="R30" s="1212">
        <f t="shared" si="14"/>
        <v>-551543.23050311068</v>
      </c>
      <c r="S30" s="1212">
        <f t="shared" si="14"/>
        <v>-544348.07561636216</v>
      </c>
      <c r="T30" s="1212">
        <f t="shared" si="14"/>
        <v>-544276.7533810453</v>
      </c>
      <c r="U30" s="1212">
        <f t="shared" si="14"/>
        <v>-544034.42542647105</v>
      </c>
      <c r="V30" s="1212">
        <f t="shared" si="14"/>
        <v>-543492.55244697316</v>
      </c>
      <c r="W30" s="1212">
        <f t="shared" si="14"/>
        <v>-543046.6141438944</v>
      </c>
      <c r="X30" s="1212">
        <f t="shared" si="14"/>
        <v>-542224.3965019976</v>
      </c>
      <c r="Y30" s="1212">
        <f t="shared" si="14"/>
        <v>-540977.60945881123</v>
      </c>
      <c r="Z30" s="1212">
        <f t="shared" si="14"/>
        <v>-539340.91269248351</v>
      </c>
      <c r="AA30" s="1212">
        <f t="shared" si="14"/>
        <v>-537222.91161292582</v>
      </c>
      <c r="AB30" s="1212">
        <f t="shared" si="14"/>
        <v>-534685.76707723876</v>
      </c>
      <c r="AC30" s="1212">
        <f t="shared" si="14"/>
        <v>-530443.93421657744</v>
      </c>
      <c r="AD30" s="1212">
        <f t="shared" si="14"/>
        <v>-525041.82884859119</v>
      </c>
      <c r="AE30" s="1212">
        <f t="shared" si="14"/>
        <v>-516238.15026877099</v>
      </c>
      <c r="AF30" s="1212">
        <f t="shared" si="14"/>
        <v>-476005.81687130965</v>
      </c>
      <c r="AG30" s="1213">
        <f t="shared" si="12"/>
        <v>-13937883.015109068</v>
      </c>
    </row>
    <row r="31" spans="1:36" s="89" customFormat="1" ht="20.25" customHeight="1">
      <c r="B31" s="477" t="s">
        <v>224</v>
      </c>
      <c r="C31" s="1214"/>
      <c r="D31" s="1214">
        <f t="shared" ref="D31:AF31" si="15">-((D29*0.15)+((D29-240000)*0.1))</f>
        <v>-152483.50450532642</v>
      </c>
      <c r="E31" s="1214">
        <f t="shared" si="15"/>
        <v>-158515.38476753753</v>
      </c>
      <c r="F31" s="1214">
        <f t="shared" si="15"/>
        <v>-186731.26711179104</v>
      </c>
      <c r="G31" s="1214">
        <f t="shared" si="15"/>
        <v>-198608.40278051386</v>
      </c>
      <c r="H31" s="1214">
        <f t="shared" si="15"/>
        <v>-208783.08412635949</v>
      </c>
      <c r="I31" s="1214">
        <f t="shared" si="15"/>
        <v>-290629.61161177594</v>
      </c>
      <c r="J31" s="1214">
        <f t="shared" si="15"/>
        <v>-328270.42995423777</v>
      </c>
      <c r="K31" s="1214">
        <f t="shared" si="15"/>
        <v>-376830.65395814792</v>
      </c>
      <c r="L31" s="1214">
        <f t="shared" si="15"/>
        <v>-356731.56977591477</v>
      </c>
      <c r="M31" s="1214">
        <f t="shared" si="15"/>
        <v>-389614.73521195527</v>
      </c>
      <c r="N31" s="1214">
        <f t="shared" si="15"/>
        <v>-424296.85404177115</v>
      </c>
      <c r="O31" s="1214">
        <f t="shared" si="15"/>
        <v>-398390.4698388456</v>
      </c>
      <c r="P31" s="1214">
        <f t="shared" si="15"/>
        <v>-398720.47531128814</v>
      </c>
      <c r="Q31" s="1214">
        <f t="shared" si="15"/>
        <v>-399040.64232990553</v>
      </c>
      <c r="R31" s="1214">
        <f t="shared" si="15"/>
        <v>-399193.55184052256</v>
      </c>
      <c r="S31" s="1214">
        <f t="shared" si="15"/>
        <v>-393902.99677673687</v>
      </c>
      <c r="T31" s="1214">
        <f t="shared" si="15"/>
        <v>-393850.55395665101</v>
      </c>
      <c r="U31" s="1214">
        <f t="shared" si="15"/>
        <v>-393672.37163711106</v>
      </c>
      <c r="V31" s="1214">
        <f t="shared" si="15"/>
        <v>-393273.93562277441</v>
      </c>
      <c r="W31" s="1214">
        <f t="shared" si="15"/>
        <v>-392946.03981168708</v>
      </c>
      <c r="X31" s="1214">
        <f t="shared" si="15"/>
        <v>-392341.46801617474</v>
      </c>
      <c r="Y31" s="1214">
        <f t="shared" si="15"/>
        <v>-391424.71283736121</v>
      </c>
      <c r="Z31" s="1214">
        <f t="shared" si="15"/>
        <v>-390221.25933270843</v>
      </c>
      <c r="AA31" s="1214">
        <f t="shared" si="15"/>
        <v>-388663.90559773956</v>
      </c>
      <c r="AB31" s="1214">
        <f t="shared" si="15"/>
        <v>-386798.35814502847</v>
      </c>
      <c r="AC31" s="1214">
        <f t="shared" si="15"/>
        <v>-383679.36339454225</v>
      </c>
      <c r="AD31" s="1214">
        <f t="shared" si="15"/>
        <v>-379707.22709455236</v>
      </c>
      <c r="AE31" s="1214">
        <f t="shared" si="15"/>
        <v>-373233.93402115512</v>
      </c>
      <c r="AF31" s="1214">
        <f t="shared" si="15"/>
        <v>-343651.33593478653</v>
      </c>
      <c r="AG31" s="1213">
        <f t="shared" si="12"/>
        <v>-10064208.0993449</v>
      </c>
    </row>
    <row r="32" spans="1:36" s="89" customFormat="1" ht="20.25" customHeight="1">
      <c r="B32" s="477" t="s">
        <v>225</v>
      </c>
      <c r="C32" s="1214"/>
      <c r="D32" s="1214">
        <f t="shared" ref="D32:AF32" si="16">-(D29*0.09)</f>
        <v>-63534.061621917506</v>
      </c>
      <c r="E32" s="1214">
        <f t="shared" si="16"/>
        <v>-65705.538516313507</v>
      </c>
      <c r="F32" s="1214">
        <f t="shared" si="16"/>
        <v>-75863.256160244768</v>
      </c>
      <c r="G32" s="1214">
        <f t="shared" si="16"/>
        <v>-80139.025000984999</v>
      </c>
      <c r="H32" s="1214">
        <f t="shared" si="16"/>
        <v>-83801.910285489415</v>
      </c>
      <c r="I32" s="1214">
        <f t="shared" si="16"/>
        <v>-113266.66018023933</v>
      </c>
      <c r="J32" s="1214">
        <f t="shared" si="16"/>
        <v>-126817.35478352559</v>
      </c>
      <c r="K32" s="1214">
        <f t="shared" si="16"/>
        <v>-144299.03542493324</v>
      </c>
      <c r="L32" s="1214">
        <f t="shared" si="16"/>
        <v>-137063.3651193293</v>
      </c>
      <c r="M32" s="1214">
        <f t="shared" si="16"/>
        <v>-148901.3046763039</v>
      </c>
      <c r="N32" s="1214">
        <f t="shared" si="16"/>
        <v>-161386.86745503763</v>
      </c>
      <c r="O32" s="1214">
        <f t="shared" si="16"/>
        <v>-152060.56914198442</v>
      </c>
      <c r="P32" s="1214">
        <f t="shared" si="16"/>
        <v>-152179.37111206373</v>
      </c>
      <c r="Q32" s="1214">
        <f t="shared" si="16"/>
        <v>-152294.63123876599</v>
      </c>
      <c r="R32" s="1214">
        <f t="shared" si="16"/>
        <v>-152349.67866258812</v>
      </c>
      <c r="S32" s="1214">
        <f t="shared" si="16"/>
        <v>-150445.07883962526</v>
      </c>
      <c r="T32" s="1214">
        <f t="shared" si="16"/>
        <v>-150426.19942439435</v>
      </c>
      <c r="U32" s="1214">
        <f t="shared" si="16"/>
        <v>-150362.05378935998</v>
      </c>
      <c r="V32" s="1214">
        <f t="shared" si="16"/>
        <v>-150218.61682419878</v>
      </c>
      <c r="W32" s="1214">
        <f t="shared" si="16"/>
        <v>-150100.57433220735</v>
      </c>
      <c r="X32" s="1214">
        <f t="shared" si="16"/>
        <v>-149882.92848582289</v>
      </c>
      <c r="Y32" s="1214">
        <f t="shared" si="16"/>
        <v>-149552.89662145003</v>
      </c>
      <c r="Z32" s="1214">
        <f t="shared" si="16"/>
        <v>-149119.65335977502</v>
      </c>
      <c r="AA32" s="1214">
        <f t="shared" si="16"/>
        <v>-148559.00601518623</v>
      </c>
      <c r="AB32" s="1214">
        <f t="shared" si="16"/>
        <v>-147887.40893221024</v>
      </c>
      <c r="AC32" s="1214">
        <f t="shared" si="16"/>
        <v>-146764.5708220352</v>
      </c>
      <c r="AD32" s="1214">
        <f t="shared" si="16"/>
        <v>-145334.60175403886</v>
      </c>
      <c r="AE32" s="1214">
        <f t="shared" si="16"/>
        <v>-143004.21624761584</v>
      </c>
      <c r="AF32" s="1214">
        <f t="shared" si="16"/>
        <v>-132354.48093652315</v>
      </c>
      <c r="AG32" s="1213">
        <f t="shared" si="12"/>
        <v>-3873674.9157641646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7">D29+D30</f>
        <v>489916.45189406176</v>
      </c>
      <c r="E33" s="1219">
        <f t="shared" si="17"/>
        <v>505840.61578629911</v>
      </c>
      <c r="F33" s="1219">
        <f t="shared" si="17"/>
        <v>580330.54517512838</v>
      </c>
      <c r="G33" s="1219">
        <f t="shared" si="17"/>
        <v>611686.18334055669</v>
      </c>
      <c r="H33" s="1219">
        <f t="shared" si="17"/>
        <v>638547.34209358902</v>
      </c>
      <c r="I33" s="1219">
        <f t="shared" si="17"/>
        <v>854622.17465508846</v>
      </c>
      <c r="J33" s="1219">
        <f t="shared" si="17"/>
        <v>953993.93507918774</v>
      </c>
      <c r="K33" s="1219">
        <f t="shared" si="17"/>
        <v>1082192.9264495105</v>
      </c>
      <c r="L33" s="1219">
        <f t="shared" si="17"/>
        <v>1029131.344208415</v>
      </c>
      <c r="M33" s="1219">
        <f t="shared" si="17"/>
        <v>1115942.900959562</v>
      </c>
      <c r="N33" s="1219">
        <f t="shared" si="17"/>
        <v>1207503.694670276</v>
      </c>
      <c r="O33" s="1219">
        <f t="shared" si="17"/>
        <v>1139110.8403745524</v>
      </c>
      <c r="P33" s="1219">
        <f t="shared" si="17"/>
        <v>1139982.0548218007</v>
      </c>
      <c r="Q33" s="1219">
        <f t="shared" si="17"/>
        <v>1140827.2957509505</v>
      </c>
      <c r="R33" s="1219">
        <f t="shared" si="17"/>
        <v>1141230.9768589796</v>
      </c>
      <c r="S33" s="1219">
        <f t="shared" si="17"/>
        <v>1127263.9114905852</v>
      </c>
      <c r="T33" s="1219">
        <f t="shared" si="17"/>
        <v>1127125.4624455587</v>
      </c>
      <c r="U33" s="1219">
        <f t="shared" si="17"/>
        <v>1126655.0611219732</v>
      </c>
      <c r="V33" s="1219">
        <f t="shared" si="17"/>
        <v>1125603.1900441246</v>
      </c>
      <c r="W33" s="1219">
        <f t="shared" si="17"/>
        <v>1124737.5451028538</v>
      </c>
      <c r="X33" s="1219">
        <f t="shared" si="17"/>
        <v>1123141.4755627015</v>
      </c>
      <c r="Y33" s="1219">
        <f t="shared" si="17"/>
        <v>1120721.2418906335</v>
      </c>
      <c r="Z33" s="1219">
        <f t="shared" si="17"/>
        <v>1117544.1246383502</v>
      </c>
      <c r="AA33" s="1219">
        <f t="shared" si="17"/>
        <v>1113432.7107780324</v>
      </c>
      <c r="AB33" s="1219">
        <f t="shared" si="17"/>
        <v>1108507.6655028751</v>
      </c>
      <c r="AC33" s="1219">
        <f t="shared" si="17"/>
        <v>1100273.5193615914</v>
      </c>
      <c r="AD33" s="1219">
        <f t="shared" si="17"/>
        <v>1089787.0795296184</v>
      </c>
      <c r="AE33" s="1219">
        <f t="shared" si="17"/>
        <v>1072697.5858158495</v>
      </c>
      <c r="AF33" s="1219">
        <f t="shared" si="17"/>
        <v>994599.52686783648</v>
      </c>
      <c r="AG33" s="1220">
        <f t="shared" si="12"/>
        <v>29447401.841766659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139669.85047581568</v>
      </c>
      <c r="I35" s="135">
        <f t="shared" si="18"/>
        <v>188777.76696706555</v>
      </c>
      <c r="J35" s="135">
        <f t="shared" si="18"/>
        <v>211362.25797254266</v>
      </c>
      <c r="K35" s="135">
        <f t="shared" si="18"/>
        <v>240498.39237488873</v>
      </c>
      <c r="L35" s="135">
        <f t="shared" si="18"/>
        <v>228438.94186554887</v>
      </c>
      <c r="M35" s="135">
        <f t="shared" si="18"/>
        <v>248168.84112717316</v>
      </c>
      <c r="N35" s="135">
        <f t="shared" si="18"/>
        <v>268978.11242506269</v>
      </c>
      <c r="O35" s="135">
        <f t="shared" si="18"/>
        <v>253434.28190330736</v>
      </c>
      <c r="P35" s="135">
        <f t="shared" si="18"/>
        <v>253632.28518677288</v>
      </c>
      <c r="Q35" s="135">
        <f t="shared" si="18"/>
        <v>253824.38539794332</v>
      </c>
      <c r="R35" s="135">
        <f t="shared" si="18"/>
        <v>253916.13110431354</v>
      </c>
      <c r="S35" s="135">
        <f t="shared" si="18"/>
        <v>250741.7980660421</v>
      </c>
      <c r="T35" s="135">
        <f t="shared" si="18"/>
        <v>250710.33237399059</v>
      </c>
      <c r="U35" s="135">
        <f t="shared" si="18"/>
        <v>250603.42298226664</v>
      </c>
      <c r="V35" s="135">
        <f t="shared" si="18"/>
        <v>250364.36137366464</v>
      </c>
      <c r="W35" s="135">
        <f t="shared" si="18"/>
        <v>250167.62388701225</v>
      </c>
      <c r="X35" s="135">
        <f t="shared" si="18"/>
        <v>249804.88080970483</v>
      </c>
      <c r="Y35" s="135">
        <f t="shared" si="18"/>
        <v>249254.82770241672</v>
      </c>
      <c r="Z35" s="135">
        <f t="shared" si="18"/>
        <v>248532.75559962506</v>
      </c>
      <c r="AA35" s="135">
        <f t="shared" si="18"/>
        <v>247598.34335864373</v>
      </c>
      <c r="AB35" s="135">
        <f t="shared" si="18"/>
        <v>246479.01488701708</v>
      </c>
      <c r="AC35" s="135">
        <f t="shared" si="18"/>
        <v>244607.61803672533</v>
      </c>
      <c r="AD35" s="135">
        <f t="shared" si="18"/>
        <v>242224.33625673142</v>
      </c>
      <c r="AE35" s="135">
        <f t="shared" si="18"/>
        <v>238340.36041269306</v>
      </c>
      <c r="AF35" s="135">
        <f t="shared" si="18"/>
        <v>220590.80156087191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69113.2336505438</v>
      </c>
      <c r="I36" s="135">
        <f t="shared" si="19"/>
        <v>101851.84464471038</v>
      </c>
      <c r="J36" s="135">
        <f t="shared" si="19"/>
        <v>116908.17198169511</v>
      </c>
      <c r="K36" s="135">
        <f t="shared" si="19"/>
        <v>136332.26158325918</v>
      </c>
      <c r="L36" s="135">
        <f t="shared" si="19"/>
        <v>128292.62791036592</v>
      </c>
      <c r="M36" s="135">
        <f t="shared" si="19"/>
        <v>141445.89408478211</v>
      </c>
      <c r="N36" s="135">
        <f t="shared" si="19"/>
        <v>155318.74161670849</v>
      </c>
      <c r="O36" s="135">
        <f t="shared" si="19"/>
        <v>144956.18793553824</v>
      </c>
      <c r="P36" s="135">
        <f t="shared" si="19"/>
        <v>145088.19012451527</v>
      </c>
      <c r="Q36" s="135">
        <f t="shared" si="19"/>
        <v>145216.25693196221</v>
      </c>
      <c r="R36" s="135">
        <f t="shared" si="19"/>
        <v>145277.42073620902</v>
      </c>
      <c r="S36" s="135">
        <f t="shared" si="19"/>
        <v>143161.19871069476</v>
      </c>
      <c r="T36" s="135">
        <f t="shared" si="19"/>
        <v>143140.22158266042</v>
      </c>
      <c r="U36" s="135">
        <f t="shared" si="19"/>
        <v>143068.94865484443</v>
      </c>
      <c r="V36" s="135">
        <f t="shared" si="19"/>
        <v>142909.57424910978</v>
      </c>
      <c r="W36" s="135">
        <f t="shared" si="19"/>
        <v>142778.41592467483</v>
      </c>
      <c r="X36" s="135">
        <f t="shared" si="19"/>
        <v>142536.58720646991</v>
      </c>
      <c r="Y36" s="135">
        <f t="shared" si="19"/>
        <v>142169.88513494449</v>
      </c>
      <c r="Z36" s="135">
        <f t="shared" si="19"/>
        <v>141688.50373308337</v>
      </c>
      <c r="AA36" s="135">
        <f t="shared" si="19"/>
        <v>141065.56223909583</v>
      </c>
      <c r="AB36" s="135">
        <f t="shared" si="19"/>
        <v>140319.34325801139</v>
      </c>
      <c r="AC36" s="135">
        <f t="shared" si="19"/>
        <v>139071.74535781689</v>
      </c>
      <c r="AD36" s="135">
        <f t="shared" si="19"/>
        <v>137482.89083782095</v>
      </c>
      <c r="AE36" s="135">
        <f t="shared" si="19"/>
        <v>134893.57360846206</v>
      </c>
      <c r="AF36" s="135">
        <f t="shared" si="19"/>
        <v>123060.53437391462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208783.08412635949</v>
      </c>
      <c r="I37" s="135">
        <f t="shared" si="20"/>
        <v>290629.61161177594</v>
      </c>
      <c r="J37" s="135">
        <f t="shared" si="20"/>
        <v>328270.42995423777</v>
      </c>
      <c r="K37" s="135">
        <f t="shared" si="20"/>
        <v>376830.65395814792</v>
      </c>
      <c r="L37" s="135">
        <f t="shared" si="20"/>
        <v>356731.56977591477</v>
      </c>
      <c r="M37" s="135">
        <f t="shared" si="20"/>
        <v>389614.73521195527</v>
      </c>
      <c r="N37" s="135">
        <f t="shared" si="20"/>
        <v>424296.85404177115</v>
      </c>
      <c r="O37" s="135">
        <f t="shared" si="20"/>
        <v>398390.4698388456</v>
      </c>
      <c r="P37" s="135">
        <f t="shared" si="20"/>
        <v>398720.47531128814</v>
      </c>
      <c r="Q37" s="135">
        <f t="shared" si="20"/>
        <v>399040.64232990553</v>
      </c>
      <c r="R37" s="135">
        <f t="shared" si="20"/>
        <v>399193.55184052256</v>
      </c>
      <c r="S37" s="135">
        <f t="shared" si="20"/>
        <v>393902.99677673687</v>
      </c>
      <c r="T37" s="135">
        <f t="shared" si="20"/>
        <v>393850.55395665101</v>
      </c>
      <c r="U37" s="135">
        <f t="shared" si="20"/>
        <v>393672.37163711106</v>
      </c>
      <c r="V37" s="135">
        <f t="shared" si="20"/>
        <v>393273.93562277441</v>
      </c>
      <c r="W37" s="135">
        <f t="shared" si="20"/>
        <v>392946.03981168708</v>
      </c>
      <c r="X37" s="135">
        <f t="shared" si="20"/>
        <v>392341.46801617474</v>
      </c>
      <c r="Y37" s="135">
        <f t="shared" si="20"/>
        <v>391424.71283736121</v>
      </c>
      <c r="Z37" s="135">
        <f t="shared" si="20"/>
        <v>390221.25933270843</v>
      </c>
      <c r="AA37" s="135">
        <f t="shared" si="20"/>
        <v>388663.90559773956</v>
      </c>
      <c r="AB37" s="135">
        <f t="shared" si="20"/>
        <v>386798.35814502847</v>
      </c>
      <c r="AC37" s="135">
        <f t="shared" si="20"/>
        <v>383679.36339454225</v>
      </c>
      <c r="AD37" s="135">
        <f t="shared" si="20"/>
        <v>379707.22709455236</v>
      </c>
      <c r="AE37" s="135">
        <f t="shared" si="20"/>
        <v>373233.93402115512</v>
      </c>
      <c r="AF37" s="135">
        <f t="shared" si="20"/>
        <v>343651.33593478653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2">D27</f>
        <v>725356.85352382285</v>
      </c>
      <c r="E45" s="1227">
        <f t="shared" si="22"/>
        <v>761828.63043885329</v>
      </c>
      <c r="F45" s="1227">
        <f t="shared" si="22"/>
        <v>885889.84541072126</v>
      </c>
      <c r="G45" s="1227">
        <f t="shared" si="22"/>
        <v>987003.66554251267</v>
      </c>
      <c r="H45" s="1227">
        <f t="shared" si="22"/>
        <v>1236097.9959341185</v>
      </c>
      <c r="I45" s="1227">
        <f t="shared" si="22"/>
        <v>1593813.2030140865</v>
      </c>
      <c r="J45" s="1227">
        <f t="shared" si="22"/>
        <v>1818859.3253650826</v>
      </c>
      <c r="K45" s="1227">
        <f t="shared" si="22"/>
        <v>2067270.3043568742</v>
      </c>
      <c r="L45" s="1227">
        <f t="shared" si="22"/>
        <v>2148213.0913202637</v>
      </c>
      <c r="M45" s="1227">
        <f t="shared" si="22"/>
        <v>2329734.6565924138</v>
      </c>
      <c r="N45" s="1227">
        <f t="shared" si="22"/>
        <v>2608121.3150496599</v>
      </c>
      <c r="O45" s="1227">
        <f t="shared" si="22"/>
        <v>2635218.5674319128</v>
      </c>
      <c r="P45" s="1227">
        <f t="shared" si="22"/>
        <v>2640561.3395423968</v>
      </c>
      <c r="Q45" s="1227">
        <f t="shared" si="22"/>
        <v>2646116.1797263748</v>
      </c>
      <c r="R45" s="1227">
        <f t="shared" si="22"/>
        <v>2651286.9346856521</v>
      </c>
      <c r="S45" s="1227">
        <f t="shared" si="22"/>
        <v>2634631.7682699477</v>
      </c>
      <c r="T45" s="1227">
        <f t="shared" si="22"/>
        <v>2639275.7472782303</v>
      </c>
      <c r="U45" s="1227">
        <f t="shared" si="22"/>
        <v>2643821.247479415</v>
      </c>
      <c r="V45" s="1227">
        <f t="shared" si="22"/>
        <v>2647963.7537631718</v>
      </c>
      <c r="W45" s="1227">
        <f t="shared" si="22"/>
        <v>2652962.0458940361</v>
      </c>
      <c r="X45" s="1227">
        <f t="shared" si="22"/>
        <v>2658187.5091288909</v>
      </c>
      <c r="Y45" s="1227">
        <f t="shared" si="22"/>
        <v>2661950.3326326539</v>
      </c>
      <c r="Z45" s="1227">
        <f t="shared" si="22"/>
        <v>2665627.7691500625</v>
      </c>
      <c r="AA45" s="1227">
        <f t="shared" si="22"/>
        <v>2669304.8131688763</v>
      </c>
      <c r="AB45" s="1227">
        <f t="shared" si="22"/>
        <v>2673730.3741084593</v>
      </c>
      <c r="AC45" s="1227">
        <f t="shared" si="22"/>
        <v>2678452.8335445486</v>
      </c>
      <c r="AD45" s="1227">
        <f t="shared" si="22"/>
        <v>2682648.5395953013</v>
      </c>
      <c r="AE45" s="1227">
        <f t="shared" si="22"/>
        <v>2687288.7441777806</v>
      </c>
      <c r="AF45" s="1227">
        <f t="shared" si="22"/>
        <v>2690690.3535811757</v>
      </c>
      <c r="AG45" s="1229">
        <f>SUM(C45:AF45)</f>
        <v>65366360.199203402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1" si="23">SUM(C46:AF46)</f>
        <v>0</v>
      </c>
    </row>
    <row r="47" spans="2:34" s="205" customFormat="1" ht="21" customHeight="1">
      <c r="B47" s="468" t="s">
        <v>229</v>
      </c>
      <c r="C47" s="1212">
        <f>C48+C54</f>
        <v>-563262.22957299976</v>
      </c>
      <c r="D47" s="1212">
        <f t="shared" ref="D47:AF47" si="24">D48+D54</f>
        <v>-561656.73038045038</v>
      </c>
      <c r="E47" s="1212">
        <f t="shared" si="24"/>
        <v>-526558.43434490811</v>
      </c>
      <c r="F47" s="1212">
        <f t="shared" si="24"/>
        <v>-1656331.7371514337</v>
      </c>
      <c r="G47" s="1212">
        <f t="shared" si="24"/>
        <v>-5488637.5529870847</v>
      </c>
      <c r="H47" s="1212">
        <f t="shared" si="24"/>
        <v>-1020483.3257311017</v>
      </c>
      <c r="I47" s="1212">
        <f t="shared" si="24"/>
        <v>-2117001.7983584367</v>
      </c>
      <c r="J47" s="1212">
        <f t="shared" si="24"/>
        <v>-1646829.6102130874</v>
      </c>
      <c r="K47" s="1212">
        <f t="shared" si="24"/>
        <v>-3909251.2869218471</v>
      </c>
      <c r="L47" s="1212">
        <f t="shared" si="24"/>
        <v>-1493573.0054550045</v>
      </c>
      <c r="M47" s="1212">
        <f t="shared" si="24"/>
        <v>-3192021.5195099246</v>
      </c>
      <c r="N47" s="1212">
        <f t="shared" si="24"/>
        <v>-2938693.9269880033</v>
      </c>
      <c r="O47" s="1212">
        <f t="shared" si="24"/>
        <v>-618837.7927329666</v>
      </c>
      <c r="P47" s="1212">
        <f t="shared" si="24"/>
        <v>-619286.60017548851</v>
      </c>
      <c r="Q47" s="1212">
        <f t="shared" si="24"/>
        <v>-619722.02732080815</v>
      </c>
      <c r="R47" s="1212">
        <f t="shared" si="24"/>
        <v>-614641.98425524728</v>
      </c>
      <c r="S47" s="1212">
        <f t="shared" si="24"/>
        <v>-607446.82936849876</v>
      </c>
      <c r="T47" s="1212">
        <f t="shared" si="24"/>
        <v>-607375.50713318191</v>
      </c>
      <c r="U47" s="1212">
        <f t="shared" si="24"/>
        <v>-607133.17917860765</v>
      </c>
      <c r="V47" s="1212">
        <f t="shared" si="24"/>
        <v>-606591.30619910976</v>
      </c>
      <c r="W47" s="1212">
        <f t="shared" si="24"/>
        <v>-611840.36789603101</v>
      </c>
      <c r="X47" s="1212">
        <f t="shared" si="24"/>
        <v>-601663.15025413421</v>
      </c>
      <c r="Y47" s="1212">
        <f t="shared" si="24"/>
        <v>-600416.36321094783</v>
      </c>
      <c r="Z47" s="1212">
        <f t="shared" si="24"/>
        <v>-598779.66644462012</v>
      </c>
      <c r="AA47" s="1212">
        <f t="shared" si="24"/>
        <v>-596661.66536506242</v>
      </c>
      <c r="AB47" s="1212">
        <f t="shared" si="24"/>
        <v>-603479.52082937537</v>
      </c>
      <c r="AC47" s="1212">
        <f t="shared" si="24"/>
        <v>-590696.68796871405</v>
      </c>
      <c r="AD47" s="1212">
        <f t="shared" si="24"/>
        <v>-586108.58260072779</v>
      </c>
      <c r="AE47" s="1212">
        <f t="shared" si="24"/>
        <v>-578522.90402090759</v>
      </c>
      <c r="AF47" s="1228">
        <f t="shared" si="24"/>
        <v>-535453.06486804259</v>
      </c>
      <c r="AG47" s="1231">
        <f t="shared" si="23"/>
        <v>-35918958.357436746</v>
      </c>
    </row>
    <row r="48" spans="2:34" s="206" customFormat="1" ht="21" customHeight="1">
      <c r="B48" s="468" t="s">
        <v>230</v>
      </c>
      <c r="C48" s="1212">
        <f>SUM(C49:C53)</f>
        <v>-563262.22957299976</v>
      </c>
      <c r="D48" s="1212">
        <f t="shared" ref="D48:AF48" si="25">SUM(D49:D53)</f>
        <v>-345639.16425320646</v>
      </c>
      <c r="E48" s="1212">
        <f t="shared" si="25"/>
        <v>-302337.51106105704</v>
      </c>
      <c r="F48" s="1212">
        <f t="shared" si="25"/>
        <v>-1393737.2138793978</v>
      </c>
      <c r="G48" s="1212">
        <f t="shared" si="25"/>
        <v>-5209890.1252055857</v>
      </c>
      <c r="H48" s="1212">
        <f t="shared" si="25"/>
        <v>-727898.33131925284</v>
      </c>
      <c r="I48" s="1212">
        <f t="shared" si="25"/>
        <v>-1713105.5265664214</v>
      </c>
      <c r="J48" s="1212">
        <f t="shared" si="25"/>
        <v>-1191741.8254753242</v>
      </c>
      <c r="K48" s="1211">
        <f t="shared" si="25"/>
        <v>-3388121.597538766</v>
      </c>
      <c r="L48" s="1211">
        <f t="shared" si="25"/>
        <v>-999778.07055976056</v>
      </c>
      <c r="M48" s="1211">
        <f t="shared" si="25"/>
        <v>-2653505.4796216656</v>
      </c>
      <c r="N48" s="1211">
        <f t="shared" si="25"/>
        <v>-2353010.2054911945</v>
      </c>
      <c r="O48" s="1211">
        <f t="shared" si="25"/>
        <v>-68386.753752136574</v>
      </c>
      <c r="P48" s="1211">
        <f t="shared" si="25"/>
        <v>-68386.753752136574</v>
      </c>
      <c r="Q48" s="1211">
        <f t="shared" si="25"/>
        <v>-68386.753752136574</v>
      </c>
      <c r="R48" s="1211">
        <f t="shared" si="25"/>
        <v>-63098.753752136574</v>
      </c>
      <c r="S48" s="1211">
        <f t="shared" si="25"/>
        <v>-63098.753752136574</v>
      </c>
      <c r="T48" s="1211">
        <f t="shared" si="25"/>
        <v>-63098.753752136574</v>
      </c>
      <c r="U48" s="1211">
        <f t="shared" si="25"/>
        <v>-63098.753752136574</v>
      </c>
      <c r="V48" s="1211">
        <f t="shared" si="25"/>
        <v>-63098.753752136574</v>
      </c>
      <c r="W48" s="1211">
        <f t="shared" si="25"/>
        <v>-68793.753752136574</v>
      </c>
      <c r="X48" s="1211">
        <f t="shared" si="25"/>
        <v>-59438.753752136574</v>
      </c>
      <c r="Y48" s="1211">
        <f t="shared" si="25"/>
        <v>-59438.753752136574</v>
      </c>
      <c r="Z48" s="1211">
        <f t="shared" si="25"/>
        <v>-59438.753752136574</v>
      </c>
      <c r="AA48" s="1211">
        <f t="shared" si="25"/>
        <v>-59438.753752136574</v>
      </c>
      <c r="AB48" s="1211">
        <f t="shared" si="25"/>
        <v>-68793.753752136574</v>
      </c>
      <c r="AC48" s="1211">
        <f t="shared" si="25"/>
        <v>-60252.753752136574</v>
      </c>
      <c r="AD48" s="1211">
        <f t="shared" si="25"/>
        <v>-61066.753752136574</v>
      </c>
      <c r="AE48" s="1211">
        <f t="shared" si="25"/>
        <v>-62284.753752136574</v>
      </c>
      <c r="AF48" s="1211">
        <f t="shared" si="25"/>
        <v>-59447.247996732927</v>
      </c>
      <c r="AG48" s="1231">
        <f t="shared" si="23"/>
        <v>-21981075.342327654</v>
      </c>
      <c r="AH48" s="207"/>
    </row>
    <row r="49" spans="2:34" s="206" customFormat="1" ht="21" customHeight="1">
      <c r="B49" s="1258" t="s">
        <v>231</v>
      </c>
      <c r="C49" s="1214">
        <f t="array" ref="C49:AF49">-TRANSPOSE('18 R1 Invest Total'!C4:C33)</f>
        <v>-408428.3754822117</v>
      </c>
      <c r="D49" s="1214">
        <v>-329783.01199834509</v>
      </c>
      <c r="E49" s="1214">
        <v>-226602.31678867349</v>
      </c>
      <c r="F49" s="1214">
        <v>-1359859.3479073208</v>
      </c>
      <c r="G49" s="1214">
        <v>-423362.0777800596</v>
      </c>
      <c r="H49" s="1214">
        <v>-99278.617780059591</v>
      </c>
      <c r="I49" s="1214">
        <v>-14581.887780059598</v>
      </c>
      <c r="J49" s="1214">
        <v>-14581.887780059598</v>
      </c>
      <c r="K49" s="1214">
        <v>-14581.887780059598</v>
      </c>
      <c r="L49" s="1214">
        <v>-15189.887780059598</v>
      </c>
      <c r="M49" s="1214">
        <v>-14785.887780059598</v>
      </c>
      <c r="N49" s="1214">
        <v>-14275.887780059598</v>
      </c>
      <c r="O49" s="1214">
        <v>-14275.887780059598</v>
      </c>
      <c r="P49" s="1214">
        <v>-14275.887780059598</v>
      </c>
      <c r="Q49" s="1214">
        <v>-14275.887780059598</v>
      </c>
      <c r="R49" s="1214">
        <v>-12851.887780059598</v>
      </c>
      <c r="S49" s="1214">
        <v>-12851.887780059598</v>
      </c>
      <c r="T49" s="1214">
        <v>-12851.887780059598</v>
      </c>
      <c r="U49" s="1214">
        <v>-12851.887780059598</v>
      </c>
      <c r="V49" s="1214">
        <v>-12851.887780059598</v>
      </c>
      <c r="W49" s="1214">
        <v>-14377.887780059598</v>
      </c>
      <c r="X49" s="1214">
        <v>-11835.887780059598</v>
      </c>
      <c r="Y49" s="1214">
        <v>-11835.887780059598</v>
      </c>
      <c r="Z49" s="1214">
        <v>-11835.887780059598</v>
      </c>
      <c r="AA49" s="1214">
        <v>-11835.887780059598</v>
      </c>
      <c r="AB49" s="1214">
        <v>-14377.887780059598</v>
      </c>
      <c r="AC49" s="1214">
        <v>-12039.887780059598</v>
      </c>
      <c r="AD49" s="1214">
        <v>-12243.887780059598</v>
      </c>
      <c r="AE49" s="1214">
        <v>-12647.887780059598</v>
      </c>
      <c r="AF49" s="1230">
        <v>-9773.2620246559418</v>
      </c>
      <c r="AG49" s="1231">
        <f t="shared" si="23"/>
        <v>-3165202.4287026967</v>
      </c>
    </row>
    <row r="50" spans="2:34" s="206" customFormat="1" ht="21" customHeight="1">
      <c r="B50" s="1259" t="s">
        <v>762</v>
      </c>
      <c r="C50" s="1214"/>
      <c r="D50" s="1214"/>
      <c r="E50" s="1214"/>
      <c r="F50" s="1214"/>
      <c r="G50" s="1214"/>
      <c r="H50" s="1214"/>
      <c r="I50" s="1214"/>
      <c r="J50" s="1214"/>
      <c r="K50" s="1222">
        <f>-'E3 DIST INDL'!B37</f>
        <v>-1023752.9967814514</v>
      </c>
      <c r="L50" s="1222"/>
      <c r="M50" s="1222"/>
      <c r="N50" s="1222"/>
      <c r="O50" s="1222"/>
      <c r="P50" s="1222"/>
      <c r="Q50" s="1222"/>
      <c r="R50" s="1222"/>
      <c r="S50" s="1222"/>
      <c r="T50" s="1222"/>
      <c r="U50" s="1222"/>
      <c r="V50" s="1222"/>
      <c r="W50" s="1222"/>
      <c r="X50" s="1222"/>
      <c r="Y50" s="1222"/>
      <c r="Z50" s="1222"/>
      <c r="AA50" s="1222"/>
      <c r="AB50" s="1222"/>
      <c r="AC50" s="1222"/>
      <c r="AD50" s="1222"/>
      <c r="AE50" s="1222"/>
      <c r="AF50" s="1222"/>
      <c r="AG50" s="1231">
        <f t="shared" si="23"/>
        <v>-1023752.9967814514</v>
      </c>
    </row>
    <row r="51" spans="2:34" s="206" customFormat="1" ht="21" customHeight="1">
      <c r="B51" s="470" t="s">
        <v>232</v>
      </c>
      <c r="C51" s="1214">
        <f t="array" ref="C51:AF51">-TRANSPOSE('18 R1 Invest Total'!D4:D33)</f>
        <v>-37879.125589369905</v>
      </c>
      <c r="D51" s="1214">
        <v>-571.94869673148537</v>
      </c>
      <c r="E51" s="1214">
        <v>-9420.8028316306008</v>
      </c>
      <c r="F51" s="1214">
        <v>-816</v>
      </c>
      <c r="G51" s="1214">
        <v>-4753466.1814534497</v>
      </c>
      <c r="H51" s="1214">
        <v>-595557.84756711626</v>
      </c>
      <c r="I51" s="1214">
        <v>-1665461.7728142848</v>
      </c>
      <c r="J51" s="1214">
        <v>-1144098.0717231876</v>
      </c>
      <c r="K51" s="1214">
        <v>-1876522.1650870387</v>
      </c>
      <c r="L51" s="1214">
        <v>-951526.31680762395</v>
      </c>
      <c r="M51" s="1214">
        <v>-2605657.7258695289</v>
      </c>
      <c r="N51" s="1214">
        <v>-2305672.4517390579</v>
      </c>
      <c r="O51" s="1214">
        <v>-21049</v>
      </c>
      <c r="P51" s="1214">
        <v>-21049</v>
      </c>
      <c r="Q51" s="1214">
        <v>-21049</v>
      </c>
      <c r="R51" s="1214">
        <v>-17185</v>
      </c>
      <c r="S51" s="1214">
        <v>-17185</v>
      </c>
      <c r="T51" s="1214">
        <v>-17185</v>
      </c>
      <c r="U51" s="1214">
        <v>-17185</v>
      </c>
      <c r="V51" s="1214">
        <v>-17185</v>
      </c>
      <c r="W51" s="1214">
        <v>-21354</v>
      </c>
      <c r="X51" s="1214">
        <v>-14541</v>
      </c>
      <c r="Y51" s="1214">
        <v>-14541</v>
      </c>
      <c r="Z51" s="1214">
        <v>-14541</v>
      </c>
      <c r="AA51" s="1214">
        <v>-14541</v>
      </c>
      <c r="AB51" s="1214">
        <v>-21354</v>
      </c>
      <c r="AC51" s="1214">
        <v>-15151</v>
      </c>
      <c r="AD51" s="1214">
        <v>-15761</v>
      </c>
      <c r="AE51" s="1214">
        <v>-16575</v>
      </c>
      <c r="AF51" s="1230">
        <v>-16612.120000000003</v>
      </c>
      <c r="AG51" s="1231">
        <f t="shared" si="23"/>
        <v>-16260693.530179018</v>
      </c>
    </row>
    <row r="52" spans="2:34" s="206" customFormat="1" ht="21" customHeight="1">
      <c r="B52" s="1259" t="s">
        <v>763</v>
      </c>
      <c r="C52" s="1214"/>
      <c r="D52" s="1214"/>
      <c r="E52" s="1214"/>
      <c r="F52" s="1214"/>
      <c r="G52" s="1214"/>
      <c r="H52" s="1214"/>
      <c r="I52" s="1214"/>
      <c r="J52" s="1214"/>
      <c r="K52" s="1222">
        <f>-'E3 DIST INDL'!B38</f>
        <v>-440202.68191813945</v>
      </c>
      <c r="L52" s="1214"/>
      <c r="M52" s="1214"/>
      <c r="N52" s="1214"/>
      <c r="O52" s="1214"/>
      <c r="P52" s="1214"/>
      <c r="Q52" s="1214"/>
      <c r="R52" s="1214"/>
      <c r="S52" s="1214"/>
      <c r="T52" s="1214"/>
      <c r="U52" s="1214"/>
      <c r="V52" s="1214"/>
      <c r="W52" s="1214"/>
      <c r="X52" s="1214"/>
      <c r="Y52" s="1214"/>
      <c r="Z52" s="1214"/>
      <c r="AA52" s="1214"/>
      <c r="AB52" s="1214"/>
      <c r="AC52" s="1214"/>
      <c r="AD52" s="1214"/>
      <c r="AE52" s="1214"/>
      <c r="AF52" s="1230"/>
      <c r="AG52" s="1231"/>
    </row>
    <row r="53" spans="2:34" s="206" customFormat="1" ht="21" customHeight="1">
      <c r="B53" s="470" t="s">
        <v>233</v>
      </c>
      <c r="C53" s="1214">
        <f t="array" ref="C53:AF53">-TRANSPOSE('18 R1 Invest Total'!E4:E33)</f>
        <v>-116954.72850141811</v>
      </c>
      <c r="D53" s="1214">
        <v>-15284.203558129915</v>
      </c>
      <c r="E53" s="1214">
        <v>-66314.391440752952</v>
      </c>
      <c r="F53" s="1214">
        <v>-33061.865972076979</v>
      </c>
      <c r="G53" s="1214">
        <v>-33061.865972076979</v>
      </c>
      <c r="H53" s="1214">
        <v>-33061.865972076979</v>
      </c>
      <c r="I53" s="1214">
        <v>-33061.865972076979</v>
      </c>
      <c r="J53" s="1214">
        <v>-33061.865972076979</v>
      </c>
      <c r="K53" s="1214">
        <v>-33061.865972076979</v>
      </c>
      <c r="L53" s="1214">
        <v>-33061.865972076979</v>
      </c>
      <c r="M53" s="1214">
        <v>-33061.865972076979</v>
      </c>
      <c r="N53" s="1214">
        <v>-33061.865972076979</v>
      </c>
      <c r="O53" s="1214">
        <v>-33061.865972076979</v>
      </c>
      <c r="P53" s="1214">
        <v>-33061.865972076979</v>
      </c>
      <c r="Q53" s="1214">
        <v>-33061.865972076979</v>
      </c>
      <c r="R53" s="1214">
        <v>-33061.865972076979</v>
      </c>
      <c r="S53" s="1214">
        <v>-33061.865972076979</v>
      </c>
      <c r="T53" s="1214">
        <v>-33061.865972076979</v>
      </c>
      <c r="U53" s="1214">
        <v>-33061.865972076979</v>
      </c>
      <c r="V53" s="1214">
        <v>-33061.865972076979</v>
      </c>
      <c r="W53" s="1214">
        <v>-33061.865972076979</v>
      </c>
      <c r="X53" s="1214">
        <v>-33061.865972076979</v>
      </c>
      <c r="Y53" s="1214">
        <v>-33061.865972076979</v>
      </c>
      <c r="Z53" s="1214">
        <v>-33061.865972076979</v>
      </c>
      <c r="AA53" s="1214">
        <v>-33061.865972076979</v>
      </c>
      <c r="AB53" s="1214">
        <v>-33061.865972076979</v>
      </c>
      <c r="AC53" s="1214">
        <v>-33061.865972076979</v>
      </c>
      <c r="AD53" s="1214">
        <v>-33061.865972076979</v>
      </c>
      <c r="AE53" s="1214">
        <v>-33061.865972076979</v>
      </c>
      <c r="AF53" s="1230">
        <v>-33061.865972076979</v>
      </c>
      <c r="AG53" s="1231">
        <f t="shared" ref="AG53:AG57" si="26">SUM(C53:AF53)</f>
        <v>-1091223.70474638</v>
      </c>
    </row>
    <row r="54" spans="2:34" s="206" customFormat="1" ht="21" customHeight="1">
      <c r="B54" s="468" t="s">
        <v>234</v>
      </c>
      <c r="C54" s="1212">
        <f>C55+C56</f>
        <v>0</v>
      </c>
      <c r="D54" s="1212">
        <f t="shared" ref="D54:AF54" si="27">D55+D56</f>
        <v>-216017.56612724392</v>
      </c>
      <c r="E54" s="1212">
        <f t="shared" si="27"/>
        <v>-224220.92328385104</v>
      </c>
      <c r="F54" s="1212">
        <f t="shared" si="27"/>
        <v>-262594.52327203582</v>
      </c>
      <c r="G54" s="1212">
        <f t="shared" si="27"/>
        <v>-278747.42778149887</v>
      </c>
      <c r="H54" s="1212">
        <f t="shared" si="27"/>
        <v>-292584.99441184889</v>
      </c>
      <c r="I54" s="1212">
        <f t="shared" si="27"/>
        <v>-403896.27179201529</v>
      </c>
      <c r="J54" s="1212">
        <f t="shared" si="27"/>
        <v>-455087.78473776334</v>
      </c>
      <c r="K54" s="1212">
        <f t="shared" si="27"/>
        <v>-521129.68938308116</v>
      </c>
      <c r="L54" s="1212">
        <f t="shared" si="27"/>
        <v>-493794.93489524408</v>
      </c>
      <c r="M54" s="1212">
        <f t="shared" si="27"/>
        <v>-538516.03988825914</v>
      </c>
      <c r="N54" s="1212">
        <f t="shared" si="27"/>
        <v>-585683.72149680881</v>
      </c>
      <c r="O54" s="1212">
        <f t="shared" si="27"/>
        <v>-550451.03898083</v>
      </c>
      <c r="P54" s="1212">
        <f t="shared" si="27"/>
        <v>-550899.8464233519</v>
      </c>
      <c r="Q54" s="1212">
        <f t="shared" si="27"/>
        <v>-551335.27356867155</v>
      </c>
      <c r="R54" s="1212">
        <f t="shared" si="27"/>
        <v>-551543.23050311068</v>
      </c>
      <c r="S54" s="1212">
        <f t="shared" si="27"/>
        <v>-544348.07561636216</v>
      </c>
      <c r="T54" s="1212">
        <f t="shared" si="27"/>
        <v>-544276.7533810453</v>
      </c>
      <c r="U54" s="1212">
        <f t="shared" si="27"/>
        <v>-544034.42542647105</v>
      </c>
      <c r="V54" s="1212">
        <f t="shared" si="27"/>
        <v>-543492.55244697316</v>
      </c>
      <c r="W54" s="1212">
        <f t="shared" si="27"/>
        <v>-543046.6141438944</v>
      </c>
      <c r="X54" s="1212">
        <f t="shared" si="27"/>
        <v>-542224.3965019976</v>
      </c>
      <c r="Y54" s="1212">
        <f t="shared" si="27"/>
        <v>-540977.60945881123</v>
      </c>
      <c r="Z54" s="1212">
        <f t="shared" si="27"/>
        <v>-539340.91269248351</v>
      </c>
      <c r="AA54" s="1212">
        <f t="shared" si="27"/>
        <v>-537222.91161292582</v>
      </c>
      <c r="AB54" s="1212">
        <f t="shared" si="27"/>
        <v>-534685.76707723876</v>
      </c>
      <c r="AC54" s="1212">
        <f t="shared" si="27"/>
        <v>-530443.93421657744</v>
      </c>
      <c r="AD54" s="1212">
        <f t="shared" si="27"/>
        <v>-525041.82884859119</v>
      </c>
      <c r="AE54" s="1212">
        <f t="shared" si="27"/>
        <v>-516238.15026877099</v>
      </c>
      <c r="AF54" s="1228">
        <f t="shared" si="27"/>
        <v>-476005.81687130965</v>
      </c>
      <c r="AG54" s="1231">
        <f t="shared" si="26"/>
        <v>-13937883.015109068</v>
      </c>
    </row>
    <row r="55" spans="2:34" s="206" customFormat="1" ht="21" customHeight="1">
      <c r="B55" s="469" t="s">
        <v>235</v>
      </c>
      <c r="C55" s="1214">
        <f>C31</f>
        <v>0</v>
      </c>
      <c r="D55" s="1214">
        <f t="shared" ref="D55:AF56" si="28">D31</f>
        <v>-152483.50450532642</v>
      </c>
      <c r="E55" s="1214">
        <f t="shared" si="28"/>
        <v>-158515.38476753753</v>
      </c>
      <c r="F55" s="1214">
        <f t="shared" si="28"/>
        <v>-186731.26711179104</v>
      </c>
      <c r="G55" s="1214">
        <f t="shared" si="28"/>
        <v>-198608.40278051386</v>
      </c>
      <c r="H55" s="1214">
        <f t="shared" si="28"/>
        <v>-208783.08412635949</v>
      </c>
      <c r="I55" s="1214">
        <f t="shared" si="28"/>
        <v>-290629.61161177594</v>
      </c>
      <c r="J55" s="1214">
        <f t="shared" si="28"/>
        <v>-328270.42995423777</v>
      </c>
      <c r="K55" s="1214">
        <f t="shared" si="28"/>
        <v>-376830.65395814792</v>
      </c>
      <c r="L55" s="1214">
        <f t="shared" si="28"/>
        <v>-356731.56977591477</v>
      </c>
      <c r="M55" s="1214">
        <f t="shared" si="28"/>
        <v>-389614.73521195527</v>
      </c>
      <c r="N55" s="1214">
        <f t="shared" si="28"/>
        <v>-424296.85404177115</v>
      </c>
      <c r="O55" s="1214">
        <f t="shared" si="28"/>
        <v>-398390.4698388456</v>
      </c>
      <c r="P55" s="1214">
        <f t="shared" si="28"/>
        <v>-398720.47531128814</v>
      </c>
      <c r="Q55" s="1214">
        <f t="shared" si="28"/>
        <v>-399040.64232990553</v>
      </c>
      <c r="R55" s="1214">
        <f t="shared" si="28"/>
        <v>-399193.55184052256</v>
      </c>
      <c r="S55" s="1214">
        <f t="shared" si="28"/>
        <v>-393902.99677673687</v>
      </c>
      <c r="T55" s="1214">
        <f t="shared" si="28"/>
        <v>-393850.55395665101</v>
      </c>
      <c r="U55" s="1214">
        <f t="shared" si="28"/>
        <v>-393672.37163711106</v>
      </c>
      <c r="V55" s="1214">
        <f t="shared" si="28"/>
        <v>-393273.93562277441</v>
      </c>
      <c r="W55" s="1214">
        <f t="shared" si="28"/>
        <v>-392946.03981168708</v>
      </c>
      <c r="X55" s="1214">
        <f t="shared" si="28"/>
        <v>-392341.46801617474</v>
      </c>
      <c r="Y55" s="1214">
        <f t="shared" si="28"/>
        <v>-391424.71283736121</v>
      </c>
      <c r="Z55" s="1214">
        <f t="shared" si="28"/>
        <v>-390221.25933270843</v>
      </c>
      <c r="AA55" s="1214">
        <f t="shared" si="28"/>
        <v>-388663.90559773956</v>
      </c>
      <c r="AB55" s="1214">
        <f t="shared" si="28"/>
        <v>-386798.35814502847</v>
      </c>
      <c r="AC55" s="1214">
        <f t="shared" si="28"/>
        <v>-383679.36339454225</v>
      </c>
      <c r="AD55" s="1214">
        <f t="shared" si="28"/>
        <v>-379707.22709455236</v>
      </c>
      <c r="AE55" s="1214">
        <f t="shared" si="28"/>
        <v>-373233.93402115512</v>
      </c>
      <c r="AF55" s="1214">
        <f t="shared" si="28"/>
        <v>-343651.33593478653</v>
      </c>
      <c r="AG55" s="1231">
        <f t="shared" si="26"/>
        <v>-10064208.0993449</v>
      </c>
    </row>
    <row r="56" spans="2:34" s="206" customFormat="1" ht="21" customHeight="1" thickBot="1">
      <c r="B56" s="476" t="s">
        <v>236</v>
      </c>
      <c r="C56" s="1214">
        <f>C32</f>
        <v>0</v>
      </c>
      <c r="D56" s="1214">
        <f t="shared" si="28"/>
        <v>-63534.061621917506</v>
      </c>
      <c r="E56" s="1214">
        <f t="shared" si="28"/>
        <v>-65705.538516313507</v>
      </c>
      <c r="F56" s="1214">
        <f t="shared" si="28"/>
        <v>-75863.256160244768</v>
      </c>
      <c r="G56" s="1214">
        <f t="shared" si="28"/>
        <v>-80139.025000984999</v>
      </c>
      <c r="H56" s="1214">
        <f t="shared" si="28"/>
        <v>-83801.910285489415</v>
      </c>
      <c r="I56" s="1214">
        <f t="shared" si="28"/>
        <v>-113266.66018023933</v>
      </c>
      <c r="J56" s="1214">
        <f t="shared" si="28"/>
        <v>-126817.35478352559</v>
      </c>
      <c r="K56" s="1214">
        <f t="shared" si="28"/>
        <v>-144299.03542493324</v>
      </c>
      <c r="L56" s="1214">
        <f t="shared" si="28"/>
        <v>-137063.3651193293</v>
      </c>
      <c r="M56" s="1214">
        <f t="shared" si="28"/>
        <v>-148901.3046763039</v>
      </c>
      <c r="N56" s="1214">
        <f t="shared" si="28"/>
        <v>-161386.86745503763</v>
      </c>
      <c r="O56" s="1214">
        <f t="shared" si="28"/>
        <v>-152060.56914198442</v>
      </c>
      <c r="P56" s="1214">
        <f t="shared" si="28"/>
        <v>-152179.37111206373</v>
      </c>
      <c r="Q56" s="1214">
        <f t="shared" si="28"/>
        <v>-152294.63123876599</v>
      </c>
      <c r="R56" s="1214">
        <f t="shared" si="28"/>
        <v>-152349.67866258812</v>
      </c>
      <c r="S56" s="1214">
        <f t="shared" si="28"/>
        <v>-150445.07883962526</v>
      </c>
      <c r="T56" s="1214">
        <f t="shared" si="28"/>
        <v>-150426.19942439435</v>
      </c>
      <c r="U56" s="1214">
        <f t="shared" si="28"/>
        <v>-150362.05378935998</v>
      </c>
      <c r="V56" s="1214">
        <f t="shared" si="28"/>
        <v>-150218.61682419878</v>
      </c>
      <c r="W56" s="1214">
        <f t="shared" si="28"/>
        <v>-150100.57433220735</v>
      </c>
      <c r="X56" s="1214">
        <f t="shared" si="28"/>
        <v>-149882.92848582289</v>
      </c>
      <c r="Y56" s="1214">
        <f t="shared" si="28"/>
        <v>-149552.89662145003</v>
      </c>
      <c r="Z56" s="1214">
        <f t="shared" si="28"/>
        <v>-149119.65335977502</v>
      </c>
      <c r="AA56" s="1214">
        <f t="shared" si="28"/>
        <v>-148559.00601518623</v>
      </c>
      <c r="AB56" s="1214">
        <f t="shared" si="28"/>
        <v>-147887.40893221024</v>
      </c>
      <c r="AC56" s="1214">
        <f t="shared" si="28"/>
        <v>-146764.5708220352</v>
      </c>
      <c r="AD56" s="1214">
        <f t="shared" si="28"/>
        <v>-145334.60175403886</v>
      </c>
      <c r="AE56" s="1214">
        <f t="shared" si="28"/>
        <v>-143004.21624761584</v>
      </c>
      <c r="AF56" s="1214">
        <f t="shared" si="28"/>
        <v>-132354.48093652315</v>
      </c>
      <c r="AG56" s="1232">
        <f t="shared" si="26"/>
        <v>-3873674.9157641646</v>
      </c>
    </row>
    <row r="57" spans="2:34" s="206" customFormat="1" ht="21" customHeight="1" thickBot="1">
      <c r="B57" s="472" t="s">
        <v>237</v>
      </c>
      <c r="C57" s="1233">
        <f>C45+C47</f>
        <v>-218809.77007688157</v>
      </c>
      <c r="D57" s="1233">
        <f t="shared" ref="D57:AF57" si="29">D45+D47</f>
        <v>163700.12314337248</v>
      </c>
      <c r="E57" s="1233">
        <f t="shared" si="29"/>
        <v>235270.19609394518</v>
      </c>
      <c r="F57" s="1233">
        <f t="shared" si="29"/>
        <v>-770441.89174071245</v>
      </c>
      <c r="G57" s="1233">
        <f t="shared" si="29"/>
        <v>-4501633.8874445725</v>
      </c>
      <c r="H57" s="1233">
        <f t="shared" si="29"/>
        <v>215614.67020301684</v>
      </c>
      <c r="I57" s="1233">
        <f t="shared" si="29"/>
        <v>-523188.59534435021</v>
      </c>
      <c r="J57" s="1233">
        <f t="shared" si="29"/>
        <v>172029.71515199519</v>
      </c>
      <c r="K57" s="1233">
        <f t="shared" si="29"/>
        <v>-1841980.9825649729</v>
      </c>
      <c r="L57" s="1233">
        <f t="shared" si="29"/>
        <v>654640.08586525917</v>
      </c>
      <c r="M57" s="1233">
        <f t="shared" si="29"/>
        <v>-862286.86291751079</v>
      </c>
      <c r="N57" s="1233">
        <f t="shared" si="29"/>
        <v>-330572.61193834338</v>
      </c>
      <c r="O57" s="1233">
        <f t="shared" si="29"/>
        <v>2016380.7746989462</v>
      </c>
      <c r="P57" s="1233">
        <f t="shared" si="29"/>
        <v>2021274.7393669083</v>
      </c>
      <c r="Q57" s="1233">
        <f t="shared" si="29"/>
        <v>2026394.1524055665</v>
      </c>
      <c r="R57" s="1233">
        <f t="shared" si="29"/>
        <v>2036644.9504304049</v>
      </c>
      <c r="S57" s="1233">
        <f t="shared" si="29"/>
        <v>2027184.9389014491</v>
      </c>
      <c r="T57" s="1233">
        <f t="shared" si="29"/>
        <v>2031900.2401450484</v>
      </c>
      <c r="U57" s="1233">
        <f t="shared" si="29"/>
        <v>2036688.0683008074</v>
      </c>
      <c r="V57" s="1233">
        <f t="shared" si="29"/>
        <v>2041372.4475640622</v>
      </c>
      <c r="W57" s="1233">
        <f t="shared" si="29"/>
        <v>2041121.6779980049</v>
      </c>
      <c r="X57" s="1233">
        <f t="shared" si="29"/>
        <v>2056524.3588747568</v>
      </c>
      <c r="Y57" s="1233">
        <f t="shared" si="29"/>
        <v>2061533.9694217062</v>
      </c>
      <c r="Z57" s="1233">
        <f t="shared" si="29"/>
        <v>2066848.1027054423</v>
      </c>
      <c r="AA57" s="1233">
        <f t="shared" si="29"/>
        <v>2072643.1478038139</v>
      </c>
      <c r="AB57" s="1233">
        <f t="shared" si="29"/>
        <v>2070250.853279084</v>
      </c>
      <c r="AC57" s="1233">
        <f t="shared" si="29"/>
        <v>2087756.1455758344</v>
      </c>
      <c r="AD57" s="1233">
        <f t="shared" si="29"/>
        <v>2096539.9569945736</v>
      </c>
      <c r="AE57" s="1233">
        <f t="shared" si="29"/>
        <v>2108765.8401568728</v>
      </c>
      <c r="AF57" s="1234">
        <f t="shared" si="29"/>
        <v>2155237.288713133</v>
      </c>
      <c r="AG57" s="1235">
        <f t="shared" si="26"/>
        <v>29447401.841766655</v>
      </c>
      <c r="AH57" s="207"/>
    </row>
    <row r="58" spans="2:34" s="206" customFormat="1" ht="21" customHeight="1" thickBot="1">
      <c r="B58" s="472" t="s">
        <v>238</v>
      </c>
      <c r="C58" s="886">
        <f>IRR(C57:AF57)</f>
        <v>0.12033262677102763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36"/>
    </row>
    <row r="59" spans="2:34" ht="15" thickBot="1"/>
    <row r="60" spans="2:34" ht="15.75" thickBot="1">
      <c r="B60" s="472" t="s">
        <v>714</v>
      </c>
      <c r="C60" s="886">
        <v>0.1203</v>
      </c>
    </row>
    <row r="61" spans="2:34" ht="15" thickBot="1"/>
    <row r="62" spans="2:34" ht="15.75" thickBot="1">
      <c r="B62" s="472" t="s">
        <v>659</v>
      </c>
      <c r="C62" s="886">
        <f>C58-C60</f>
        <v>3.2626771027624568E-5</v>
      </c>
    </row>
    <row r="65" spans="32:32">
      <c r="AF65" s="41">
        <v>567.50879541981226</v>
      </c>
    </row>
    <row r="68" spans="32:32">
      <c r="AF68" s="41">
        <f>AF65*35%</f>
        <v>198.62807839693428</v>
      </c>
    </row>
  </sheetData>
  <mergeCells count="1">
    <mergeCell ref="AC42:AG42"/>
  </mergeCells>
  <conditionalFormatting sqref="B39">
    <cfRule type="cellIs" dxfId="25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0DDC9-874E-44A2-A009-E85CD9E165C1}">
  <sheetPr>
    <tabColor theme="6"/>
  </sheetPr>
  <dimension ref="A1:AB50"/>
  <sheetViews>
    <sheetView showGridLines="0" zoomScaleNormal="100" workbookViewId="0">
      <selection activeCell="C17" sqref="C17"/>
    </sheetView>
  </sheetViews>
  <sheetFormatPr defaultRowHeight="12.75"/>
  <cols>
    <col min="1" max="1" width="41" customWidth="1"/>
    <col min="2" max="28" width="15.7109375" customWidth="1"/>
  </cols>
  <sheetData>
    <row r="1" spans="1:9" ht="23.25">
      <c r="A1" s="1236" t="s">
        <v>766</v>
      </c>
      <c r="B1" s="1236"/>
    </row>
    <row r="2" spans="1:9" ht="23.25">
      <c r="A2" s="1236" t="s">
        <v>767</v>
      </c>
      <c r="B2" s="1236"/>
    </row>
    <row r="4" spans="1:9">
      <c r="A4" s="1248" t="s">
        <v>664</v>
      </c>
      <c r="B4" s="1249"/>
      <c r="C4" s="1250"/>
    </row>
    <row r="5" spans="1:9">
      <c r="A5" s="1194" t="s">
        <v>728</v>
      </c>
      <c r="B5" s="1013">
        <v>41944</v>
      </c>
      <c r="C5" s="1195">
        <v>648.54200000000003</v>
      </c>
    </row>
    <row r="6" spans="1:9">
      <c r="B6" s="1013">
        <v>44682</v>
      </c>
      <c r="C6" s="1015">
        <v>1013.164</v>
      </c>
    </row>
    <row r="7" spans="1:9">
      <c r="B7" s="1013">
        <v>45108</v>
      </c>
      <c r="C7" s="1015">
        <v>1076.626</v>
      </c>
      <c r="I7" s="1187"/>
    </row>
    <row r="8" spans="1:9">
      <c r="C8" s="1245"/>
      <c r="D8" s="1192"/>
      <c r="E8" s="1245"/>
      <c r="F8" s="1245"/>
    </row>
    <row r="9" spans="1:9" ht="38.25">
      <c r="A9" s="1202" t="s">
        <v>717</v>
      </c>
      <c r="B9" s="1202" t="s">
        <v>855</v>
      </c>
      <c r="C9" s="1251" t="s">
        <v>719</v>
      </c>
      <c r="D9" s="1252" t="s">
        <v>720</v>
      </c>
      <c r="E9" s="1253" t="s">
        <v>721</v>
      </c>
      <c r="F9" s="1253" t="s">
        <v>919</v>
      </c>
      <c r="G9" s="1202" t="s">
        <v>722</v>
      </c>
    </row>
    <row r="10" spans="1:9">
      <c r="A10" s="1197" t="s">
        <v>850</v>
      </c>
      <c r="B10" s="1015">
        <v>1</v>
      </c>
      <c r="C10" s="1195">
        <v>2349.9899999999998</v>
      </c>
      <c r="D10" s="1013">
        <v>44652</v>
      </c>
      <c r="E10" s="1195">
        <f>C10/($C$6/$C$5)</f>
        <v>1504.2650692089335</v>
      </c>
      <c r="F10" s="1195">
        <f>C10*($C$7/$C$6)</f>
        <v>2497.1873593416267</v>
      </c>
      <c r="G10" s="1021">
        <v>6</v>
      </c>
    </row>
    <row r="11" spans="1:9">
      <c r="A11" s="1197" t="s">
        <v>851</v>
      </c>
      <c r="B11" s="1015">
        <v>1</v>
      </c>
      <c r="C11" s="1195">
        <v>1496.74</v>
      </c>
      <c r="D11" s="1013">
        <v>43922</v>
      </c>
      <c r="E11" s="1195">
        <f t="shared" ref="E11:E14" si="0">C11/($C$6/$C$5)</f>
        <v>958.08650236289486</v>
      </c>
      <c r="F11" s="1195">
        <f t="shared" ref="F11:F14" si="1">C11*($C$7/$C$6)</f>
        <v>1590.4919630385602</v>
      </c>
      <c r="G11" s="1021">
        <v>6</v>
      </c>
    </row>
    <row r="12" spans="1:9">
      <c r="A12" s="1197" t="s">
        <v>852</v>
      </c>
      <c r="B12" s="1015">
        <v>2</v>
      </c>
      <c r="C12" s="1195">
        <v>2223.6999999999998</v>
      </c>
      <c r="D12" s="1013">
        <v>44470</v>
      </c>
      <c r="E12" s="1195">
        <f t="shared" si="0"/>
        <v>1423.424880276046</v>
      </c>
      <c r="F12" s="1195">
        <f t="shared" si="1"/>
        <v>2362.9868769518062</v>
      </c>
      <c r="G12" s="1021">
        <v>6</v>
      </c>
    </row>
    <row r="13" spans="1:9">
      <c r="A13" s="1197" t="s">
        <v>853</v>
      </c>
      <c r="B13" s="1015">
        <v>2</v>
      </c>
      <c r="C13" s="1195">
        <v>5649.29</v>
      </c>
      <c r="D13" s="1013">
        <v>44562</v>
      </c>
      <c r="E13" s="1195">
        <f t="shared" si="0"/>
        <v>3616.1982020482369</v>
      </c>
      <c r="F13" s="1195">
        <f t="shared" si="1"/>
        <v>6003.1470675428654</v>
      </c>
      <c r="G13" s="1021">
        <v>6</v>
      </c>
    </row>
    <row r="14" spans="1:9">
      <c r="A14" s="1197" t="s">
        <v>854</v>
      </c>
      <c r="B14" s="1015">
        <v>1</v>
      </c>
      <c r="C14" s="1195">
        <v>19067</v>
      </c>
      <c r="D14" s="1013">
        <v>44682</v>
      </c>
      <c r="E14" s="1195">
        <f t="shared" si="0"/>
        <v>12205.08260656715</v>
      </c>
      <c r="F14" s="1195">
        <f t="shared" si="1"/>
        <v>20261.308082403244</v>
      </c>
      <c r="G14" s="1021">
        <v>6</v>
      </c>
    </row>
    <row r="15" spans="1:9">
      <c r="C15" s="1246">
        <f>SUM(C10:C14)</f>
        <v>30786.720000000001</v>
      </c>
      <c r="D15" s="1194"/>
      <c r="E15" s="1246">
        <f>SUM(E10:E14)</f>
        <v>19707.057260463262</v>
      </c>
      <c r="F15" s="1246">
        <f>SUM(F10:F14)</f>
        <v>32715.121349278103</v>
      </c>
    </row>
    <row r="17" spans="1:11">
      <c r="A17" s="1248" t="s">
        <v>663</v>
      </c>
      <c r="B17" s="1249"/>
      <c r="C17" s="1250"/>
    </row>
    <row r="18" spans="1:11">
      <c r="A18" s="1194" t="s">
        <v>786</v>
      </c>
      <c r="B18" s="1013">
        <v>41944</v>
      </c>
      <c r="C18" s="1195">
        <v>4028.44</v>
      </c>
    </row>
    <row r="21" spans="1:11" ht="25.5">
      <c r="A21" s="1202" t="s">
        <v>522</v>
      </c>
      <c r="B21" s="1202" t="s">
        <v>781</v>
      </c>
      <c r="C21" s="1202" t="s">
        <v>768</v>
      </c>
      <c r="D21" s="1202" t="s">
        <v>769</v>
      </c>
      <c r="E21" s="1203" t="s">
        <v>770</v>
      </c>
      <c r="F21" s="1202" t="s">
        <v>771</v>
      </c>
      <c r="G21" s="1202" t="s">
        <v>772</v>
      </c>
      <c r="H21" s="1576" t="s">
        <v>782</v>
      </c>
      <c r="I21" s="1577"/>
      <c r="J21" s="1203" t="s">
        <v>785</v>
      </c>
      <c r="K21" s="1203" t="s">
        <v>784</v>
      </c>
    </row>
    <row r="22" spans="1:11">
      <c r="A22" s="1263" t="s">
        <v>773</v>
      </c>
      <c r="B22" s="1578">
        <v>5</v>
      </c>
      <c r="C22" s="1193">
        <v>24.1</v>
      </c>
      <c r="D22" s="1256">
        <v>2.7926955965795572E-2</v>
      </c>
      <c r="E22" s="1254">
        <v>400416</v>
      </c>
      <c r="F22" s="1015" t="s">
        <v>689</v>
      </c>
      <c r="G22" s="1015" t="s">
        <v>689</v>
      </c>
      <c r="H22" s="1015" t="s">
        <v>689</v>
      </c>
      <c r="I22" s="1015" t="s">
        <v>689</v>
      </c>
      <c r="J22" s="1015" t="s">
        <v>689</v>
      </c>
      <c r="K22" s="1015" t="s">
        <v>689</v>
      </c>
    </row>
    <row r="23" spans="1:11">
      <c r="A23" s="1263" t="s">
        <v>774</v>
      </c>
      <c r="B23" s="1556"/>
      <c r="C23" s="1193">
        <v>25.615189701205722</v>
      </c>
      <c r="D23" s="1256">
        <v>3.0072232709215517E-2</v>
      </c>
      <c r="E23" s="1254">
        <v>470424</v>
      </c>
      <c r="F23" s="1015" t="s">
        <v>689</v>
      </c>
      <c r="G23" s="1015" t="s">
        <v>689</v>
      </c>
      <c r="H23" s="1015" t="s">
        <v>689</v>
      </c>
      <c r="I23" s="1015" t="s">
        <v>689</v>
      </c>
      <c r="J23" s="1015" t="s">
        <v>689</v>
      </c>
      <c r="K23" s="1015" t="s">
        <v>689</v>
      </c>
    </row>
    <row r="24" spans="1:11">
      <c r="A24" s="1535" t="s">
        <v>775</v>
      </c>
      <c r="B24" s="1534"/>
      <c r="C24" s="1193">
        <f>AVERAGE(C22:C23)</f>
        <v>24.857594850602862</v>
      </c>
      <c r="D24" s="1256">
        <f>AVERAGE(D22:D23)</f>
        <v>2.8999594337505544E-2</v>
      </c>
      <c r="E24" s="1264" t="s">
        <v>689</v>
      </c>
      <c r="F24" s="1197" t="s">
        <v>689</v>
      </c>
      <c r="G24" s="1197" t="s">
        <v>689</v>
      </c>
      <c r="H24" s="1197" t="s">
        <v>689</v>
      </c>
      <c r="I24" s="1197" t="s">
        <v>689</v>
      </c>
      <c r="J24" s="1197" t="s">
        <v>689</v>
      </c>
      <c r="K24" s="1197" t="s">
        <v>689</v>
      </c>
    </row>
    <row r="25" spans="1:11">
      <c r="A25" s="1263" t="s">
        <v>776</v>
      </c>
      <c r="B25" s="1578">
        <v>6</v>
      </c>
      <c r="C25" s="1193">
        <v>37.6925837520239</v>
      </c>
      <c r="D25" s="1256">
        <v>4.482903236575473E-2</v>
      </c>
      <c r="E25" s="1254">
        <v>479272</v>
      </c>
      <c r="F25" s="1256">
        <f>D25-$D$22</f>
        <v>1.6902076399959158E-2</v>
      </c>
      <c r="G25" s="1195">
        <f>E25*F25</f>
        <v>8100.6919603612259</v>
      </c>
      <c r="H25" s="1013">
        <v>44166</v>
      </c>
      <c r="I25" s="1195">
        <v>5560.59</v>
      </c>
      <c r="J25" s="1256">
        <f>F25/($I25/$C$18)</f>
        <v>1.2244923767559103E-2</v>
      </c>
      <c r="K25" s="1195">
        <f>G25/($I25/$C$18)</f>
        <v>5868.6491039255861</v>
      </c>
    </row>
    <row r="26" spans="1:11">
      <c r="A26" s="1263" t="s">
        <v>777</v>
      </c>
      <c r="B26" s="1556"/>
      <c r="C26" s="1193">
        <v>32.901282757110287</v>
      </c>
      <c r="D26" s="1256">
        <v>4.14049989158711E-2</v>
      </c>
      <c r="E26" s="1254">
        <v>474145.647</v>
      </c>
      <c r="F26" s="1256">
        <f t="shared" ref="F26:F30" si="2">D26-$D$22</f>
        <v>1.3478042950075528E-2</v>
      </c>
      <c r="G26" s="1195">
        <f t="shared" ref="G26:G30" si="3">E26*F26</f>
        <v>6390.5553948573497</v>
      </c>
      <c r="H26" s="1013">
        <v>44348</v>
      </c>
      <c r="I26" s="1195">
        <v>5769.98</v>
      </c>
      <c r="J26" s="1256">
        <f t="shared" ref="J26:K30" si="4">F26/($I26/$C$18)</f>
        <v>9.4099957611295474E-3</v>
      </c>
      <c r="K26" s="1195">
        <f t="shared" si="4"/>
        <v>4461.7085284280265</v>
      </c>
    </row>
    <row r="27" spans="1:11">
      <c r="A27" s="1263" t="s">
        <v>778</v>
      </c>
      <c r="B27" s="1578">
        <v>7</v>
      </c>
      <c r="C27" s="1193">
        <v>46.433980829399346</v>
      </c>
      <c r="D27" s="1256">
        <v>6.8125283302561609E-2</v>
      </c>
      <c r="E27" s="1254">
        <v>452255</v>
      </c>
      <c r="F27" s="1256">
        <f t="shared" si="2"/>
        <v>4.0198327336766038E-2</v>
      </c>
      <c r="G27" s="1195">
        <f t="shared" si="3"/>
        <v>18179.894529689125</v>
      </c>
      <c r="H27" s="1013">
        <v>44531</v>
      </c>
      <c r="I27" s="1195">
        <v>6120.04</v>
      </c>
      <c r="J27" s="1256">
        <f t="shared" si="4"/>
        <v>2.6460047610231598E-2</v>
      </c>
      <c r="K27" s="1195">
        <f t="shared" si="4"/>
        <v>11966.688831965292</v>
      </c>
    </row>
    <row r="28" spans="1:11">
      <c r="A28" s="1263" t="s">
        <v>779</v>
      </c>
      <c r="B28" s="1556"/>
      <c r="C28" s="1193">
        <v>31.902539867540654</v>
      </c>
      <c r="D28" s="1256">
        <v>6.3486054336405903E-2</v>
      </c>
      <c r="E28" s="1254">
        <v>470182</v>
      </c>
      <c r="F28" s="1256">
        <f t="shared" si="2"/>
        <v>3.5559098370610331E-2</v>
      </c>
      <c r="G28" s="1195">
        <f t="shared" si="3"/>
        <v>16719.247990090305</v>
      </c>
      <c r="H28" s="1013">
        <v>44713</v>
      </c>
      <c r="I28" s="1195">
        <v>6455.85</v>
      </c>
      <c r="J28" s="1256">
        <f t="shared" si="4"/>
        <v>2.2188820099615307E-2</v>
      </c>
      <c r="K28" s="1195">
        <f t="shared" si="4"/>
        <v>10432.783812077323</v>
      </c>
    </row>
    <row r="29" spans="1:11">
      <c r="A29" s="1263" t="s">
        <v>780</v>
      </c>
      <c r="B29" s="1578">
        <v>8</v>
      </c>
      <c r="C29" s="1193">
        <v>40.218081167800854</v>
      </c>
      <c r="D29" s="1256">
        <v>8.5382435386622477E-2</v>
      </c>
      <c r="E29" s="1254">
        <v>453776</v>
      </c>
      <c r="F29" s="1256">
        <f t="shared" si="2"/>
        <v>5.7455479420826905E-2</v>
      </c>
      <c r="G29" s="1195">
        <f t="shared" si="3"/>
        <v>26071.917629665149</v>
      </c>
      <c r="H29" s="1013">
        <v>44896</v>
      </c>
      <c r="I29" s="1195">
        <v>6474.09</v>
      </c>
      <c r="J29" s="1256">
        <f t="shared" si="4"/>
        <v>3.5751117379899867E-2</v>
      </c>
      <c r="K29" s="1195">
        <f t="shared" si="4"/>
        <v>16222.999040181443</v>
      </c>
    </row>
    <row r="30" spans="1:11">
      <c r="A30" s="1265" t="s">
        <v>939</v>
      </c>
      <c r="B30" s="1556"/>
      <c r="C30" s="1193">
        <v>45.3</v>
      </c>
      <c r="D30" s="1256">
        <v>8.8999999999999996E-2</v>
      </c>
      <c r="E30" s="1254">
        <v>463211</v>
      </c>
      <c r="F30" s="1256">
        <f t="shared" si="2"/>
        <v>6.1073044034204424E-2</v>
      </c>
      <c r="G30" s="1195">
        <f t="shared" si="3"/>
        <v>28289.705800127864</v>
      </c>
      <c r="H30" s="1013">
        <v>45078</v>
      </c>
      <c r="I30" s="1195">
        <v>6659.95</v>
      </c>
      <c r="J30" s="1256">
        <f t="shared" si="4"/>
        <v>3.694158267091352E-2</v>
      </c>
      <c r="K30" s="1195">
        <f t="shared" si="4"/>
        <v>17111.74745057652</v>
      </c>
    </row>
    <row r="31" spans="1:11">
      <c r="A31" s="1265" t="s">
        <v>783</v>
      </c>
      <c r="B31" s="1191" t="s">
        <v>787</v>
      </c>
      <c r="C31" s="1015"/>
      <c r="D31" s="1015"/>
      <c r="E31" s="1015"/>
      <c r="F31" s="1267">
        <f>AVERAGE(F25:F30)</f>
        <v>3.7444344752073727E-2</v>
      </c>
      <c r="G31" s="1246">
        <f>SUM(G25:G30)</f>
        <v>103752.01330479102</v>
      </c>
      <c r="H31" s="1015"/>
      <c r="I31" s="1015"/>
      <c r="J31" s="1267">
        <f>AVERAGE(J25:J30)</f>
        <v>2.3832747881558158E-2</v>
      </c>
      <c r="K31" s="1246">
        <f>SUM(K25:K30)</f>
        <v>66064.576767154183</v>
      </c>
    </row>
    <row r="32" spans="1:11">
      <c r="A32" s="47"/>
    </row>
    <row r="34" spans="1:28">
      <c r="A34" s="1573" t="s">
        <v>737</v>
      </c>
      <c r="B34" s="1247" t="s">
        <v>365</v>
      </c>
      <c r="C34" s="1247" t="s">
        <v>366</v>
      </c>
      <c r="D34" s="1247" t="s">
        <v>367</v>
      </c>
      <c r="E34" s="1247" t="s">
        <v>368</v>
      </c>
      <c r="F34" s="1247" t="s">
        <v>369</v>
      </c>
      <c r="G34" s="1247" t="s">
        <v>370</v>
      </c>
      <c r="H34" s="1247" t="s">
        <v>371</v>
      </c>
      <c r="I34" s="1247" t="s">
        <v>372</v>
      </c>
      <c r="J34" s="1247" t="s">
        <v>373</v>
      </c>
      <c r="K34" s="1247" t="s">
        <v>374</v>
      </c>
      <c r="L34" s="1247" t="s">
        <v>375</v>
      </c>
      <c r="M34" s="1247" t="s">
        <v>376</v>
      </c>
      <c r="N34" s="1247" t="s">
        <v>377</v>
      </c>
      <c r="O34" s="1247" t="s">
        <v>378</v>
      </c>
      <c r="P34" s="1247" t="s">
        <v>379</v>
      </c>
      <c r="Q34" s="1247" t="s">
        <v>380</v>
      </c>
      <c r="R34" s="1247" t="s">
        <v>381</v>
      </c>
      <c r="S34" s="1247" t="s">
        <v>382</v>
      </c>
      <c r="T34" s="1247" t="s">
        <v>383</v>
      </c>
      <c r="U34" s="1247" t="s">
        <v>384</v>
      </c>
      <c r="V34" s="1247" t="s">
        <v>385</v>
      </c>
      <c r="W34" s="1247" t="s">
        <v>386</v>
      </c>
      <c r="X34" s="1247" t="s">
        <v>387</v>
      </c>
      <c r="Y34" s="1247" t="s">
        <v>388</v>
      </c>
      <c r="Z34" s="1247" t="s">
        <v>389</v>
      </c>
      <c r="AA34" s="1247" t="s">
        <v>390</v>
      </c>
      <c r="AB34" s="1575" t="s">
        <v>121</v>
      </c>
    </row>
    <row r="35" spans="1:28">
      <c r="A35" s="1574"/>
      <c r="B35" s="1255">
        <v>2020</v>
      </c>
      <c r="C35" s="1255">
        <v>2021</v>
      </c>
      <c r="D35" s="1255">
        <v>2022</v>
      </c>
      <c r="E35" s="1255">
        <v>2023</v>
      </c>
      <c r="F35" s="1255">
        <v>2024</v>
      </c>
      <c r="G35" s="1255">
        <v>2025</v>
      </c>
      <c r="H35" s="1255">
        <v>2026</v>
      </c>
      <c r="I35" s="1255">
        <v>2027</v>
      </c>
      <c r="J35" s="1255">
        <v>2028</v>
      </c>
      <c r="K35" s="1255">
        <v>2029</v>
      </c>
      <c r="L35" s="1255">
        <v>2030</v>
      </c>
      <c r="M35" s="1255">
        <v>2031</v>
      </c>
      <c r="N35" s="1255">
        <v>2032</v>
      </c>
      <c r="O35" s="1255">
        <v>2033</v>
      </c>
      <c r="P35" s="1255">
        <v>2034</v>
      </c>
      <c r="Q35" s="1255">
        <v>2035</v>
      </c>
      <c r="R35" s="1255">
        <v>2036</v>
      </c>
      <c r="S35" s="1255">
        <v>2037</v>
      </c>
      <c r="T35" s="1255">
        <v>2038</v>
      </c>
      <c r="U35" s="1255">
        <v>2039</v>
      </c>
      <c r="V35" s="1255">
        <v>2040</v>
      </c>
      <c r="W35" s="1255">
        <v>2041</v>
      </c>
      <c r="X35" s="1255">
        <v>2042</v>
      </c>
      <c r="Y35" s="1255">
        <v>2043</v>
      </c>
      <c r="Z35" s="1255">
        <v>2044</v>
      </c>
      <c r="AA35" s="1255">
        <v>2045</v>
      </c>
      <c r="AB35" s="1575"/>
    </row>
    <row r="36" spans="1:28">
      <c r="A36" s="1266" t="s">
        <v>788</v>
      </c>
      <c r="B36" s="1254">
        <f t="array" ref="B36:AA36">TRANSPOSE('3 Vol'!C8:C33)</f>
        <v>885987.85212970909</v>
      </c>
      <c r="C36" s="1254">
        <v>876582.27187373373</v>
      </c>
      <c r="D36" s="1254">
        <v>854189.05653049541</v>
      </c>
      <c r="E36" s="1254">
        <v>844080.75722139317</v>
      </c>
      <c r="F36" s="1254">
        <v>845361.64533269766</v>
      </c>
      <c r="G36" s="1254">
        <v>846704.80118838232</v>
      </c>
      <c r="H36" s="1254">
        <v>848026.88646580593</v>
      </c>
      <c r="I36" s="1254">
        <v>849245.50683272991</v>
      </c>
      <c r="J36" s="1254">
        <v>850464.12719965365</v>
      </c>
      <c r="K36" s="1254">
        <v>851682.74756657786</v>
      </c>
      <c r="L36" s="1254">
        <v>852901.36793350184</v>
      </c>
      <c r="M36" s="1254">
        <v>853873.7492941157</v>
      </c>
      <c r="N36" s="1254">
        <v>854865.31325218326</v>
      </c>
      <c r="O36" s="1254">
        <v>855856.87721025094</v>
      </c>
      <c r="P36" s="1254">
        <v>856848.44116831839</v>
      </c>
      <c r="Q36" s="1254">
        <v>857840.00512638595</v>
      </c>
      <c r="R36" s="1254">
        <v>859059.56948371383</v>
      </c>
      <c r="S36" s="1254">
        <v>859906.47136516299</v>
      </c>
      <c r="T36" s="1254">
        <v>860753.37324661214</v>
      </c>
      <c r="U36" s="1254">
        <v>861600.27512806142</v>
      </c>
      <c r="V36" s="1254">
        <v>862447.17700951046</v>
      </c>
      <c r="W36" s="1254">
        <v>863666.74136683822</v>
      </c>
      <c r="X36" s="1254">
        <v>864554.84041440662</v>
      </c>
      <c r="Y36" s="1254">
        <v>865464.01004023605</v>
      </c>
      <c r="Z36" s="1254">
        <v>866414.37683218473</v>
      </c>
      <c r="AA36" s="1254">
        <v>866930.75739427784</v>
      </c>
      <c r="AB36" s="1252"/>
    </row>
    <row r="37" spans="1:28">
      <c r="A37" s="1199" t="s">
        <v>764</v>
      </c>
      <c r="C37" s="1246">
        <f>SUM(E10:E14)</f>
        <v>19707.057260463262</v>
      </c>
      <c r="D37" s="1015"/>
      <c r="E37" s="1015"/>
      <c r="F37" s="1015"/>
      <c r="G37" s="1015"/>
      <c r="H37" s="1015"/>
      <c r="I37" s="1015"/>
      <c r="J37" s="1015"/>
      <c r="K37" s="1015"/>
      <c r="L37" s="1015"/>
      <c r="M37" s="1015"/>
      <c r="N37" s="1015"/>
      <c r="O37" s="1015"/>
      <c r="P37" s="1015"/>
      <c r="Q37" s="1015"/>
      <c r="R37" s="1015"/>
      <c r="S37" s="1015"/>
      <c r="T37" s="1015"/>
      <c r="U37" s="1015"/>
      <c r="V37" s="1015"/>
      <c r="W37" s="1015"/>
      <c r="X37" s="1015"/>
      <c r="Y37" s="1015"/>
      <c r="Z37" s="1015"/>
      <c r="AA37" s="1015"/>
      <c r="AB37" s="1246">
        <f>SUM(B37:AA37)</f>
        <v>19707.057260463262</v>
      </c>
    </row>
    <row r="38" spans="1:28">
      <c r="A38" s="1199" t="s">
        <v>753</v>
      </c>
      <c r="B38" s="1246">
        <v>0</v>
      </c>
      <c r="C38" s="1246">
        <f>SUM(K25:K26)</f>
        <v>10330.357632353613</v>
      </c>
      <c r="D38" s="1246">
        <f>SUM(K27:K28)</f>
        <v>22399.472644042617</v>
      </c>
      <c r="E38" s="1246">
        <f>SUM(K29:K30)</f>
        <v>33334.746490757963</v>
      </c>
      <c r="F38" s="1246">
        <f>ROUND($J$31*F36,2)</f>
        <v>20147.29</v>
      </c>
      <c r="G38" s="1246">
        <f t="shared" ref="G38:AA38" si="5">ROUND($J$31*G36,2)</f>
        <v>20179.3</v>
      </c>
      <c r="H38" s="1246">
        <f t="shared" si="5"/>
        <v>20210.810000000001</v>
      </c>
      <c r="I38" s="1246">
        <f t="shared" si="5"/>
        <v>20239.849999999999</v>
      </c>
      <c r="J38" s="1246">
        <f t="shared" si="5"/>
        <v>20268.900000000001</v>
      </c>
      <c r="K38" s="1246">
        <f t="shared" si="5"/>
        <v>20297.939999999999</v>
      </c>
      <c r="L38" s="1246">
        <f t="shared" si="5"/>
        <v>20326.98</v>
      </c>
      <c r="M38" s="1246">
        <f t="shared" si="5"/>
        <v>20350.16</v>
      </c>
      <c r="N38" s="1246">
        <f t="shared" si="5"/>
        <v>20373.79</v>
      </c>
      <c r="O38" s="1246">
        <f t="shared" si="5"/>
        <v>20397.419999999998</v>
      </c>
      <c r="P38" s="1246">
        <f t="shared" si="5"/>
        <v>20421.05</v>
      </c>
      <c r="Q38" s="1246">
        <f t="shared" si="5"/>
        <v>20444.68</v>
      </c>
      <c r="R38" s="1246">
        <f t="shared" si="5"/>
        <v>20473.75</v>
      </c>
      <c r="S38" s="1246">
        <f t="shared" si="5"/>
        <v>20493.93</v>
      </c>
      <c r="T38" s="1246">
        <f t="shared" si="5"/>
        <v>20514.12</v>
      </c>
      <c r="U38" s="1246">
        <f t="shared" si="5"/>
        <v>20534.3</v>
      </c>
      <c r="V38" s="1246">
        <f t="shared" si="5"/>
        <v>20554.490000000002</v>
      </c>
      <c r="W38" s="1246">
        <f t="shared" si="5"/>
        <v>20583.55</v>
      </c>
      <c r="X38" s="1246">
        <f t="shared" si="5"/>
        <v>20604.72</v>
      </c>
      <c r="Y38" s="1246">
        <f t="shared" si="5"/>
        <v>20626.39</v>
      </c>
      <c r="Z38" s="1246">
        <f t="shared" si="5"/>
        <v>20649.04</v>
      </c>
      <c r="AA38" s="1246">
        <f t="shared" si="5"/>
        <v>20661.34</v>
      </c>
      <c r="AB38" s="1246">
        <f>SUM(B38:AA38)</f>
        <v>515418.3767671542</v>
      </c>
    </row>
    <row r="40" spans="1:28">
      <c r="A40" s="1573" t="s">
        <v>737</v>
      </c>
      <c r="B40" s="1247" t="str">
        <f>L34</f>
        <v>Ano 15</v>
      </c>
      <c r="C40" s="1247" t="str">
        <f t="shared" ref="C40:K44" si="6">M34</f>
        <v>Ano 16</v>
      </c>
      <c r="D40" s="1247" t="str">
        <f t="shared" si="6"/>
        <v>Ano 17</v>
      </c>
      <c r="E40" s="1247" t="str">
        <f t="shared" si="6"/>
        <v>Ano 18</v>
      </c>
      <c r="F40" s="1247" t="str">
        <f t="shared" si="6"/>
        <v>Ano 19</v>
      </c>
      <c r="G40" s="1247" t="str">
        <f t="shared" si="6"/>
        <v>Ano 20</v>
      </c>
      <c r="H40" s="1247" t="str">
        <f t="shared" si="6"/>
        <v>Ano 21</v>
      </c>
      <c r="I40" s="1247" t="str">
        <f t="shared" si="6"/>
        <v>Ano 22</v>
      </c>
      <c r="J40" s="1247" t="str">
        <f t="shared" si="6"/>
        <v>Ano 23</v>
      </c>
      <c r="K40" s="1247" t="str">
        <f t="shared" si="6"/>
        <v>Ano 24</v>
      </c>
    </row>
    <row r="41" spans="1:28">
      <c r="A41" s="1574"/>
      <c r="B41" s="1255">
        <f t="shared" ref="B41:B44" si="7">L35</f>
        <v>2030</v>
      </c>
      <c r="C41" s="1255">
        <f t="shared" si="6"/>
        <v>2031</v>
      </c>
      <c r="D41" s="1255">
        <f t="shared" si="6"/>
        <v>2032</v>
      </c>
      <c r="E41" s="1255">
        <f t="shared" si="6"/>
        <v>2033</v>
      </c>
      <c r="F41" s="1255">
        <f t="shared" si="6"/>
        <v>2034</v>
      </c>
      <c r="G41" s="1255">
        <f t="shared" si="6"/>
        <v>2035</v>
      </c>
      <c r="H41" s="1255">
        <f t="shared" si="6"/>
        <v>2036</v>
      </c>
      <c r="I41" s="1255">
        <f t="shared" si="6"/>
        <v>2037</v>
      </c>
      <c r="J41" s="1255">
        <f t="shared" si="6"/>
        <v>2038</v>
      </c>
      <c r="K41" s="1255">
        <f t="shared" si="6"/>
        <v>2039</v>
      </c>
    </row>
    <row r="42" spans="1:28">
      <c r="A42" s="1266" t="s">
        <v>788</v>
      </c>
      <c r="B42" s="1254">
        <f t="shared" si="7"/>
        <v>852901.36793350184</v>
      </c>
      <c r="C42" s="1254">
        <f t="shared" si="6"/>
        <v>853873.7492941157</v>
      </c>
      <c r="D42" s="1254">
        <f t="shared" si="6"/>
        <v>854865.31325218326</v>
      </c>
      <c r="E42" s="1254">
        <f t="shared" si="6"/>
        <v>855856.87721025094</v>
      </c>
      <c r="F42" s="1254">
        <f t="shared" si="6"/>
        <v>856848.44116831839</v>
      </c>
      <c r="G42" s="1254">
        <f t="shared" si="6"/>
        <v>857840.00512638595</v>
      </c>
      <c r="H42" s="1254">
        <f t="shared" si="6"/>
        <v>859059.56948371383</v>
      </c>
      <c r="I42" s="1254">
        <f t="shared" si="6"/>
        <v>859906.47136516299</v>
      </c>
      <c r="J42" s="1254">
        <f t="shared" si="6"/>
        <v>860753.37324661214</v>
      </c>
      <c r="K42" s="1254">
        <f t="shared" si="6"/>
        <v>861600.27512806142</v>
      </c>
    </row>
    <row r="43" spans="1:28">
      <c r="A43" s="1199" t="s">
        <v>764</v>
      </c>
      <c r="B43">
        <f t="shared" si="7"/>
        <v>0</v>
      </c>
      <c r="C43" s="1246">
        <f t="shared" si="6"/>
        <v>0</v>
      </c>
      <c r="D43" s="1015">
        <f t="shared" si="6"/>
        <v>0</v>
      </c>
      <c r="E43" s="1015">
        <f t="shared" si="6"/>
        <v>0</v>
      </c>
      <c r="F43" s="1015">
        <f t="shared" si="6"/>
        <v>0</v>
      </c>
      <c r="G43" s="1015">
        <f t="shared" si="6"/>
        <v>0</v>
      </c>
      <c r="H43" s="1015">
        <f t="shared" si="6"/>
        <v>0</v>
      </c>
      <c r="I43" s="1015">
        <f t="shared" si="6"/>
        <v>0</v>
      </c>
      <c r="J43" s="1015">
        <f t="shared" si="6"/>
        <v>0</v>
      </c>
      <c r="K43" s="1015">
        <f t="shared" si="6"/>
        <v>0</v>
      </c>
    </row>
    <row r="44" spans="1:28">
      <c r="A44" s="1199" t="s">
        <v>753</v>
      </c>
      <c r="B44" s="1246">
        <f t="shared" si="7"/>
        <v>20326.98</v>
      </c>
      <c r="C44" s="1246">
        <f t="shared" si="6"/>
        <v>20350.16</v>
      </c>
      <c r="D44" s="1246">
        <f t="shared" si="6"/>
        <v>20373.79</v>
      </c>
      <c r="E44" s="1246">
        <f t="shared" si="6"/>
        <v>20397.419999999998</v>
      </c>
      <c r="F44" s="1246">
        <f t="shared" si="6"/>
        <v>20421.05</v>
      </c>
      <c r="G44" s="1246">
        <f t="shared" si="6"/>
        <v>20444.68</v>
      </c>
      <c r="H44" s="1246">
        <f t="shared" si="6"/>
        <v>20473.75</v>
      </c>
      <c r="I44" s="1246">
        <f t="shared" si="6"/>
        <v>20493.93</v>
      </c>
      <c r="J44" s="1246">
        <f t="shared" si="6"/>
        <v>20514.12</v>
      </c>
      <c r="K44" s="1246">
        <f t="shared" si="6"/>
        <v>20534.3</v>
      </c>
    </row>
    <row r="46" spans="1:28">
      <c r="A46" s="1573" t="s">
        <v>737</v>
      </c>
      <c r="B46" s="1247" t="str">
        <f>V34</f>
        <v>Ano 25</v>
      </c>
      <c r="C46" s="1247" t="str">
        <f t="shared" ref="C46:G50" si="8">W34</f>
        <v>Ano 26</v>
      </c>
      <c r="D46" s="1247" t="str">
        <f t="shared" si="8"/>
        <v>Ano 27</v>
      </c>
      <c r="E46" s="1247" t="str">
        <f t="shared" si="8"/>
        <v>Ano 28</v>
      </c>
      <c r="F46" s="1247" t="str">
        <f t="shared" si="8"/>
        <v>Ano 29</v>
      </c>
      <c r="G46" s="1247" t="str">
        <f>AA34</f>
        <v>Ano 30</v>
      </c>
    </row>
    <row r="47" spans="1:28">
      <c r="A47" s="1574"/>
      <c r="B47" s="1255">
        <f t="shared" ref="B47:B50" si="9">V35</f>
        <v>2040</v>
      </c>
      <c r="C47" s="1255">
        <f t="shared" si="8"/>
        <v>2041</v>
      </c>
      <c r="D47" s="1255">
        <f t="shared" si="8"/>
        <v>2042</v>
      </c>
      <c r="E47" s="1255">
        <f t="shared" si="8"/>
        <v>2043</v>
      </c>
      <c r="F47" s="1255">
        <f t="shared" si="8"/>
        <v>2044</v>
      </c>
      <c r="G47" s="1255">
        <f t="shared" si="8"/>
        <v>2045</v>
      </c>
    </row>
    <row r="48" spans="1:28">
      <c r="A48" s="1266" t="s">
        <v>788</v>
      </c>
      <c r="B48" s="1254">
        <f t="shared" si="9"/>
        <v>862447.17700951046</v>
      </c>
      <c r="C48" s="1254">
        <f t="shared" si="8"/>
        <v>863666.74136683822</v>
      </c>
      <c r="D48" s="1254">
        <f t="shared" si="8"/>
        <v>864554.84041440662</v>
      </c>
      <c r="E48" s="1254">
        <f t="shared" si="8"/>
        <v>865464.01004023605</v>
      </c>
      <c r="F48" s="1254">
        <f t="shared" si="8"/>
        <v>866414.37683218473</v>
      </c>
      <c r="G48" s="1254">
        <f t="shared" si="8"/>
        <v>866930.75739427784</v>
      </c>
    </row>
    <row r="49" spans="1:7">
      <c r="A49" s="1199" t="s">
        <v>764</v>
      </c>
      <c r="B49">
        <f t="shared" si="9"/>
        <v>0</v>
      </c>
      <c r="C49" s="1246">
        <f t="shared" si="8"/>
        <v>0</v>
      </c>
      <c r="D49" s="1015">
        <f t="shared" si="8"/>
        <v>0</v>
      </c>
      <c r="E49" s="1015">
        <f t="shared" si="8"/>
        <v>0</v>
      </c>
      <c r="F49" s="1015">
        <f t="shared" si="8"/>
        <v>0</v>
      </c>
      <c r="G49" s="1015">
        <f t="shared" si="8"/>
        <v>0</v>
      </c>
    </row>
    <row r="50" spans="1:7">
      <c r="A50" s="1199" t="s">
        <v>753</v>
      </c>
      <c r="B50" s="1246">
        <f t="shared" si="9"/>
        <v>20554.490000000002</v>
      </c>
      <c r="C50" s="1246">
        <f t="shared" si="8"/>
        <v>20583.55</v>
      </c>
      <c r="D50" s="1246">
        <f t="shared" si="8"/>
        <v>20604.72</v>
      </c>
      <c r="E50" s="1246">
        <f t="shared" si="8"/>
        <v>20626.39</v>
      </c>
      <c r="F50" s="1246">
        <f t="shared" si="8"/>
        <v>20649.04</v>
      </c>
      <c r="G50" s="1246">
        <f t="shared" si="8"/>
        <v>20661.34</v>
      </c>
    </row>
  </sheetData>
  <mergeCells count="9">
    <mergeCell ref="A40:A41"/>
    <mergeCell ref="A46:A47"/>
    <mergeCell ref="AB34:AB35"/>
    <mergeCell ref="H21:I21"/>
    <mergeCell ref="B22:B23"/>
    <mergeCell ref="B25:B26"/>
    <mergeCell ref="B27:B28"/>
    <mergeCell ref="B29:B30"/>
    <mergeCell ref="A34:A35"/>
  </mergeCells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7F642-1966-4599-BD3F-5D7BF5935F60}">
  <sheetPr>
    <tabColor theme="6"/>
    <pageSetUpPr fitToPage="1"/>
  </sheetPr>
  <dimension ref="A1:AL371"/>
  <sheetViews>
    <sheetView workbookViewId="0">
      <selection activeCell="H7" sqref="H7"/>
    </sheetView>
  </sheetViews>
  <sheetFormatPr defaultRowHeight="12.75"/>
  <cols>
    <col min="1" max="1" width="14" style="13" bestFit="1" customWidth="1"/>
    <col min="2" max="2" width="14.85546875" style="13" customWidth="1"/>
    <col min="3" max="3" width="8.85546875" style="13"/>
    <col min="4" max="4" width="10.42578125" style="13" customWidth="1"/>
    <col min="5" max="5" width="9.140625" style="13" customWidth="1"/>
    <col min="6" max="33" width="8.85546875" style="13"/>
    <col min="34" max="34" width="11" style="13" customWidth="1"/>
    <col min="35" max="256" width="8.85546875" style="13"/>
    <col min="257" max="257" width="14" style="13" bestFit="1" customWidth="1"/>
    <col min="258" max="258" width="14.85546875" style="13" customWidth="1"/>
    <col min="259" max="260" width="8.85546875" style="13"/>
    <col min="261" max="261" width="9.140625" style="13" customWidth="1"/>
    <col min="262" max="289" width="8.85546875" style="13"/>
    <col min="290" max="290" width="11" style="13" customWidth="1"/>
    <col min="291" max="512" width="8.85546875" style="13"/>
    <col min="513" max="513" width="14" style="13" bestFit="1" customWidth="1"/>
    <col min="514" max="514" width="14.85546875" style="13" customWidth="1"/>
    <col min="515" max="516" width="8.85546875" style="13"/>
    <col min="517" max="517" width="9.140625" style="13" customWidth="1"/>
    <col min="518" max="545" width="8.85546875" style="13"/>
    <col min="546" max="546" width="11" style="13" customWidth="1"/>
    <col min="547" max="768" width="8.85546875" style="13"/>
    <col min="769" max="769" width="14" style="13" bestFit="1" customWidth="1"/>
    <col min="770" max="770" width="14.85546875" style="13" customWidth="1"/>
    <col min="771" max="772" width="8.85546875" style="13"/>
    <col min="773" max="773" width="9.140625" style="13" customWidth="1"/>
    <col min="774" max="801" width="8.85546875" style="13"/>
    <col min="802" max="802" width="11" style="13" customWidth="1"/>
    <col min="803" max="1024" width="8.85546875" style="13"/>
    <col min="1025" max="1025" width="14" style="13" bestFit="1" customWidth="1"/>
    <col min="1026" max="1026" width="14.85546875" style="13" customWidth="1"/>
    <col min="1027" max="1028" width="8.85546875" style="13"/>
    <col min="1029" max="1029" width="9.140625" style="13" customWidth="1"/>
    <col min="1030" max="1057" width="8.85546875" style="13"/>
    <col min="1058" max="1058" width="11" style="13" customWidth="1"/>
    <col min="1059" max="1280" width="8.85546875" style="13"/>
    <col min="1281" max="1281" width="14" style="13" bestFit="1" customWidth="1"/>
    <col min="1282" max="1282" width="14.85546875" style="13" customWidth="1"/>
    <col min="1283" max="1284" width="8.85546875" style="13"/>
    <col min="1285" max="1285" width="9.140625" style="13" customWidth="1"/>
    <col min="1286" max="1313" width="8.85546875" style="13"/>
    <col min="1314" max="1314" width="11" style="13" customWidth="1"/>
    <col min="1315" max="1536" width="8.85546875" style="13"/>
    <col min="1537" max="1537" width="14" style="13" bestFit="1" customWidth="1"/>
    <col min="1538" max="1538" width="14.85546875" style="13" customWidth="1"/>
    <col min="1539" max="1540" width="8.85546875" style="13"/>
    <col min="1541" max="1541" width="9.140625" style="13" customWidth="1"/>
    <col min="1542" max="1569" width="8.85546875" style="13"/>
    <col min="1570" max="1570" width="11" style="13" customWidth="1"/>
    <col min="1571" max="1792" width="8.85546875" style="13"/>
    <col min="1793" max="1793" width="14" style="13" bestFit="1" customWidth="1"/>
    <col min="1794" max="1794" width="14.85546875" style="13" customWidth="1"/>
    <col min="1795" max="1796" width="8.85546875" style="13"/>
    <col min="1797" max="1797" width="9.140625" style="13" customWidth="1"/>
    <col min="1798" max="1825" width="8.85546875" style="13"/>
    <col min="1826" max="1826" width="11" style="13" customWidth="1"/>
    <col min="1827" max="2048" width="8.85546875" style="13"/>
    <col min="2049" max="2049" width="14" style="13" bestFit="1" customWidth="1"/>
    <col min="2050" max="2050" width="14.85546875" style="13" customWidth="1"/>
    <col min="2051" max="2052" width="8.85546875" style="13"/>
    <col min="2053" max="2053" width="9.140625" style="13" customWidth="1"/>
    <col min="2054" max="2081" width="8.85546875" style="13"/>
    <col min="2082" max="2082" width="11" style="13" customWidth="1"/>
    <col min="2083" max="2304" width="8.85546875" style="13"/>
    <col min="2305" max="2305" width="14" style="13" bestFit="1" customWidth="1"/>
    <col min="2306" max="2306" width="14.85546875" style="13" customWidth="1"/>
    <col min="2307" max="2308" width="8.85546875" style="13"/>
    <col min="2309" max="2309" width="9.140625" style="13" customWidth="1"/>
    <col min="2310" max="2337" width="8.85546875" style="13"/>
    <col min="2338" max="2338" width="11" style="13" customWidth="1"/>
    <col min="2339" max="2560" width="8.85546875" style="13"/>
    <col min="2561" max="2561" width="14" style="13" bestFit="1" customWidth="1"/>
    <col min="2562" max="2562" width="14.85546875" style="13" customWidth="1"/>
    <col min="2563" max="2564" width="8.85546875" style="13"/>
    <col min="2565" max="2565" width="9.140625" style="13" customWidth="1"/>
    <col min="2566" max="2593" width="8.85546875" style="13"/>
    <col min="2594" max="2594" width="11" style="13" customWidth="1"/>
    <col min="2595" max="2816" width="8.85546875" style="13"/>
    <col min="2817" max="2817" width="14" style="13" bestFit="1" customWidth="1"/>
    <col min="2818" max="2818" width="14.85546875" style="13" customWidth="1"/>
    <col min="2819" max="2820" width="8.85546875" style="13"/>
    <col min="2821" max="2821" width="9.140625" style="13" customWidth="1"/>
    <col min="2822" max="2849" width="8.85546875" style="13"/>
    <col min="2850" max="2850" width="11" style="13" customWidth="1"/>
    <col min="2851" max="3072" width="8.85546875" style="13"/>
    <col min="3073" max="3073" width="14" style="13" bestFit="1" customWidth="1"/>
    <col min="3074" max="3074" width="14.85546875" style="13" customWidth="1"/>
    <col min="3075" max="3076" width="8.85546875" style="13"/>
    <col min="3077" max="3077" width="9.140625" style="13" customWidth="1"/>
    <col min="3078" max="3105" width="8.85546875" style="13"/>
    <col min="3106" max="3106" width="11" style="13" customWidth="1"/>
    <col min="3107" max="3328" width="8.85546875" style="13"/>
    <col min="3329" max="3329" width="14" style="13" bestFit="1" customWidth="1"/>
    <col min="3330" max="3330" width="14.85546875" style="13" customWidth="1"/>
    <col min="3331" max="3332" width="8.85546875" style="13"/>
    <col min="3333" max="3333" width="9.140625" style="13" customWidth="1"/>
    <col min="3334" max="3361" width="8.85546875" style="13"/>
    <col min="3362" max="3362" width="11" style="13" customWidth="1"/>
    <col min="3363" max="3584" width="8.85546875" style="13"/>
    <col min="3585" max="3585" width="14" style="13" bestFit="1" customWidth="1"/>
    <col min="3586" max="3586" width="14.85546875" style="13" customWidth="1"/>
    <col min="3587" max="3588" width="8.85546875" style="13"/>
    <col min="3589" max="3589" width="9.140625" style="13" customWidth="1"/>
    <col min="3590" max="3617" width="8.85546875" style="13"/>
    <col min="3618" max="3618" width="11" style="13" customWidth="1"/>
    <col min="3619" max="3840" width="8.85546875" style="13"/>
    <col min="3841" max="3841" width="14" style="13" bestFit="1" customWidth="1"/>
    <col min="3842" max="3842" width="14.85546875" style="13" customWidth="1"/>
    <col min="3843" max="3844" width="8.85546875" style="13"/>
    <col min="3845" max="3845" width="9.140625" style="13" customWidth="1"/>
    <col min="3846" max="3873" width="8.85546875" style="13"/>
    <col min="3874" max="3874" width="11" style="13" customWidth="1"/>
    <col min="3875" max="4096" width="8.85546875" style="13"/>
    <col min="4097" max="4097" width="14" style="13" bestFit="1" customWidth="1"/>
    <col min="4098" max="4098" width="14.85546875" style="13" customWidth="1"/>
    <col min="4099" max="4100" width="8.85546875" style="13"/>
    <col min="4101" max="4101" width="9.140625" style="13" customWidth="1"/>
    <col min="4102" max="4129" width="8.85546875" style="13"/>
    <col min="4130" max="4130" width="11" style="13" customWidth="1"/>
    <col min="4131" max="4352" width="8.85546875" style="13"/>
    <col min="4353" max="4353" width="14" style="13" bestFit="1" customWidth="1"/>
    <col min="4354" max="4354" width="14.85546875" style="13" customWidth="1"/>
    <col min="4355" max="4356" width="8.85546875" style="13"/>
    <col min="4357" max="4357" width="9.140625" style="13" customWidth="1"/>
    <col min="4358" max="4385" width="8.85546875" style="13"/>
    <col min="4386" max="4386" width="11" style="13" customWidth="1"/>
    <col min="4387" max="4608" width="8.85546875" style="13"/>
    <col min="4609" max="4609" width="14" style="13" bestFit="1" customWidth="1"/>
    <col min="4610" max="4610" width="14.85546875" style="13" customWidth="1"/>
    <col min="4611" max="4612" width="8.85546875" style="13"/>
    <col min="4613" max="4613" width="9.140625" style="13" customWidth="1"/>
    <col min="4614" max="4641" width="8.85546875" style="13"/>
    <col min="4642" max="4642" width="11" style="13" customWidth="1"/>
    <col min="4643" max="4864" width="8.85546875" style="13"/>
    <col min="4865" max="4865" width="14" style="13" bestFit="1" customWidth="1"/>
    <col min="4866" max="4866" width="14.85546875" style="13" customWidth="1"/>
    <col min="4867" max="4868" width="8.85546875" style="13"/>
    <col min="4869" max="4869" width="9.140625" style="13" customWidth="1"/>
    <col min="4870" max="4897" width="8.85546875" style="13"/>
    <col min="4898" max="4898" width="11" style="13" customWidth="1"/>
    <col min="4899" max="5120" width="8.85546875" style="13"/>
    <col min="5121" max="5121" width="14" style="13" bestFit="1" customWidth="1"/>
    <col min="5122" max="5122" width="14.85546875" style="13" customWidth="1"/>
    <col min="5123" max="5124" width="8.85546875" style="13"/>
    <col min="5125" max="5125" width="9.140625" style="13" customWidth="1"/>
    <col min="5126" max="5153" width="8.85546875" style="13"/>
    <col min="5154" max="5154" width="11" style="13" customWidth="1"/>
    <col min="5155" max="5376" width="8.85546875" style="13"/>
    <col min="5377" max="5377" width="14" style="13" bestFit="1" customWidth="1"/>
    <col min="5378" max="5378" width="14.85546875" style="13" customWidth="1"/>
    <col min="5379" max="5380" width="8.85546875" style="13"/>
    <col min="5381" max="5381" width="9.140625" style="13" customWidth="1"/>
    <col min="5382" max="5409" width="8.85546875" style="13"/>
    <col min="5410" max="5410" width="11" style="13" customWidth="1"/>
    <col min="5411" max="5632" width="8.85546875" style="13"/>
    <col min="5633" max="5633" width="14" style="13" bestFit="1" customWidth="1"/>
    <col min="5634" max="5634" width="14.85546875" style="13" customWidth="1"/>
    <col min="5635" max="5636" width="8.85546875" style="13"/>
    <col min="5637" max="5637" width="9.140625" style="13" customWidth="1"/>
    <col min="5638" max="5665" width="8.85546875" style="13"/>
    <col min="5666" max="5666" width="11" style="13" customWidth="1"/>
    <col min="5667" max="5888" width="8.85546875" style="13"/>
    <col min="5889" max="5889" width="14" style="13" bestFit="1" customWidth="1"/>
    <col min="5890" max="5890" width="14.85546875" style="13" customWidth="1"/>
    <col min="5891" max="5892" width="8.85546875" style="13"/>
    <col min="5893" max="5893" width="9.140625" style="13" customWidth="1"/>
    <col min="5894" max="5921" width="8.85546875" style="13"/>
    <col min="5922" max="5922" width="11" style="13" customWidth="1"/>
    <col min="5923" max="6144" width="8.85546875" style="13"/>
    <col min="6145" max="6145" width="14" style="13" bestFit="1" customWidth="1"/>
    <col min="6146" max="6146" width="14.85546875" style="13" customWidth="1"/>
    <col min="6147" max="6148" width="8.85546875" style="13"/>
    <col min="6149" max="6149" width="9.140625" style="13" customWidth="1"/>
    <col min="6150" max="6177" width="8.85546875" style="13"/>
    <col min="6178" max="6178" width="11" style="13" customWidth="1"/>
    <col min="6179" max="6400" width="8.85546875" style="13"/>
    <col min="6401" max="6401" width="14" style="13" bestFit="1" customWidth="1"/>
    <col min="6402" max="6402" width="14.85546875" style="13" customWidth="1"/>
    <col min="6403" max="6404" width="8.85546875" style="13"/>
    <col min="6405" max="6405" width="9.140625" style="13" customWidth="1"/>
    <col min="6406" max="6433" width="8.85546875" style="13"/>
    <col min="6434" max="6434" width="11" style="13" customWidth="1"/>
    <col min="6435" max="6656" width="8.85546875" style="13"/>
    <col min="6657" max="6657" width="14" style="13" bestFit="1" customWidth="1"/>
    <col min="6658" max="6658" width="14.85546875" style="13" customWidth="1"/>
    <col min="6659" max="6660" width="8.85546875" style="13"/>
    <col min="6661" max="6661" width="9.140625" style="13" customWidth="1"/>
    <col min="6662" max="6689" width="8.85546875" style="13"/>
    <col min="6690" max="6690" width="11" style="13" customWidth="1"/>
    <col min="6691" max="6912" width="8.85546875" style="13"/>
    <col min="6913" max="6913" width="14" style="13" bestFit="1" customWidth="1"/>
    <col min="6914" max="6914" width="14.85546875" style="13" customWidth="1"/>
    <col min="6915" max="6916" width="8.85546875" style="13"/>
    <col min="6917" max="6917" width="9.140625" style="13" customWidth="1"/>
    <col min="6918" max="6945" width="8.85546875" style="13"/>
    <col min="6946" max="6946" width="11" style="13" customWidth="1"/>
    <col min="6947" max="7168" width="8.85546875" style="13"/>
    <col min="7169" max="7169" width="14" style="13" bestFit="1" customWidth="1"/>
    <col min="7170" max="7170" width="14.85546875" style="13" customWidth="1"/>
    <col min="7171" max="7172" width="8.85546875" style="13"/>
    <col min="7173" max="7173" width="9.140625" style="13" customWidth="1"/>
    <col min="7174" max="7201" width="8.85546875" style="13"/>
    <col min="7202" max="7202" width="11" style="13" customWidth="1"/>
    <col min="7203" max="7424" width="8.85546875" style="13"/>
    <col min="7425" max="7425" width="14" style="13" bestFit="1" customWidth="1"/>
    <col min="7426" max="7426" width="14.85546875" style="13" customWidth="1"/>
    <col min="7427" max="7428" width="8.85546875" style="13"/>
    <col min="7429" max="7429" width="9.140625" style="13" customWidth="1"/>
    <col min="7430" max="7457" width="8.85546875" style="13"/>
    <col min="7458" max="7458" width="11" style="13" customWidth="1"/>
    <col min="7459" max="7680" width="8.85546875" style="13"/>
    <col min="7681" max="7681" width="14" style="13" bestFit="1" customWidth="1"/>
    <col min="7682" max="7682" width="14.85546875" style="13" customWidth="1"/>
    <col min="7683" max="7684" width="8.85546875" style="13"/>
    <col min="7685" max="7685" width="9.140625" style="13" customWidth="1"/>
    <col min="7686" max="7713" width="8.85546875" style="13"/>
    <col min="7714" max="7714" width="11" style="13" customWidth="1"/>
    <col min="7715" max="7936" width="8.85546875" style="13"/>
    <col min="7937" max="7937" width="14" style="13" bestFit="1" customWidth="1"/>
    <col min="7938" max="7938" width="14.85546875" style="13" customWidth="1"/>
    <col min="7939" max="7940" width="8.85546875" style="13"/>
    <col min="7941" max="7941" width="9.140625" style="13" customWidth="1"/>
    <col min="7942" max="7969" width="8.85546875" style="13"/>
    <col min="7970" max="7970" width="11" style="13" customWidth="1"/>
    <col min="7971" max="8192" width="8.85546875" style="13"/>
    <col min="8193" max="8193" width="14" style="13" bestFit="1" customWidth="1"/>
    <col min="8194" max="8194" width="14.85546875" style="13" customWidth="1"/>
    <col min="8195" max="8196" width="8.85546875" style="13"/>
    <col min="8197" max="8197" width="9.140625" style="13" customWidth="1"/>
    <col min="8198" max="8225" width="8.85546875" style="13"/>
    <col min="8226" max="8226" width="11" style="13" customWidth="1"/>
    <col min="8227" max="8448" width="8.85546875" style="13"/>
    <col min="8449" max="8449" width="14" style="13" bestFit="1" customWidth="1"/>
    <col min="8450" max="8450" width="14.85546875" style="13" customWidth="1"/>
    <col min="8451" max="8452" width="8.85546875" style="13"/>
    <col min="8453" max="8453" width="9.140625" style="13" customWidth="1"/>
    <col min="8454" max="8481" width="8.85546875" style="13"/>
    <col min="8482" max="8482" width="11" style="13" customWidth="1"/>
    <col min="8483" max="8704" width="8.85546875" style="13"/>
    <col min="8705" max="8705" width="14" style="13" bestFit="1" customWidth="1"/>
    <col min="8706" max="8706" width="14.85546875" style="13" customWidth="1"/>
    <col min="8707" max="8708" width="8.85546875" style="13"/>
    <col min="8709" max="8709" width="9.140625" style="13" customWidth="1"/>
    <col min="8710" max="8737" width="8.85546875" style="13"/>
    <col min="8738" max="8738" width="11" style="13" customWidth="1"/>
    <col min="8739" max="8960" width="8.85546875" style="13"/>
    <col min="8961" max="8961" width="14" style="13" bestFit="1" customWidth="1"/>
    <col min="8962" max="8962" width="14.85546875" style="13" customWidth="1"/>
    <col min="8963" max="8964" width="8.85546875" style="13"/>
    <col min="8965" max="8965" width="9.140625" style="13" customWidth="1"/>
    <col min="8966" max="8993" width="8.85546875" style="13"/>
    <col min="8994" max="8994" width="11" style="13" customWidth="1"/>
    <col min="8995" max="9216" width="8.85546875" style="13"/>
    <col min="9217" max="9217" width="14" style="13" bestFit="1" customWidth="1"/>
    <col min="9218" max="9218" width="14.85546875" style="13" customWidth="1"/>
    <col min="9219" max="9220" width="8.85546875" style="13"/>
    <col min="9221" max="9221" width="9.140625" style="13" customWidth="1"/>
    <col min="9222" max="9249" width="8.85546875" style="13"/>
    <col min="9250" max="9250" width="11" style="13" customWidth="1"/>
    <col min="9251" max="9472" width="8.85546875" style="13"/>
    <col min="9473" max="9473" width="14" style="13" bestFit="1" customWidth="1"/>
    <col min="9474" max="9474" width="14.85546875" style="13" customWidth="1"/>
    <col min="9475" max="9476" width="8.85546875" style="13"/>
    <col min="9477" max="9477" width="9.140625" style="13" customWidth="1"/>
    <col min="9478" max="9505" width="8.85546875" style="13"/>
    <col min="9506" max="9506" width="11" style="13" customWidth="1"/>
    <col min="9507" max="9728" width="8.85546875" style="13"/>
    <col min="9729" max="9729" width="14" style="13" bestFit="1" customWidth="1"/>
    <col min="9730" max="9730" width="14.85546875" style="13" customWidth="1"/>
    <col min="9731" max="9732" width="8.85546875" style="13"/>
    <col min="9733" max="9733" width="9.140625" style="13" customWidth="1"/>
    <col min="9734" max="9761" width="8.85546875" style="13"/>
    <col min="9762" max="9762" width="11" style="13" customWidth="1"/>
    <col min="9763" max="9984" width="8.85546875" style="13"/>
    <col min="9985" max="9985" width="14" style="13" bestFit="1" customWidth="1"/>
    <col min="9986" max="9986" width="14.85546875" style="13" customWidth="1"/>
    <col min="9987" max="9988" width="8.85546875" style="13"/>
    <col min="9989" max="9989" width="9.140625" style="13" customWidth="1"/>
    <col min="9990" max="10017" width="8.85546875" style="13"/>
    <col min="10018" max="10018" width="11" style="13" customWidth="1"/>
    <col min="10019" max="10240" width="8.85546875" style="13"/>
    <col min="10241" max="10241" width="14" style="13" bestFit="1" customWidth="1"/>
    <col min="10242" max="10242" width="14.85546875" style="13" customWidth="1"/>
    <col min="10243" max="10244" width="8.85546875" style="13"/>
    <col min="10245" max="10245" width="9.140625" style="13" customWidth="1"/>
    <col min="10246" max="10273" width="8.85546875" style="13"/>
    <col min="10274" max="10274" width="11" style="13" customWidth="1"/>
    <col min="10275" max="10496" width="8.85546875" style="13"/>
    <col min="10497" max="10497" width="14" style="13" bestFit="1" customWidth="1"/>
    <col min="10498" max="10498" width="14.85546875" style="13" customWidth="1"/>
    <col min="10499" max="10500" width="8.85546875" style="13"/>
    <col min="10501" max="10501" width="9.140625" style="13" customWidth="1"/>
    <col min="10502" max="10529" width="8.85546875" style="13"/>
    <col min="10530" max="10530" width="11" style="13" customWidth="1"/>
    <col min="10531" max="10752" width="8.85546875" style="13"/>
    <col min="10753" max="10753" width="14" style="13" bestFit="1" customWidth="1"/>
    <col min="10754" max="10754" width="14.85546875" style="13" customWidth="1"/>
    <col min="10755" max="10756" width="8.85546875" style="13"/>
    <col min="10757" max="10757" width="9.140625" style="13" customWidth="1"/>
    <col min="10758" max="10785" width="8.85546875" style="13"/>
    <col min="10786" max="10786" width="11" style="13" customWidth="1"/>
    <col min="10787" max="11008" width="8.85546875" style="13"/>
    <col min="11009" max="11009" width="14" style="13" bestFit="1" customWidth="1"/>
    <col min="11010" max="11010" width="14.85546875" style="13" customWidth="1"/>
    <col min="11011" max="11012" width="8.85546875" style="13"/>
    <col min="11013" max="11013" width="9.140625" style="13" customWidth="1"/>
    <col min="11014" max="11041" width="8.85546875" style="13"/>
    <col min="11042" max="11042" width="11" style="13" customWidth="1"/>
    <col min="11043" max="11264" width="8.85546875" style="13"/>
    <col min="11265" max="11265" width="14" style="13" bestFit="1" customWidth="1"/>
    <col min="11266" max="11266" width="14.85546875" style="13" customWidth="1"/>
    <col min="11267" max="11268" width="8.85546875" style="13"/>
    <col min="11269" max="11269" width="9.140625" style="13" customWidth="1"/>
    <col min="11270" max="11297" width="8.85546875" style="13"/>
    <col min="11298" max="11298" width="11" style="13" customWidth="1"/>
    <col min="11299" max="11520" width="8.85546875" style="13"/>
    <col min="11521" max="11521" width="14" style="13" bestFit="1" customWidth="1"/>
    <col min="11522" max="11522" width="14.85546875" style="13" customWidth="1"/>
    <col min="11523" max="11524" width="8.85546875" style="13"/>
    <col min="11525" max="11525" width="9.140625" style="13" customWidth="1"/>
    <col min="11526" max="11553" width="8.85546875" style="13"/>
    <col min="11554" max="11554" width="11" style="13" customWidth="1"/>
    <col min="11555" max="11776" width="8.85546875" style="13"/>
    <col min="11777" max="11777" width="14" style="13" bestFit="1" customWidth="1"/>
    <col min="11778" max="11778" width="14.85546875" style="13" customWidth="1"/>
    <col min="11779" max="11780" width="8.85546875" style="13"/>
    <col min="11781" max="11781" width="9.140625" style="13" customWidth="1"/>
    <col min="11782" max="11809" width="8.85546875" style="13"/>
    <col min="11810" max="11810" width="11" style="13" customWidth="1"/>
    <col min="11811" max="12032" width="8.85546875" style="13"/>
    <col min="12033" max="12033" width="14" style="13" bestFit="1" customWidth="1"/>
    <col min="12034" max="12034" width="14.85546875" style="13" customWidth="1"/>
    <col min="12035" max="12036" width="8.85546875" style="13"/>
    <col min="12037" max="12037" width="9.140625" style="13" customWidth="1"/>
    <col min="12038" max="12065" width="8.85546875" style="13"/>
    <col min="12066" max="12066" width="11" style="13" customWidth="1"/>
    <col min="12067" max="12288" width="8.85546875" style="13"/>
    <col min="12289" max="12289" width="14" style="13" bestFit="1" customWidth="1"/>
    <col min="12290" max="12290" width="14.85546875" style="13" customWidth="1"/>
    <col min="12291" max="12292" width="8.85546875" style="13"/>
    <col min="12293" max="12293" width="9.140625" style="13" customWidth="1"/>
    <col min="12294" max="12321" width="8.85546875" style="13"/>
    <col min="12322" max="12322" width="11" style="13" customWidth="1"/>
    <col min="12323" max="12544" width="8.85546875" style="13"/>
    <col min="12545" max="12545" width="14" style="13" bestFit="1" customWidth="1"/>
    <col min="12546" max="12546" width="14.85546875" style="13" customWidth="1"/>
    <col min="12547" max="12548" width="8.85546875" style="13"/>
    <col min="12549" max="12549" width="9.140625" style="13" customWidth="1"/>
    <col min="12550" max="12577" width="8.85546875" style="13"/>
    <col min="12578" max="12578" width="11" style="13" customWidth="1"/>
    <col min="12579" max="12800" width="8.85546875" style="13"/>
    <col min="12801" max="12801" width="14" style="13" bestFit="1" customWidth="1"/>
    <col min="12802" max="12802" width="14.85546875" style="13" customWidth="1"/>
    <col min="12803" max="12804" width="8.85546875" style="13"/>
    <col min="12805" max="12805" width="9.140625" style="13" customWidth="1"/>
    <col min="12806" max="12833" width="8.85546875" style="13"/>
    <col min="12834" max="12834" width="11" style="13" customWidth="1"/>
    <col min="12835" max="13056" width="8.85546875" style="13"/>
    <col min="13057" max="13057" width="14" style="13" bestFit="1" customWidth="1"/>
    <col min="13058" max="13058" width="14.85546875" style="13" customWidth="1"/>
    <col min="13059" max="13060" width="8.85546875" style="13"/>
    <col min="13061" max="13061" width="9.140625" style="13" customWidth="1"/>
    <col min="13062" max="13089" width="8.85546875" style="13"/>
    <col min="13090" max="13090" width="11" style="13" customWidth="1"/>
    <col min="13091" max="13312" width="8.85546875" style="13"/>
    <col min="13313" max="13313" width="14" style="13" bestFit="1" customWidth="1"/>
    <col min="13314" max="13314" width="14.85546875" style="13" customWidth="1"/>
    <col min="13315" max="13316" width="8.85546875" style="13"/>
    <col min="13317" max="13317" width="9.140625" style="13" customWidth="1"/>
    <col min="13318" max="13345" width="8.85546875" style="13"/>
    <col min="13346" max="13346" width="11" style="13" customWidth="1"/>
    <col min="13347" max="13568" width="8.85546875" style="13"/>
    <col min="13569" max="13569" width="14" style="13" bestFit="1" customWidth="1"/>
    <col min="13570" max="13570" width="14.85546875" style="13" customWidth="1"/>
    <col min="13571" max="13572" width="8.85546875" style="13"/>
    <col min="13573" max="13573" width="9.140625" style="13" customWidth="1"/>
    <col min="13574" max="13601" width="8.85546875" style="13"/>
    <col min="13602" max="13602" width="11" style="13" customWidth="1"/>
    <col min="13603" max="13824" width="8.85546875" style="13"/>
    <col min="13825" max="13825" width="14" style="13" bestFit="1" customWidth="1"/>
    <col min="13826" max="13826" width="14.85546875" style="13" customWidth="1"/>
    <col min="13827" max="13828" width="8.85546875" style="13"/>
    <col min="13829" max="13829" width="9.140625" style="13" customWidth="1"/>
    <col min="13830" max="13857" width="8.85546875" style="13"/>
    <col min="13858" max="13858" width="11" style="13" customWidth="1"/>
    <col min="13859" max="14080" width="8.85546875" style="13"/>
    <col min="14081" max="14081" width="14" style="13" bestFit="1" customWidth="1"/>
    <col min="14082" max="14082" width="14.85546875" style="13" customWidth="1"/>
    <col min="14083" max="14084" width="8.85546875" style="13"/>
    <col min="14085" max="14085" width="9.140625" style="13" customWidth="1"/>
    <col min="14086" max="14113" width="8.85546875" style="13"/>
    <col min="14114" max="14114" width="11" style="13" customWidth="1"/>
    <col min="14115" max="14336" width="8.85546875" style="13"/>
    <col min="14337" max="14337" width="14" style="13" bestFit="1" customWidth="1"/>
    <col min="14338" max="14338" width="14.85546875" style="13" customWidth="1"/>
    <col min="14339" max="14340" width="8.85546875" style="13"/>
    <col min="14341" max="14341" width="9.140625" style="13" customWidth="1"/>
    <col min="14342" max="14369" width="8.85546875" style="13"/>
    <col min="14370" max="14370" width="11" style="13" customWidth="1"/>
    <col min="14371" max="14592" width="8.85546875" style="13"/>
    <col min="14593" max="14593" width="14" style="13" bestFit="1" customWidth="1"/>
    <col min="14594" max="14594" width="14.85546875" style="13" customWidth="1"/>
    <col min="14595" max="14596" width="8.85546875" style="13"/>
    <col min="14597" max="14597" width="9.140625" style="13" customWidth="1"/>
    <col min="14598" max="14625" width="8.85546875" style="13"/>
    <col min="14626" max="14626" width="11" style="13" customWidth="1"/>
    <col min="14627" max="14848" width="8.85546875" style="13"/>
    <col min="14849" max="14849" width="14" style="13" bestFit="1" customWidth="1"/>
    <col min="14850" max="14850" width="14.85546875" style="13" customWidth="1"/>
    <col min="14851" max="14852" width="8.85546875" style="13"/>
    <col min="14853" max="14853" width="9.140625" style="13" customWidth="1"/>
    <col min="14854" max="14881" width="8.85546875" style="13"/>
    <col min="14882" max="14882" width="11" style="13" customWidth="1"/>
    <col min="14883" max="15104" width="8.85546875" style="13"/>
    <col min="15105" max="15105" width="14" style="13" bestFit="1" customWidth="1"/>
    <col min="15106" max="15106" width="14.85546875" style="13" customWidth="1"/>
    <col min="15107" max="15108" width="8.85546875" style="13"/>
    <col min="15109" max="15109" width="9.140625" style="13" customWidth="1"/>
    <col min="15110" max="15137" width="8.85546875" style="13"/>
    <col min="15138" max="15138" width="11" style="13" customWidth="1"/>
    <col min="15139" max="15360" width="8.85546875" style="13"/>
    <col min="15361" max="15361" width="14" style="13" bestFit="1" customWidth="1"/>
    <col min="15362" max="15362" width="14.85546875" style="13" customWidth="1"/>
    <col min="15363" max="15364" width="8.85546875" style="13"/>
    <col min="15365" max="15365" width="9.140625" style="13" customWidth="1"/>
    <col min="15366" max="15393" width="8.85546875" style="13"/>
    <col min="15394" max="15394" width="11" style="13" customWidth="1"/>
    <col min="15395" max="15616" width="8.85546875" style="13"/>
    <col min="15617" max="15617" width="14" style="13" bestFit="1" customWidth="1"/>
    <col min="15618" max="15618" width="14.85546875" style="13" customWidth="1"/>
    <col min="15619" max="15620" width="8.85546875" style="13"/>
    <col min="15621" max="15621" width="9.140625" style="13" customWidth="1"/>
    <col min="15622" max="15649" width="8.85546875" style="13"/>
    <col min="15650" max="15650" width="11" style="13" customWidth="1"/>
    <col min="15651" max="15872" width="8.85546875" style="13"/>
    <col min="15873" max="15873" width="14" style="13" bestFit="1" customWidth="1"/>
    <col min="15874" max="15874" width="14.85546875" style="13" customWidth="1"/>
    <col min="15875" max="15876" width="8.85546875" style="13"/>
    <col min="15877" max="15877" width="9.140625" style="13" customWidth="1"/>
    <col min="15878" max="15905" width="8.85546875" style="13"/>
    <col min="15906" max="15906" width="11" style="13" customWidth="1"/>
    <col min="15907" max="16128" width="8.85546875" style="13"/>
    <col min="16129" max="16129" width="14" style="13" bestFit="1" customWidth="1"/>
    <col min="16130" max="16130" width="14.85546875" style="13" customWidth="1"/>
    <col min="16131" max="16132" width="8.85546875" style="13"/>
    <col min="16133" max="16133" width="9.140625" style="13" customWidth="1"/>
    <col min="16134" max="16161" width="8.85546875" style="13"/>
    <col min="16162" max="16162" width="11" style="13" customWidth="1"/>
    <col min="16163" max="16384" width="8.8554687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20536826.720888525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1461">
        <f>'17 R1 INV'!M73+'E4 CLORO'!B37</f>
        <v>5209890.1252055857</v>
      </c>
      <c r="I7" s="1461">
        <f>'17 R1 INV'!N73+'E4 CLORO'!C37</f>
        <v>747605.38857971609</v>
      </c>
      <c r="J7" s="1461">
        <f>'17 R1 INV'!O73+'E4 CLORO'!D37</f>
        <v>1713105.5265664214</v>
      </c>
      <c r="K7" s="1461">
        <f>'17 R1 INV'!P73+'E4 CLORO'!E37</f>
        <v>1191741.8254753242</v>
      </c>
      <c r="L7" s="1461">
        <f>'17 R1 INV'!Q73+'E4 CLORO'!F37</f>
        <v>1924165.9188391753</v>
      </c>
      <c r="M7" s="1461">
        <f>'17 R1 INV'!R73+'E4 CLORO'!G37</f>
        <v>999778.07055976056</v>
      </c>
      <c r="N7" s="1461">
        <f>'17 R1 INV'!S73+'E4 CLORO'!H37</f>
        <v>2653505.4796216656</v>
      </c>
      <c r="O7" s="1461">
        <f>'17 R1 INV'!T73+'E4 CLORO'!I37</f>
        <v>2353010.2054911945</v>
      </c>
      <c r="P7" s="1461">
        <f>'17 R1 INV'!U73+'E4 CLORO'!J37</f>
        <v>68386.753752136574</v>
      </c>
      <c r="Q7" s="1461">
        <f>'17 R1 INV'!V73+'E4 CLORO'!K37</f>
        <v>68386.753752136574</v>
      </c>
      <c r="R7" s="1461">
        <f>'17 R1 INV'!W73+'E4 CLORO'!L37</f>
        <v>68386.753752136574</v>
      </c>
      <c r="S7" s="1461">
        <f>'17 R1 INV'!X73+'E4 CLORO'!M37</f>
        <v>63098.753752136574</v>
      </c>
      <c r="T7" s="1461">
        <f>'17 R1 INV'!Y73+'E4 CLORO'!N37</f>
        <v>63098.753752136574</v>
      </c>
      <c r="U7" s="1461">
        <f>'17 R1 INV'!Z73+'E4 CLORO'!O37</f>
        <v>63098.753752136574</v>
      </c>
      <c r="V7" s="1461">
        <f>'17 R1 INV'!AA73+'E4 CLORO'!P37</f>
        <v>63098.753752136574</v>
      </c>
      <c r="W7" s="1461">
        <f>'17 R1 INV'!AB73+'E4 CLORO'!Q37</f>
        <v>63098.753752136574</v>
      </c>
      <c r="X7" s="1461">
        <f>'17 R1 INV'!AC73+'E4 CLORO'!R37</f>
        <v>68793.753752136574</v>
      </c>
      <c r="Y7" s="1461">
        <f>'17 R1 INV'!AD73+'E4 CLORO'!S37</f>
        <v>59438.753752136574</v>
      </c>
      <c r="Z7" s="1461">
        <f>'17 R1 INV'!AE73+'E4 CLORO'!T37</f>
        <v>59438.753752136574</v>
      </c>
      <c r="AA7" s="1461">
        <f>'17 R1 INV'!AF73+'E4 CLORO'!U37</f>
        <v>59438.753752136574</v>
      </c>
      <c r="AB7" s="1461">
        <f>'17 R1 INV'!AG73+'E4 CLORO'!V37</f>
        <v>59438.753752136574</v>
      </c>
      <c r="AC7" s="1461">
        <f>'17 R1 INV'!AH73+'E4 CLORO'!W37</f>
        <v>68793.753752136574</v>
      </c>
      <c r="AD7" s="1461">
        <f>'17 R1 INV'!AI73+'E4 CLORO'!X37</f>
        <v>60252.753752136574</v>
      </c>
      <c r="AE7" s="1461">
        <f>'17 R1 INV'!AJ73+'E4 CLORO'!Y37</f>
        <v>61066.753752136574</v>
      </c>
      <c r="AF7" s="1461">
        <f>'17 R1 INV'!AK73+'E4 CLORO'!Z37</f>
        <v>62284.753752136574</v>
      </c>
      <c r="AG7" s="1461">
        <f>'17 R1 INV'!AL73+'E4 CLORO'!AA37</f>
        <v>59447.247996732927</v>
      </c>
      <c r="AH7" s="300">
        <f>SUM(D7:AG7)</f>
        <v>20536826.720888525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208395.60500822344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304965.65942868049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208395.60500822344</v>
      </c>
      <c r="I16" s="308">
        <f>I7/24</f>
        <v>31150.224524154837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336115.88395283534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208395.60500822344</v>
      </c>
      <c r="I17" s="305">
        <f>I16</f>
        <v>31150.224524154837</v>
      </c>
      <c r="J17" s="308">
        <f>J7/23</f>
        <v>74482.848981148753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410598.73293398408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208395.60500822344</v>
      </c>
      <c r="I18" s="305">
        <f t="shared" si="9"/>
        <v>31150.224524154837</v>
      </c>
      <c r="J18" s="305">
        <f>J17</f>
        <v>74482.848981148753</v>
      </c>
      <c r="K18" s="308">
        <f>K7/22</f>
        <v>54170.082976151098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464768.81591013516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208395.60500822344</v>
      </c>
      <c r="I19" s="305">
        <f t="shared" si="9"/>
        <v>31150.224524154837</v>
      </c>
      <c r="J19" s="305">
        <f t="shared" si="9"/>
        <v>74482.848981148753</v>
      </c>
      <c r="K19" s="305">
        <f>K18</f>
        <v>54170.082976151098</v>
      </c>
      <c r="L19" s="308">
        <f>L7/21</f>
        <v>91626.948516151198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556395.76442628633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208395.60500822344</v>
      </c>
      <c r="I20" s="305">
        <f t="shared" si="9"/>
        <v>31150.224524154837</v>
      </c>
      <c r="J20" s="305">
        <f t="shared" si="9"/>
        <v>74482.848981148753</v>
      </c>
      <c r="K20" s="305">
        <f t="shared" si="9"/>
        <v>54170.082976151098</v>
      </c>
      <c r="L20" s="305">
        <f>L19</f>
        <v>91626.948516151198</v>
      </c>
      <c r="M20" s="308">
        <f>M7/20</f>
        <v>49988.903527988026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606384.66795427434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208395.60500822344</v>
      </c>
      <c r="I21" s="305">
        <f t="shared" si="9"/>
        <v>31150.224524154837</v>
      </c>
      <c r="J21" s="305">
        <f t="shared" si="9"/>
        <v>74482.848981148753</v>
      </c>
      <c r="K21" s="305">
        <f t="shared" si="9"/>
        <v>54170.082976151098</v>
      </c>
      <c r="L21" s="305">
        <f t="shared" si="9"/>
        <v>91626.948516151198</v>
      </c>
      <c r="M21" s="309">
        <f>M20</f>
        <v>49988.903527988026</v>
      </c>
      <c r="N21" s="308">
        <f>N7/19</f>
        <v>139658.18313798239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746042.85109225672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208395.60500822344</v>
      </c>
      <c r="I22" s="305">
        <f t="shared" si="9"/>
        <v>31150.224524154837</v>
      </c>
      <c r="J22" s="305">
        <f t="shared" si="9"/>
        <v>74482.848981148753</v>
      </c>
      <c r="K22" s="305">
        <f t="shared" si="9"/>
        <v>54170.082976151098</v>
      </c>
      <c r="L22" s="305">
        <f t="shared" si="9"/>
        <v>91626.948516151198</v>
      </c>
      <c r="M22" s="309">
        <f t="shared" si="9"/>
        <v>49988.903527988026</v>
      </c>
      <c r="N22" s="305">
        <f>N21</f>
        <v>139658.18313798239</v>
      </c>
      <c r="O22" s="308">
        <f>O7/18</f>
        <v>130722.78919395525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876765.64028621197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208395.60500822344</v>
      </c>
      <c r="I23" s="305">
        <f t="shared" si="9"/>
        <v>31150.224524154837</v>
      </c>
      <c r="J23" s="305">
        <f t="shared" si="9"/>
        <v>74482.848981148753</v>
      </c>
      <c r="K23" s="305">
        <f t="shared" si="9"/>
        <v>54170.082976151098</v>
      </c>
      <c r="L23" s="305">
        <f t="shared" si="9"/>
        <v>91626.948516151198</v>
      </c>
      <c r="M23" s="309">
        <f t="shared" si="9"/>
        <v>49988.903527988026</v>
      </c>
      <c r="N23" s="305">
        <f t="shared" si="9"/>
        <v>139658.18313798239</v>
      </c>
      <c r="O23" s="305">
        <f>O22</f>
        <v>130722.78919395525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880788.39050692588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208395.60500822344</v>
      </c>
      <c r="I24" s="305">
        <f t="shared" si="9"/>
        <v>31150.224524154837</v>
      </c>
      <c r="J24" s="305">
        <f t="shared" si="9"/>
        <v>74482.848981148753</v>
      </c>
      <c r="K24" s="305">
        <f t="shared" si="9"/>
        <v>54170.082976151098</v>
      </c>
      <c r="L24" s="305">
        <f t="shared" si="9"/>
        <v>91626.948516151198</v>
      </c>
      <c r="M24" s="309">
        <f t="shared" si="9"/>
        <v>49988.903527988026</v>
      </c>
      <c r="N24" s="305">
        <f t="shared" si="9"/>
        <v>139658.18313798239</v>
      </c>
      <c r="O24" s="305">
        <f t="shared" si="9"/>
        <v>130722.78919395525</v>
      </c>
      <c r="P24" s="305">
        <f>P23</f>
        <v>4022.750220713916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885062.56261643441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208395.60500822344</v>
      </c>
      <c r="I25" s="305">
        <f t="shared" si="9"/>
        <v>31150.224524154837</v>
      </c>
      <c r="J25" s="305">
        <f t="shared" si="9"/>
        <v>74482.848981148753</v>
      </c>
      <c r="K25" s="305">
        <f t="shared" si="9"/>
        <v>54170.082976151098</v>
      </c>
      <c r="L25" s="305">
        <f t="shared" si="9"/>
        <v>91626.948516151198</v>
      </c>
      <c r="M25" s="309">
        <f t="shared" si="9"/>
        <v>49988.903527988026</v>
      </c>
      <c r="N25" s="305">
        <f t="shared" si="9"/>
        <v>139658.18313798239</v>
      </c>
      <c r="O25" s="305">
        <f t="shared" si="9"/>
        <v>130722.78919395525</v>
      </c>
      <c r="P25" s="305">
        <f t="shared" si="9"/>
        <v>4022.750220713916</v>
      </c>
      <c r="Q25" s="305">
        <f>Q24</f>
        <v>4274.1721095085359</v>
      </c>
      <c r="R25" s="308">
        <f>R7/15</f>
        <v>4559.1169168091046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889621.67953324353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208395.60500822344</v>
      </c>
      <c r="I26" s="305">
        <f t="shared" si="9"/>
        <v>31150.224524154837</v>
      </c>
      <c r="J26" s="305">
        <f t="shared" si="9"/>
        <v>74482.848981148753</v>
      </c>
      <c r="K26" s="305">
        <f t="shared" si="9"/>
        <v>54170.082976151098</v>
      </c>
      <c r="L26" s="305">
        <f t="shared" si="9"/>
        <v>91626.948516151198</v>
      </c>
      <c r="M26" s="309">
        <f t="shared" si="9"/>
        <v>49988.903527988026</v>
      </c>
      <c r="N26" s="305">
        <f t="shared" si="9"/>
        <v>139658.18313798239</v>
      </c>
      <c r="O26" s="305">
        <f t="shared" si="9"/>
        <v>130722.78919395525</v>
      </c>
      <c r="P26" s="305">
        <f t="shared" si="9"/>
        <v>4022.750220713916</v>
      </c>
      <c r="Q26" s="305">
        <f t="shared" si="9"/>
        <v>4274.1721095085359</v>
      </c>
      <c r="R26" s="305">
        <f>R25</f>
        <v>4559.1169168091046</v>
      </c>
      <c r="S26" s="308">
        <f>S7/14</f>
        <v>4507.0538394383266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894128.73337268189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208395.60500822344</v>
      </c>
      <c r="I27" s="305">
        <f t="shared" si="9"/>
        <v>31150.224524154837</v>
      </c>
      <c r="J27" s="305">
        <f t="shared" si="9"/>
        <v>74482.848981148753</v>
      </c>
      <c r="K27" s="305">
        <f t="shared" si="9"/>
        <v>54170.082976151098</v>
      </c>
      <c r="L27" s="305">
        <f t="shared" si="9"/>
        <v>91626.948516151198</v>
      </c>
      <c r="M27" s="309">
        <f t="shared" si="9"/>
        <v>49988.903527988026</v>
      </c>
      <c r="N27" s="305">
        <f t="shared" si="9"/>
        <v>139658.18313798239</v>
      </c>
      <c r="O27" s="305">
        <f t="shared" si="9"/>
        <v>130722.78919395525</v>
      </c>
      <c r="P27" s="305">
        <f t="shared" si="9"/>
        <v>4022.750220713916</v>
      </c>
      <c r="Q27" s="305">
        <f t="shared" si="9"/>
        <v>4274.1721095085359</v>
      </c>
      <c r="R27" s="305">
        <f t="shared" si="9"/>
        <v>4559.1169168091046</v>
      </c>
      <c r="S27" s="305">
        <f>S26</f>
        <v>4507.0538394383266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898982.48366130784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208395.60500822344</v>
      </c>
      <c r="I28" s="305">
        <f t="shared" si="9"/>
        <v>31150.224524154837</v>
      </c>
      <c r="J28" s="305">
        <f t="shared" si="9"/>
        <v>74482.848981148753</v>
      </c>
      <c r="K28" s="305">
        <f t="shared" si="9"/>
        <v>54170.082976151098</v>
      </c>
      <c r="L28" s="305">
        <f t="shared" si="9"/>
        <v>91626.948516151198</v>
      </c>
      <c r="M28" s="309">
        <f t="shared" si="9"/>
        <v>49988.903527988026</v>
      </c>
      <c r="N28" s="305">
        <f t="shared" si="9"/>
        <v>139658.18313798239</v>
      </c>
      <c r="O28" s="305">
        <f t="shared" si="9"/>
        <v>130722.78919395525</v>
      </c>
      <c r="P28" s="305">
        <f t="shared" si="9"/>
        <v>4022.750220713916</v>
      </c>
      <c r="Q28" s="305">
        <f t="shared" si="9"/>
        <v>4274.1721095085359</v>
      </c>
      <c r="R28" s="305">
        <f t="shared" si="9"/>
        <v>4559.1169168091046</v>
      </c>
      <c r="S28" s="305">
        <f>S27</f>
        <v>4507.0538394383266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904240.71314065251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208395.60500822344</v>
      </c>
      <c r="I29" s="305">
        <f t="shared" si="10"/>
        <v>31150.224524154837</v>
      </c>
      <c r="J29" s="305">
        <f t="shared" si="10"/>
        <v>74482.848981148753</v>
      </c>
      <c r="K29" s="305">
        <f t="shared" si="10"/>
        <v>54170.082976151098</v>
      </c>
      <c r="L29" s="305">
        <f t="shared" si="10"/>
        <v>91626.948516151198</v>
      </c>
      <c r="M29" s="309">
        <f t="shared" si="10"/>
        <v>49988.903527988026</v>
      </c>
      <c r="N29" s="305">
        <f t="shared" si="10"/>
        <v>139658.18313798239</v>
      </c>
      <c r="O29" s="305">
        <f t="shared" si="10"/>
        <v>130722.78919395525</v>
      </c>
      <c r="P29" s="305">
        <f t="shared" si="10"/>
        <v>4022.750220713916</v>
      </c>
      <c r="Q29" s="305">
        <f t="shared" si="10"/>
        <v>4274.1721095085359</v>
      </c>
      <c r="R29" s="305">
        <f t="shared" si="10"/>
        <v>4559.1169168091046</v>
      </c>
      <c r="S29" s="305">
        <f t="shared" si="10"/>
        <v>4507.0538394383266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909976.96348175581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208395.60500822344</v>
      </c>
      <c r="I30" s="305">
        <f t="shared" si="10"/>
        <v>31150.224524154837</v>
      </c>
      <c r="J30" s="305">
        <f t="shared" si="10"/>
        <v>74482.848981148753</v>
      </c>
      <c r="K30" s="305">
        <f t="shared" si="10"/>
        <v>54170.082976151098</v>
      </c>
      <c r="L30" s="305">
        <f t="shared" si="10"/>
        <v>91626.948516151198</v>
      </c>
      <c r="M30" s="309">
        <f t="shared" si="10"/>
        <v>49988.903527988026</v>
      </c>
      <c r="N30" s="305">
        <f t="shared" si="10"/>
        <v>139658.18313798239</v>
      </c>
      <c r="O30" s="305">
        <f t="shared" si="10"/>
        <v>130722.78919395525</v>
      </c>
      <c r="P30" s="305">
        <f t="shared" si="10"/>
        <v>4022.750220713916</v>
      </c>
      <c r="Q30" s="305">
        <f t="shared" si="10"/>
        <v>4274.1721095085359</v>
      </c>
      <c r="R30" s="305">
        <f t="shared" si="10"/>
        <v>4559.1169168091046</v>
      </c>
      <c r="S30" s="305">
        <f t="shared" si="10"/>
        <v>4507.0538394383266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916286.83885696949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208395.60500822344</v>
      </c>
      <c r="I31" s="305">
        <f t="shared" si="10"/>
        <v>31150.224524154837</v>
      </c>
      <c r="J31" s="305">
        <f t="shared" si="10"/>
        <v>74482.848981148753</v>
      </c>
      <c r="K31" s="305">
        <f t="shared" si="10"/>
        <v>54170.082976151098</v>
      </c>
      <c r="L31" s="305">
        <f t="shared" si="10"/>
        <v>91626.948516151198</v>
      </c>
      <c r="M31" s="309">
        <f t="shared" si="10"/>
        <v>49988.903527988026</v>
      </c>
      <c r="N31" s="305">
        <f t="shared" si="10"/>
        <v>139658.18313798239</v>
      </c>
      <c r="O31" s="305">
        <f t="shared" si="10"/>
        <v>130722.78919395525</v>
      </c>
      <c r="P31" s="305">
        <f t="shared" si="10"/>
        <v>4022.750220713916</v>
      </c>
      <c r="Q31" s="305">
        <f t="shared" si="10"/>
        <v>4274.1721095085359</v>
      </c>
      <c r="R31" s="305">
        <f t="shared" si="10"/>
        <v>4559.1169168091046</v>
      </c>
      <c r="S31" s="305">
        <f t="shared" si="10"/>
        <v>4507.0538394383266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923930.5892738736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208395.60500822344</v>
      </c>
      <c r="I32" s="305">
        <f t="shared" si="10"/>
        <v>31150.224524154837</v>
      </c>
      <c r="J32" s="305">
        <f t="shared" si="10"/>
        <v>74482.848981148753</v>
      </c>
      <c r="K32" s="305">
        <f t="shared" si="10"/>
        <v>54170.082976151098</v>
      </c>
      <c r="L32" s="305">
        <f t="shared" si="10"/>
        <v>91626.948516151198</v>
      </c>
      <c r="M32" s="309">
        <f t="shared" si="10"/>
        <v>49988.903527988026</v>
      </c>
      <c r="N32" s="305">
        <f t="shared" si="10"/>
        <v>139658.18313798239</v>
      </c>
      <c r="O32" s="305">
        <f t="shared" si="10"/>
        <v>130722.78919395525</v>
      </c>
      <c r="P32" s="305">
        <f t="shared" si="10"/>
        <v>4022.750220713916</v>
      </c>
      <c r="Q32" s="305">
        <f t="shared" si="10"/>
        <v>4274.1721095085359</v>
      </c>
      <c r="R32" s="305">
        <f t="shared" si="10"/>
        <v>4559.1169168091046</v>
      </c>
      <c r="S32" s="305">
        <f t="shared" si="10"/>
        <v>4507.0538394383266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931360.43349289068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208395.60500822344</v>
      </c>
      <c r="I33" s="305">
        <f t="shared" si="10"/>
        <v>31150.224524154837</v>
      </c>
      <c r="J33" s="305">
        <f t="shared" si="10"/>
        <v>74482.848981148753</v>
      </c>
      <c r="K33" s="305">
        <f t="shared" si="10"/>
        <v>54170.082976151098</v>
      </c>
      <c r="L33" s="305">
        <f t="shared" si="10"/>
        <v>91626.948516151198</v>
      </c>
      <c r="M33" s="309">
        <f t="shared" si="10"/>
        <v>49988.903527988026</v>
      </c>
      <c r="N33" s="305">
        <f t="shared" si="10"/>
        <v>139658.18313798239</v>
      </c>
      <c r="O33" s="305">
        <f t="shared" si="10"/>
        <v>130722.78919395525</v>
      </c>
      <c r="P33" s="305">
        <f t="shared" si="10"/>
        <v>4022.750220713916</v>
      </c>
      <c r="Q33" s="305">
        <f t="shared" si="10"/>
        <v>4274.1721095085359</v>
      </c>
      <c r="R33" s="305">
        <f t="shared" si="10"/>
        <v>4559.1169168091046</v>
      </c>
      <c r="S33" s="305">
        <f t="shared" si="10"/>
        <v>4507.0538394383266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939851.68402891024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208395.60500822344</v>
      </c>
      <c r="I34" s="305">
        <f t="shared" si="10"/>
        <v>31150.224524154837</v>
      </c>
      <c r="J34" s="305">
        <f t="shared" si="10"/>
        <v>74482.848981148753</v>
      </c>
      <c r="K34" s="305">
        <f t="shared" si="10"/>
        <v>54170.082976151098</v>
      </c>
      <c r="L34" s="305">
        <f t="shared" si="10"/>
        <v>91626.948516151198</v>
      </c>
      <c r="M34" s="309">
        <f t="shared" si="10"/>
        <v>49988.903527988026</v>
      </c>
      <c r="N34" s="305">
        <f t="shared" si="10"/>
        <v>139658.18313798239</v>
      </c>
      <c r="O34" s="305">
        <f t="shared" si="10"/>
        <v>130722.78919395525</v>
      </c>
      <c r="P34" s="305">
        <f t="shared" si="10"/>
        <v>4022.750220713916</v>
      </c>
      <c r="Q34" s="305">
        <f t="shared" si="10"/>
        <v>4274.1721095085359</v>
      </c>
      <c r="R34" s="305">
        <f t="shared" si="10"/>
        <v>4559.1169168091046</v>
      </c>
      <c r="S34" s="305">
        <f t="shared" si="10"/>
        <v>4507.0538394383266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949758.14298759971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208395.60500822344</v>
      </c>
      <c r="I35" s="305">
        <f t="shared" si="10"/>
        <v>31150.224524154837</v>
      </c>
      <c r="J35" s="305">
        <f t="shared" si="10"/>
        <v>74482.848981148753</v>
      </c>
      <c r="K35" s="305">
        <f t="shared" si="10"/>
        <v>54170.082976151098</v>
      </c>
      <c r="L35" s="305">
        <f t="shared" si="10"/>
        <v>91626.948516151198</v>
      </c>
      <c r="M35" s="309">
        <f t="shared" si="10"/>
        <v>49988.903527988026</v>
      </c>
      <c r="N35" s="305">
        <f t="shared" si="10"/>
        <v>139658.18313798239</v>
      </c>
      <c r="O35" s="305">
        <f t="shared" si="10"/>
        <v>130722.78919395525</v>
      </c>
      <c r="P35" s="305">
        <f t="shared" si="10"/>
        <v>4022.750220713916</v>
      </c>
      <c r="Q35" s="305">
        <f t="shared" si="10"/>
        <v>4274.1721095085359</v>
      </c>
      <c r="R35" s="305">
        <f t="shared" si="10"/>
        <v>4559.1169168091046</v>
      </c>
      <c r="S35" s="305">
        <f t="shared" si="10"/>
        <v>4507.0538394383266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961645.89373802708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208395.60500822344</v>
      </c>
      <c r="I36" s="305">
        <f t="shared" si="10"/>
        <v>31150.224524154837</v>
      </c>
      <c r="J36" s="305">
        <f t="shared" si="10"/>
        <v>74482.848981148753</v>
      </c>
      <c r="K36" s="305">
        <f t="shared" si="10"/>
        <v>54170.082976151098</v>
      </c>
      <c r="L36" s="305">
        <f t="shared" si="10"/>
        <v>91626.948516151198</v>
      </c>
      <c r="M36" s="309">
        <f t="shared" si="10"/>
        <v>49988.903527988026</v>
      </c>
      <c r="N36" s="305">
        <f t="shared" si="10"/>
        <v>139658.18313798239</v>
      </c>
      <c r="O36" s="305">
        <f t="shared" si="10"/>
        <v>130722.78919395525</v>
      </c>
      <c r="P36" s="305">
        <f t="shared" si="10"/>
        <v>4022.750220713916</v>
      </c>
      <c r="Q36" s="305">
        <f t="shared" si="10"/>
        <v>4274.1721095085359</v>
      </c>
      <c r="R36" s="305">
        <f t="shared" si="10"/>
        <v>4559.1169168091046</v>
      </c>
      <c r="S36" s="305">
        <f t="shared" si="10"/>
        <v>4507.0538394383266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978844.33217606123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208395.60500822344</v>
      </c>
      <c r="I37" s="305">
        <f t="shared" si="10"/>
        <v>31150.224524154837</v>
      </c>
      <c r="J37" s="305">
        <f t="shared" si="10"/>
        <v>74482.848981148753</v>
      </c>
      <c r="K37" s="305">
        <f t="shared" si="10"/>
        <v>54170.082976151098</v>
      </c>
      <c r="L37" s="305">
        <f t="shared" si="10"/>
        <v>91626.948516151198</v>
      </c>
      <c r="M37" s="309">
        <f t="shared" si="10"/>
        <v>49988.903527988026</v>
      </c>
      <c r="N37" s="305">
        <f t="shared" si="10"/>
        <v>139658.18313798239</v>
      </c>
      <c r="O37" s="305">
        <f t="shared" si="10"/>
        <v>130722.78919395525</v>
      </c>
      <c r="P37" s="305">
        <f t="shared" si="10"/>
        <v>4022.750220713916</v>
      </c>
      <c r="Q37" s="305">
        <f t="shared" si="10"/>
        <v>4274.1721095085359</v>
      </c>
      <c r="R37" s="305">
        <f t="shared" si="10"/>
        <v>4559.1169168091046</v>
      </c>
      <c r="S37" s="305">
        <f t="shared" si="10"/>
        <v>4507.0538394383266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998928.58342677343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208395.60500822344</v>
      </c>
      <c r="I38" s="305">
        <f t="shared" si="10"/>
        <v>31150.224524154837</v>
      </c>
      <c r="J38" s="305">
        <f t="shared" si="10"/>
        <v>74482.848981148753</v>
      </c>
      <c r="K38" s="305">
        <f t="shared" si="10"/>
        <v>54170.082976151098</v>
      </c>
      <c r="L38" s="305">
        <f t="shared" si="10"/>
        <v>91626.948516151198</v>
      </c>
      <c r="M38" s="309">
        <f t="shared" si="10"/>
        <v>49988.903527988026</v>
      </c>
      <c r="N38" s="305">
        <f t="shared" si="10"/>
        <v>139658.18313798239</v>
      </c>
      <c r="O38" s="305">
        <f t="shared" si="10"/>
        <v>130722.78919395525</v>
      </c>
      <c r="P38" s="305">
        <f t="shared" si="10"/>
        <v>4022.750220713916</v>
      </c>
      <c r="Q38" s="305">
        <f t="shared" si="10"/>
        <v>4274.1721095085359</v>
      </c>
      <c r="R38" s="305">
        <f t="shared" si="10"/>
        <v>4559.1169168091046</v>
      </c>
      <c r="S38" s="305">
        <f t="shared" si="10"/>
        <v>4507.0538394383266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1029461.9603028417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208395.60500822344</v>
      </c>
      <c r="I39" s="305">
        <f t="shared" si="10"/>
        <v>31150.224524154837</v>
      </c>
      <c r="J39" s="305">
        <f t="shared" si="10"/>
        <v>74482.848981148753</v>
      </c>
      <c r="K39" s="305">
        <f t="shared" si="10"/>
        <v>54170.082976151098</v>
      </c>
      <c r="L39" s="305">
        <f t="shared" si="10"/>
        <v>91626.948516151198</v>
      </c>
      <c r="M39" s="309">
        <f t="shared" si="10"/>
        <v>49988.903527988026</v>
      </c>
      <c r="N39" s="305">
        <f t="shared" si="10"/>
        <v>139658.18313798239</v>
      </c>
      <c r="O39" s="305">
        <f t="shared" si="10"/>
        <v>130722.78919395525</v>
      </c>
      <c r="P39" s="305">
        <f t="shared" si="10"/>
        <v>4022.750220713916</v>
      </c>
      <c r="Q39" s="305">
        <f t="shared" si="10"/>
        <v>4274.1721095085359</v>
      </c>
      <c r="R39" s="305">
        <f t="shared" si="10"/>
        <v>4559.1169168091046</v>
      </c>
      <c r="S39" s="305">
        <f t="shared" si="10"/>
        <v>4507.0538394383266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1151193.962051711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5209890.1252055857</v>
      </c>
      <c r="I40" s="312">
        <f t="shared" si="12"/>
        <v>747605.38857971597</v>
      </c>
      <c r="J40" s="312">
        <f t="shared" si="12"/>
        <v>1713105.5265664218</v>
      </c>
      <c r="K40" s="312">
        <f t="shared" si="12"/>
        <v>1191741.8254753244</v>
      </c>
      <c r="L40" s="312">
        <f t="shared" si="12"/>
        <v>1924165.9188391748</v>
      </c>
      <c r="M40" s="313">
        <f t="shared" si="12"/>
        <v>999778.07055976021</v>
      </c>
      <c r="N40" s="312">
        <f t="shared" si="12"/>
        <v>2653505.4796216646</v>
      </c>
      <c r="O40" s="312">
        <f t="shared" si="12"/>
        <v>2353010.2054911945</v>
      </c>
      <c r="P40" s="312">
        <f t="shared" si="12"/>
        <v>68386.753752136588</v>
      </c>
      <c r="Q40" s="312">
        <f t="shared" si="12"/>
        <v>68386.753752136588</v>
      </c>
      <c r="R40" s="312">
        <f t="shared" si="12"/>
        <v>68386.753752136588</v>
      </c>
      <c r="S40" s="312">
        <f t="shared" si="12"/>
        <v>63098.753752136567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20536826.720888559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6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T103:W106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4"/>
        <v>#VALUE!</v>
      </c>
      <c r="E104" s="305" t="e">
        <f t="shared" si="24"/>
        <v>#VALUE!</v>
      </c>
      <c r="F104" s="305" t="e">
        <f t="shared" si="24"/>
        <v>#VALUE!</v>
      </c>
      <c r="G104" s="305" t="e">
        <f t="shared" si="24"/>
        <v>#VALUE!</v>
      </c>
      <c r="H104" s="305" t="e">
        <f t="shared" si="24"/>
        <v>#VALUE!</v>
      </c>
      <c r="I104" s="305" t="e">
        <f t="shared" si="24"/>
        <v>#VALUE!</v>
      </c>
      <c r="J104" s="305" t="e">
        <f t="shared" si="24"/>
        <v>#VALUE!</v>
      </c>
      <c r="K104" s="305" t="e">
        <f t="shared" si="24"/>
        <v>#VALUE!</v>
      </c>
      <c r="L104" s="305" t="e">
        <f t="shared" si="24"/>
        <v>#VALUE!</v>
      </c>
      <c r="M104" s="305" t="e">
        <f t="shared" si="24"/>
        <v>#VALUE!</v>
      </c>
      <c r="N104" s="305" t="e">
        <f t="shared" si="24"/>
        <v>#VALUE!</v>
      </c>
      <c r="O104" s="305" t="e">
        <f t="shared" si="24"/>
        <v>#VALUE!</v>
      </c>
      <c r="P104" s="305" t="e">
        <f t="shared" si="24"/>
        <v>#VALUE!</v>
      </c>
      <c r="Q104" s="305" t="e">
        <f t="shared" si="24"/>
        <v>#VALUE!</v>
      </c>
      <c r="R104" s="305" t="e">
        <f t="shared" si="24"/>
        <v>#VALUE!</v>
      </c>
      <c r="S104" s="305" t="e">
        <f t="shared" si="24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4"/>
        <v>#VALUE!</v>
      </c>
      <c r="F105" s="305" t="e">
        <f t="shared" si="24"/>
        <v>#VALUE!</v>
      </c>
      <c r="G105" s="305" t="e">
        <f t="shared" si="24"/>
        <v>#VALUE!</v>
      </c>
      <c r="H105" s="305" t="e">
        <f t="shared" si="24"/>
        <v>#VALUE!</v>
      </c>
      <c r="I105" s="305" t="e">
        <f t="shared" si="24"/>
        <v>#VALUE!</v>
      </c>
      <c r="J105" s="305" t="e">
        <f t="shared" si="24"/>
        <v>#VALUE!</v>
      </c>
      <c r="K105" s="305" t="e">
        <f t="shared" si="24"/>
        <v>#VALUE!</v>
      </c>
      <c r="L105" s="305" t="e">
        <f t="shared" si="24"/>
        <v>#VALUE!</v>
      </c>
      <c r="M105" s="305" t="e">
        <f t="shared" si="24"/>
        <v>#VALUE!</v>
      </c>
      <c r="N105" s="305" t="e">
        <f t="shared" si="24"/>
        <v>#VALUE!</v>
      </c>
      <c r="O105" s="305" t="e">
        <f t="shared" si="24"/>
        <v>#VALUE!</v>
      </c>
      <c r="P105" s="305" t="e">
        <f t="shared" si="24"/>
        <v>#VALUE!</v>
      </c>
      <c r="Q105" s="305" t="e">
        <f t="shared" si="24"/>
        <v>#VALUE!</v>
      </c>
      <c r="R105" s="305" t="e">
        <f t="shared" si="24"/>
        <v>#VALUE!</v>
      </c>
      <c r="S105" s="305" t="e">
        <f t="shared" si="24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4"/>
        <v>#VALUE!</v>
      </c>
      <c r="G106" s="305" t="e">
        <f t="shared" si="24"/>
        <v>#VALUE!</v>
      </c>
      <c r="H106" s="305" t="e">
        <f t="shared" si="24"/>
        <v>#VALUE!</v>
      </c>
      <c r="I106" s="305" t="e">
        <f t="shared" si="24"/>
        <v>#VALUE!</v>
      </c>
      <c r="J106" s="305" t="e">
        <f t="shared" si="24"/>
        <v>#VALUE!</v>
      </c>
      <c r="K106" s="305" t="e">
        <f t="shared" si="24"/>
        <v>#VALUE!</v>
      </c>
      <c r="L106" s="305" t="e">
        <f t="shared" si="24"/>
        <v>#VALUE!</v>
      </c>
      <c r="M106" s="305" t="e">
        <f t="shared" si="24"/>
        <v>#VALUE!</v>
      </c>
      <c r="N106" s="305" t="e">
        <f t="shared" si="24"/>
        <v>#VALUE!</v>
      </c>
      <c r="O106" s="305" t="e">
        <f t="shared" si="24"/>
        <v>#VALUE!</v>
      </c>
      <c r="P106" s="305" t="e">
        <f t="shared" si="24"/>
        <v>#VALUE!</v>
      </c>
      <c r="Q106" s="305" t="e">
        <f t="shared" si="24"/>
        <v>#VALUE!</v>
      </c>
      <c r="R106" s="305" t="e">
        <f t="shared" si="24"/>
        <v>#VALUE!</v>
      </c>
      <c r="S106" s="305" t="e">
        <f t="shared" si="24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ref="G107:Z113" si="26">G106</f>
        <v>#VALUE!</v>
      </c>
      <c r="H107" s="305" t="e">
        <f t="shared" si="26"/>
        <v>#VALUE!</v>
      </c>
      <c r="I107" s="305" t="e">
        <f t="shared" si="26"/>
        <v>#VALUE!</v>
      </c>
      <c r="J107" s="305" t="e">
        <f t="shared" si="26"/>
        <v>#VALUE!</v>
      </c>
      <c r="K107" s="305" t="e">
        <f t="shared" si="26"/>
        <v>#VALUE!</v>
      </c>
      <c r="L107" s="305" t="e">
        <f t="shared" si="26"/>
        <v>#VALUE!</v>
      </c>
      <c r="M107" s="305" t="e">
        <f t="shared" si="26"/>
        <v>#VALUE!</v>
      </c>
      <c r="N107" s="305" t="e">
        <f t="shared" si="26"/>
        <v>#VALUE!</v>
      </c>
      <c r="O107" s="305" t="e">
        <f t="shared" si="26"/>
        <v>#VALUE!</v>
      </c>
      <c r="P107" s="305" t="e">
        <f t="shared" si="26"/>
        <v>#VALUE!</v>
      </c>
      <c r="Q107" s="305" t="e">
        <f t="shared" si="26"/>
        <v>#VALUE!</v>
      </c>
      <c r="R107" s="305" t="e">
        <f t="shared" si="26"/>
        <v>#VALUE!</v>
      </c>
      <c r="S107" s="305" t="e">
        <f t="shared" si="26"/>
        <v>#VALUE!</v>
      </c>
      <c r="T107" s="305" t="e">
        <f t="shared" si="26"/>
        <v>#VALUE!</v>
      </c>
      <c r="U107" s="305" t="e">
        <f t="shared" si="26"/>
        <v>#VALUE!</v>
      </c>
      <c r="V107" s="305" t="e">
        <f t="shared" si="26"/>
        <v>#VALUE!</v>
      </c>
      <c r="W107" s="305" t="e">
        <f t="shared" si="26"/>
        <v>#VALUE!</v>
      </c>
      <c r="X107" s="305" t="e">
        <f t="shared" si="26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6"/>
        <v>#VALUE!</v>
      </c>
      <c r="I108" s="305" t="e">
        <f t="shared" si="26"/>
        <v>#VALUE!</v>
      </c>
      <c r="J108" s="305" t="e">
        <f t="shared" si="26"/>
        <v>#VALUE!</v>
      </c>
      <c r="K108" s="305" t="e">
        <f t="shared" si="26"/>
        <v>#VALUE!</v>
      </c>
      <c r="L108" s="305" t="e">
        <f t="shared" si="26"/>
        <v>#VALUE!</v>
      </c>
      <c r="M108" s="305" t="e">
        <f t="shared" si="26"/>
        <v>#VALUE!</v>
      </c>
      <c r="N108" s="305" t="e">
        <f t="shared" si="26"/>
        <v>#VALUE!</v>
      </c>
      <c r="O108" s="305" t="e">
        <f t="shared" si="26"/>
        <v>#VALUE!</v>
      </c>
      <c r="P108" s="305" t="e">
        <f t="shared" si="26"/>
        <v>#VALUE!</v>
      </c>
      <c r="Q108" s="305" t="e">
        <f t="shared" si="26"/>
        <v>#VALUE!</v>
      </c>
      <c r="R108" s="305" t="e">
        <f t="shared" si="26"/>
        <v>#VALUE!</v>
      </c>
      <c r="S108" s="305" t="e">
        <f t="shared" si="26"/>
        <v>#VALUE!</v>
      </c>
      <c r="T108" s="305" t="e">
        <f t="shared" si="26"/>
        <v>#VALUE!</v>
      </c>
      <c r="U108" s="305" t="e">
        <f t="shared" si="26"/>
        <v>#VALUE!</v>
      </c>
      <c r="V108" s="305" t="e">
        <f t="shared" si="26"/>
        <v>#VALUE!</v>
      </c>
      <c r="W108" s="305" t="e">
        <f t="shared" si="26"/>
        <v>#VALUE!</v>
      </c>
      <c r="X108" s="305" t="e">
        <f t="shared" si="26"/>
        <v>#VALUE!</v>
      </c>
      <c r="Y108" s="305" t="e">
        <f t="shared" si="26"/>
        <v>#VALUE!</v>
      </c>
      <c r="Z108" s="305" t="e">
        <f t="shared" si="26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6"/>
        <v>#VALUE!</v>
      </c>
      <c r="J109" s="305" t="e">
        <f t="shared" si="26"/>
        <v>#VALUE!</v>
      </c>
      <c r="K109" s="305" t="e">
        <f t="shared" si="26"/>
        <v>#VALUE!</v>
      </c>
      <c r="L109" s="305" t="e">
        <f t="shared" si="26"/>
        <v>#VALUE!</v>
      </c>
      <c r="M109" s="305" t="e">
        <f t="shared" si="26"/>
        <v>#VALUE!</v>
      </c>
      <c r="N109" s="305" t="e">
        <f t="shared" si="26"/>
        <v>#VALUE!</v>
      </c>
      <c r="O109" s="305" t="e">
        <f t="shared" si="26"/>
        <v>#VALUE!</v>
      </c>
      <c r="P109" s="305" t="e">
        <f t="shared" si="26"/>
        <v>#VALUE!</v>
      </c>
      <c r="Q109" s="305" t="e">
        <f t="shared" si="26"/>
        <v>#VALUE!</v>
      </c>
      <c r="R109" s="305" t="e">
        <f t="shared" si="26"/>
        <v>#VALUE!</v>
      </c>
      <c r="S109" s="305" t="e">
        <f t="shared" si="26"/>
        <v>#VALUE!</v>
      </c>
      <c r="T109" s="305" t="e">
        <f t="shared" si="26"/>
        <v>#VALUE!</v>
      </c>
      <c r="U109" s="305" t="e">
        <f t="shared" si="26"/>
        <v>#VALUE!</v>
      </c>
      <c r="V109" s="305" t="e">
        <f t="shared" si="26"/>
        <v>#VALUE!</v>
      </c>
      <c r="W109" s="305" t="e">
        <f t="shared" si="26"/>
        <v>#VALUE!</v>
      </c>
      <c r="X109" s="305" t="e">
        <f t="shared" si="26"/>
        <v>#VALUE!</v>
      </c>
      <c r="Y109" s="305" t="e">
        <f t="shared" si="26"/>
        <v>#VALUE!</v>
      </c>
      <c r="Z109" s="305" t="e">
        <f t="shared" si="26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6"/>
        <v>#VALUE!</v>
      </c>
      <c r="K110" s="305" t="e">
        <f t="shared" si="26"/>
        <v>#VALUE!</v>
      </c>
      <c r="L110" s="305" t="e">
        <f t="shared" si="26"/>
        <v>#VALUE!</v>
      </c>
      <c r="M110" s="305" t="e">
        <f t="shared" si="26"/>
        <v>#VALUE!</v>
      </c>
      <c r="N110" s="305" t="e">
        <f t="shared" si="26"/>
        <v>#VALUE!</v>
      </c>
      <c r="O110" s="305" t="e">
        <f t="shared" si="26"/>
        <v>#VALUE!</v>
      </c>
      <c r="P110" s="305" t="e">
        <f t="shared" si="26"/>
        <v>#VALUE!</v>
      </c>
      <c r="Q110" s="305" t="e">
        <f t="shared" si="26"/>
        <v>#VALUE!</v>
      </c>
      <c r="R110" s="305" t="e">
        <f t="shared" si="26"/>
        <v>#VALUE!</v>
      </c>
      <c r="S110" s="305" t="e">
        <f t="shared" si="26"/>
        <v>#VALUE!</v>
      </c>
      <c r="T110" s="305" t="e">
        <f t="shared" si="26"/>
        <v>#VALUE!</v>
      </c>
      <c r="U110" s="305" t="e">
        <f t="shared" si="26"/>
        <v>#VALUE!</v>
      </c>
      <c r="V110" s="305" t="e">
        <f t="shared" si="26"/>
        <v>#VALUE!</v>
      </c>
      <c r="W110" s="305" t="e">
        <f t="shared" si="26"/>
        <v>#VALUE!</v>
      </c>
      <c r="X110" s="305" t="e">
        <f t="shared" si="26"/>
        <v>#VALUE!</v>
      </c>
      <c r="Y110" s="305" t="e">
        <f t="shared" si="26"/>
        <v>#VALUE!</v>
      </c>
      <c r="Z110" s="305" t="e">
        <f t="shared" si="26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6"/>
        <v>#VALUE!</v>
      </c>
      <c r="L111" s="305" t="e">
        <f t="shared" si="26"/>
        <v>#VALUE!</v>
      </c>
      <c r="M111" s="305" t="e">
        <f t="shared" si="26"/>
        <v>#VALUE!</v>
      </c>
      <c r="N111" s="305" t="e">
        <f t="shared" si="26"/>
        <v>#VALUE!</v>
      </c>
      <c r="O111" s="305" t="e">
        <f t="shared" si="26"/>
        <v>#VALUE!</v>
      </c>
      <c r="P111" s="305" t="e">
        <f t="shared" si="26"/>
        <v>#VALUE!</v>
      </c>
      <c r="Q111" s="305" t="e">
        <f t="shared" si="26"/>
        <v>#VALUE!</v>
      </c>
      <c r="R111" s="305" t="e">
        <f t="shared" si="26"/>
        <v>#VALUE!</v>
      </c>
      <c r="S111" s="305" t="e">
        <f t="shared" si="26"/>
        <v>#VALUE!</v>
      </c>
      <c r="T111" s="305" t="e">
        <f t="shared" si="26"/>
        <v>#VALUE!</v>
      </c>
      <c r="U111" s="305" t="e">
        <f t="shared" si="26"/>
        <v>#VALUE!</v>
      </c>
      <c r="V111" s="305" t="e">
        <f t="shared" si="26"/>
        <v>#VALUE!</v>
      </c>
      <c r="W111" s="305" t="e">
        <f t="shared" si="26"/>
        <v>#VALUE!</v>
      </c>
      <c r="X111" s="305" t="e">
        <f t="shared" si="26"/>
        <v>#VALUE!</v>
      </c>
      <c r="Y111" s="305" t="e">
        <f t="shared" si="26"/>
        <v>#VALUE!</v>
      </c>
      <c r="Z111" s="305" t="e">
        <f t="shared" si="26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6"/>
        <v>#VALUE!</v>
      </c>
      <c r="M112" s="305" t="e">
        <f t="shared" si="26"/>
        <v>#VALUE!</v>
      </c>
      <c r="N112" s="305" t="e">
        <f t="shared" si="26"/>
        <v>#VALUE!</v>
      </c>
      <c r="O112" s="305" t="e">
        <f t="shared" si="26"/>
        <v>#VALUE!</v>
      </c>
      <c r="P112" s="305" t="e">
        <f t="shared" si="26"/>
        <v>#VALUE!</v>
      </c>
      <c r="Q112" s="305" t="e">
        <f t="shared" si="26"/>
        <v>#VALUE!</v>
      </c>
      <c r="R112" s="305" t="e">
        <f t="shared" si="26"/>
        <v>#VALUE!</v>
      </c>
      <c r="S112" s="305" t="e">
        <f t="shared" si="26"/>
        <v>#VALUE!</v>
      </c>
      <c r="T112" s="305" t="e">
        <f t="shared" si="26"/>
        <v>#VALUE!</v>
      </c>
      <c r="U112" s="305" t="e">
        <f t="shared" si="26"/>
        <v>#VALUE!</v>
      </c>
      <c r="V112" s="305" t="e">
        <f t="shared" si="26"/>
        <v>#VALUE!</v>
      </c>
      <c r="W112" s="305" t="e">
        <f t="shared" si="26"/>
        <v>#VALUE!</v>
      </c>
      <c r="X112" s="305" t="e">
        <f t="shared" si="26"/>
        <v>#VALUE!</v>
      </c>
      <c r="Y112" s="305" t="e">
        <f t="shared" si="26"/>
        <v>#VALUE!</v>
      </c>
      <c r="Z112" s="305" t="e">
        <f t="shared" si="26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6"/>
        <v>#VALUE!</v>
      </c>
      <c r="N113" s="305" t="e">
        <f t="shared" si="26"/>
        <v>#VALUE!</v>
      </c>
      <c r="O113" s="305" t="e">
        <f t="shared" si="26"/>
        <v>#VALUE!</v>
      </c>
      <c r="P113" s="305" t="e">
        <f t="shared" si="26"/>
        <v>#VALUE!</v>
      </c>
      <c r="Q113" s="305" t="e">
        <f t="shared" si="26"/>
        <v>#VALUE!</v>
      </c>
      <c r="R113" s="305" t="e">
        <f t="shared" si="26"/>
        <v>#VALUE!</v>
      </c>
      <c r="S113" s="305" t="e">
        <f t="shared" si="26"/>
        <v>#VALUE!</v>
      </c>
      <c r="T113" s="305" t="e">
        <f t="shared" si="26"/>
        <v>#VALUE!</v>
      </c>
      <c r="U113" s="305" t="e">
        <f t="shared" si="26"/>
        <v>#VALUE!</v>
      </c>
      <c r="V113" s="305" t="e">
        <f t="shared" si="26"/>
        <v>#VALUE!</v>
      </c>
      <c r="W113" s="305" t="e">
        <f t="shared" si="26"/>
        <v>#VALUE!</v>
      </c>
      <c r="X113" s="305" t="e">
        <f t="shared" si="26"/>
        <v>#VALUE!</v>
      </c>
      <c r="Y113" s="305" t="e">
        <f t="shared" si="26"/>
        <v>#VALUE!</v>
      </c>
      <c r="Z113" s="305" t="e">
        <f t="shared" si="26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7">SUM(D83:D113)</f>
        <v>#VALUE!</v>
      </c>
      <c r="E114" s="328" t="e">
        <f t="shared" si="27"/>
        <v>#VALUE!</v>
      </c>
      <c r="F114" s="328" t="e">
        <f t="shared" si="27"/>
        <v>#VALUE!</v>
      </c>
      <c r="G114" s="328" t="e">
        <f t="shared" si="27"/>
        <v>#VALUE!</v>
      </c>
      <c r="H114" s="328" t="e">
        <f t="shared" si="27"/>
        <v>#VALUE!</v>
      </c>
      <c r="I114" s="328" t="e">
        <f t="shared" si="27"/>
        <v>#VALUE!</v>
      </c>
      <c r="J114" s="328" t="e">
        <f t="shared" si="27"/>
        <v>#VALUE!</v>
      </c>
      <c r="K114" s="328" t="e">
        <f t="shared" si="27"/>
        <v>#VALUE!</v>
      </c>
      <c r="L114" s="328" t="e">
        <f t="shared" si="27"/>
        <v>#VALUE!</v>
      </c>
      <c r="M114" s="328" t="e">
        <f t="shared" si="27"/>
        <v>#VALUE!</v>
      </c>
      <c r="N114" s="328" t="e">
        <f t="shared" si="27"/>
        <v>#VALUE!</v>
      </c>
      <c r="O114" s="328" t="e">
        <f t="shared" si="27"/>
        <v>#VALUE!</v>
      </c>
      <c r="P114" s="328" t="e">
        <f t="shared" si="27"/>
        <v>#VALUE!</v>
      </c>
      <c r="Q114" s="328" t="e">
        <f t="shared" si="27"/>
        <v>#VALUE!</v>
      </c>
      <c r="R114" s="328" t="e">
        <f t="shared" si="27"/>
        <v>#VALUE!</v>
      </c>
      <c r="S114" s="328" t="e">
        <f t="shared" si="27"/>
        <v>#VALUE!</v>
      </c>
      <c r="T114" s="328" t="e">
        <f t="shared" si="27"/>
        <v>#VALUE!</v>
      </c>
      <c r="U114" s="328" t="e">
        <f t="shared" si="27"/>
        <v>#VALUE!</v>
      </c>
      <c r="V114" s="328" t="e">
        <f t="shared" si="27"/>
        <v>#VALUE!</v>
      </c>
      <c r="W114" s="328" t="e">
        <f t="shared" si="27"/>
        <v>#VALUE!</v>
      </c>
      <c r="X114" s="328" t="e">
        <f t="shared" si="27"/>
        <v>#VALUE!</v>
      </c>
      <c r="Y114" s="328" t="e">
        <f t="shared" si="27"/>
        <v>#VALUE!</v>
      </c>
      <c r="Z114" s="328" t="e">
        <f t="shared" si="27"/>
        <v>#VALUE!</v>
      </c>
      <c r="AA114" s="328" t="e">
        <f t="shared" si="27"/>
        <v>#VALUE!</v>
      </c>
      <c r="AB114" s="328" t="e">
        <f t="shared" si="27"/>
        <v>#VALUE!</v>
      </c>
      <c r="AC114" s="328" t="e">
        <f t="shared" si="27"/>
        <v>#VALUE!</v>
      </c>
      <c r="AD114" s="328" t="e">
        <f t="shared" si="27"/>
        <v>#VALUE!</v>
      </c>
      <c r="AE114" s="328" t="e">
        <f t="shared" si="27"/>
        <v>#VALUE!</v>
      </c>
      <c r="AF114" s="329" t="e">
        <f t="shared" si="27"/>
        <v>#VALUE!</v>
      </c>
      <c r="AG114" s="329" t="e">
        <f t="shared" si="27"/>
        <v>#VALUE!</v>
      </c>
      <c r="AH114" s="315" t="e">
        <f t="shared" si="27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8">D119+1</f>
        <v>2</v>
      </c>
      <c r="F119" s="302">
        <f t="shared" si="28"/>
        <v>3</v>
      </c>
      <c r="G119" s="302">
        <f t="shared" si="28"/>
        <v>4</v>
      </c>
      <c r="H119" s="302">
        <f t="shared" si="28"/>
        <v>5</v>
      </c>
      <c r="I119" s="302">
        <f t="shared" si="28"/>
        <v>6</v>
      </c>
      <c r="J119" s="302">
        <f t="shared" si="28"/>
        <v>7</v>
      </c>
      <c r="K119" s="302">
        <f t="shared" si="28"/>
        <v>8</v>
      </c>
      <c r="L119" s="302">
        <f t="shared" si="28"/>
        <v>9</v>
      </c>
      <c r="M119" s="302">
        <f t="shared" si="28"/>
        <v>10</v>
      </c>
      <c r="N119" s="302">
        <f t="shared" si="28"/>
        <v>11</v>
      </c>
      <c r="O119" s="302">
        <f t="shared" si="28"/>
        <v>12</v>
      </c>
      <c r="P119" s="302">
        <f t="shared" si="28"/>
        <v>13</v>
      </c>
      <c r="Q119" s="302">
        <f t="shared" si="28"/>
        <v>14</v>
      </c>
      <c r="R119" s="302">
        <f t="shared" si="28"/>
        <v>15</v>
      </c>
      <c r="S119" s="302">
        <f t="shared" si="28"/>
        <v>16</v>
      </c>
      <c r="T119" s="302">
        <f t="shared" si="28"/>
        <v>17</v>
      </c>
      <c r="U119" s="302">
        <f t="shared" si="28"/>
        <v>18</v>
      </c>
      <c r="V119" s="302">
        <f t="shared" si="28"/>
        <v>19</v>
      </c>
      <c r="W119" s="302">
        <f t="shared" si="28"/>
        <v>20</v>
      </c>
      <c r="X119" s="302">
        <f t="shared" si="28"/>
        <v>21</v>
      </c>
      <c r="Y119" s="302">
        <f t="shared" si="28"/>
        <v>22</v>
      </c>
      <c r="Z119" s="302">
        <f t="shared" si="28"/>
        <v>23</v>
      </c>
      <c r="AA119" s="302">
        <f t="shared" si="28"/>
        <v>24</v>
      </c>
      <c r="AB119" s="302">
        <f t="shared" si="28"/>
        <v>25</v>
      </c>
      <c r="AC119" s="302">
        <f t="shared" si="28"/>
        <v>26</v>
      </c>
      <c r="AD119" s="302">
        <f t="shared" si="28"/>
        <v>27</v>
      </c>
      <c r="AE119" s="302">
        <f t="shared" si="28"/>
        <v>28</v>
      </c>
      <c r="AF119" s="302">
        <f t="shared" si="28"/>
        <v>29</v>
      </c>
      <c r="AG119" s="302">
        <f t="shared" si="28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9">SUM(D120:AG120)</f>
        <v>0</v>
      </c>
    </row>
    <row r="121" spans="1:34">
      <c r="C121" s="304">
        <f t="shared" ref="C121:C150" si="30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9"/>
        <v>0</v>
      </c>
    </row>
    <row r="122" spans="1:34">
      <c r="C122" s="304">
        <f t="shared" si="30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9"/>
        <v>#VALUE!</v>
      </c>
    </row>
    <row r="123" spans="1:34">
      <c r="C123" s="304">
        <f t="shared" si="30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9"/>
        <v>#VALUE!</v>
      </c>
    </row>
    <row r="124" spans="1:34">
      <c r="C124" s="304">
        <f t="shared" si="30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9"/>
        <v>#VALUE!</v>
      </c>
    </row>
    <row r="125" spans="1:34">
      <c r="C125" s="304">
        <f t="shared" si="30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9"/>
        <v>#VALUE!</v>
      </c>
    </row>
    <row r="126" spans="1:34">
      <c r="C126" s="304">
        <f t="shared" si="30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9"/>
        <v>#VALUE!</v>
      </c>
    </row>
    <row r="127" spans="1:34">
      <c r="C127" s="304">
        <f t="shared" si="30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9"/>
        <v>#VALUE!</v>
      </c>
    </row>
    <row r="128" spans="1:34">
      <c r="C128" s="304">
        <f t="shared" si="30"/>
        <v>8</v>
      </c>
      <c r="D128" s="305" t="e">
        <f t="shared" ref="D128:O139" si="31">D127</f>
        <v>#VALUE!</v>
      </c>
      <c r="E128" s="305" t="e">
        <f t="shared" si="31"/>
        <v>#VALUE!</v>
      </c>
      <c r="F128" s="305" t="e">
        <f t="shared" si="31"/>
        <v>#VALUE!</v>
      </c>
      <c r="G128" s="305" t="e">
        <f t="shared" si="31"/>
        <v>#VALUE!</v>
      </c>
      <c r="H128" s="305" t="e">
        <f t="shared" si="31"/>
        <v>#VALUE!</v>
      </c>
      <c r="I128" s="305" t="e">
        <f t="shared" si="31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9"/>
        <v>#VALUE!</v>
      </c>
    </row>
    <row r="129" spans="3:34">
      <c r="C129" s="304">
        <f t="shared" si="30"/>
        <v>9</v>
      </c>
      <c r="D129" s="305" t="e">
        <f t="shared" si="31"/>
        <v>#VALUE!</v>
      </c>
      <c r="E129" s="305" t="e">
        <f t="shared" si="31"/>
        <v>#VALUE!</v>
      </c>
      <c r="F129" s="305" t="e">
        <f t="shared" si="31"/>
        <v>#VALUE!</v>
      </c>
      <c r="G129" s="305" t="e">
        <f t="shared" si="31"/>
        <v>#VALUE!</v>
      </c>
      <c r="H129" s="305" t="e">
        <f t="shared" si="31"/>
        <v>#VALUE!</v>
      </c>
      <c r="I129" s="305" t="e">
        <f t="shared" si="31"/>
        <v>#VALUE!</v>
      </c>
      <c r="J129" s="305" t="e">
        <f t="shared" si="31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9"/>
        <v>#VALUE!</v>
      </c>
    </row>
    <row r="130" spans="3:34">
      <c r="C130" s="304">
        <f t="shared" si="30"/>
        <v>10</v>
      </c>
      <c r="D130" s="305" t="e">
        <f t="shared" si="31"/>
        <v>#VALUE!</v>
      </c>
      <c r="E130" s="305" t="e">
        <f t="shared" si="31"/>
        <v>#VALUE!</v>
      </c>
      <c r="F130" s="305" t="e">
        <f t="shared" si="31"/>
        <v>#VALUE!</v>
      </c>
      <c r="G130" s="305" t="e">
        <f t="shared" si="31"/>
        <v>#VALUE!</v>
      </c>
      <c r="H130" s="305" t="e">
        <f t="shared" si="31"/>
        <v>#VALUE!</v>
      </c>
      <c r="I130" s="305" t="e">
        <f t="shared" si="31"/>
        <v>#VALUE!</v>
      </c>
      <c r="J130" s="305" t="e">
        <f t="shared" si="31"/>
        <v>#VALUE!</v>
      </c>
      <c r="K130" s="305" t="e">
        <f t="shared" si="31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9"/>
        <v>#VALUE!</v>
      </c>
    </row>
    <row r="131" spans="3:34">
      <c r="C131" s="304">
        <f t="shared" si="30"/>
        <v>11</v>
      </c>
      <c r="D131" s="305" t="e">
        <f t="shared" si="31"/>
        <v>#VALUE!</v>
      </c>
      <c r="E131" s="305" t="e">
        <f t="shared" si="31"/>
        <v>#VALUE!</v>
      </c>
      <c r="F131" s="305" t="e">
        <f t="shared" si="31"/>
        <v>#VALUE!</v>
      </c>
      <c r="G131" s="305" t="e">
        <f t="shared" si="31"/>
        <v>#VALUE!</v>
      </c>
      <c r="H131" s="305" t="e">
        <f t="shared" si="31"/>
        <v>#VALUE!</v>
      </c>
      <c r="I131" s="305" t="e">
        <f t="shared" si="31"/>
        <v>#VALUE!</v>
      </c>
      <c r="J131" s="305" t="e">
        <f t="shared" si="31"/>
        <v>#VALUE!</v>
      </c>
      <c r="K131" s="305" t="e">
        <f t="shared" si="31"/>
        <v>#VALUE!</v>
      </c>
      <c r="L131" s="305" t="e">
        <f t="shared" si="31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9"/>
        <v>#VALUE!</v>
      </c>
    </row>
    <row r="132" spans="3:34">
      <c r="C132" s="304">
        <f t="shared" si="30"/>
        <v>12</v>
      </c>
      <c r="D132" s="305" t="e">
        <f t="shared" si="31"/>
        <v>#VALUE!</v>
      </c>
      <c r="E132" s="305" t="e">
        <f t="shared" si="31"/>
        <v>#VALUE!</v>
      </c>
      <c r="F132" s="305" t="e">
        <f t="shared" si="31"/>
        <v>#VALUE!</v>
      </c>
      <c r="G132" s="305" t="e">
        <f t="shared" si="31"/>
        <v>#VALUE!</v>
      </c>
      <c r="H132" s="305" t="e">
        <f t="shared" si="31"/>
        <v>#VALUE!</v>
      </c>
      <c r="I132" s="305" t="e">
        <f t="shared" si="31"/>
        <v>#VALUE!</v>
      </c>
      <c r="J132" s="305" t="e">
        <f t="shared" si="31"/>
        <v>#VALUE!</v>
      </c>
      <c r="K132" s="305" t="e">
        <f t="shared" si="31"/>
        <v>#VALUE!</v>
      </c>
      <c r="L132" s="305" t="e">
        <f t="shared" si="31"/>
        <v>#VALUE!</v>
      </c>
      <c r="M132" s="305" t="e">
        <f t="shared" si="31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9"/>
        <v>#VALUE!</v>
      </c>
    </row>
    <row r="133" spans="3:34">
      <c r="C133" s="304">
        <f t="shared" si="30"/>
        <v>13</v>
      </c>
      <c r="D133" s="305" t="e">
        <f t="shared" si="31"/>
        <v>#VALUE!</v>
      </c>
      <c r="E133" s="305" t="e">
        <f t="shared" si="31"/>
        <v>#VALUE!</v>
      </c>
      <c r="F133" s="305" t="e">
        <f t="shared" si="31"/>
        <v>#VALUE!</v>
      </c>
      <c r="G133" s="305" t="e">
        <f t="shared" si="31"/>
        <v>#VALUE!</v>
      </c>
      <c r="H133" s="305" t="e">
        <f t="shared" si="31"/>
        <v>#VALUE!</v>
      </c>
      <c r="I133" s="305" t="e">
        <f t="shared" si="31"/>
        <v>#VALUE!</v>
      </c>
      <c r="J133" s="305" t="e">
        <f t="shared" si="31"/>
        <v>#VALUE!</v>
      </c>
      <c r="K133" s="305" t="e">
        <f t="shared" si="31"/>
        <v>#VALUE!</v>
      </c>
      <c r="L133" s="305" t="e">
        <f t="shared" si="31"/>
        <v>#VALUE!</v>
      </c>
      <c r="M133" s="305" t="e">
        <f t="shared" si="31"/>
        <v>#VALUE!</v>
      </c>
      <c r="N133" s="305" t="e">
        <f t="shared" si="31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9"/>
        <v>#VALUE!</v>
      </c>
    </row>
    <row r="134" spans="3:34">
      <c r="C134" s="304">
        <f t="shared" si="30"/>
        <v>14</v>
      </c>
      <c r="D134" s="305" t="e">
        <f t="shared" si="31"/>
        <v>#VALUE!</v>
      </c>
      <c r="E134" s="305" t="e">
        <f t="shared" si="31"/>
        <v>#VALUE!</v>
      </c>
      <c r="F134" s="305" t="e">
        <f t="shared" si="31"/>
        <v>#VALUE!</v>
      </c>
      <c r="G134" s="305" t="e">
        <f t="shared" si="31"/>
        <v>#VALUE!</v>
      </c>
      <c r="H134" s="305" t="e">
        <f t="shared" si="31"/>
        <v>#VALUE!</v>
      </c>
      <c r="I134" s="305" t="e">
        <f t="shared" si="31"/>
        <v>#VALUE!</v>
      </c>
      <c r="J134" s="305" t="e">
        <f t="shared" si="31"/>
        <v>#VALUE!</v>
      </c>
      <c r="K134" s="305" t="e">
        <f t="shared" si="31"/>
        <v>#VALUE!</v>
      </c>
      <c r="L134" s="305" t="e">
        <f t="shared" si="31"/>
        <v>#VALUE!</v>
      </c>
      <c r="M134" s="305" t="e">
        <f t="shared" si="31"/>
        <v>#VALUE!</v>
      </c>
      <c r="N134" s="305" t="e">
        <f t="shared" si="31"/>
        <v>#VALUE!</v>
      </c>
      <c r="O134" s="305" t="e">
        <f t="shared" si="31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9"/>
        <v>#VALUE!</v>
      </c>
    </row>
    <row r="135" spans="3:34">
      <c r="C135" s="304">
        <f t="shared" si="30"/>
        <v>15</v>
      </c>
      <c r="D135" s="305" t="e">
        <f t="shared" si="31"/>
        <v>#VALUE!</v>
      </c>
      <c r="E135" s="305" t="e">
        <f t="shared" si="31"/>
        <v>#VALUE!</v>
      </c>
      <c r="F135" s="305" t="e">
        <f t="shared" si="31"/>
        <v>#VALUE!</v>
      </c>
      <c r="G135" s="305" t="e">
        <f t="shared" si="31"/>
        <v>#VALUE!</v>
      </c>
      <c r="H135" s="305" t="e">
        <f t="shared" si="31"/>
        <v>#VALUE!</v>
      </c>
      <c r="I135" s="305" t="e">
        <f t="shared" si="31"/>
        <v>#VALUE!</v>
      </c>
      <c r="J135" s="305" t="e">
        <f t="shared" si="31"/>
        <v>#VALUE!</v>
      </c>
      <c r="K135" s="305" t="e">
        <f t="shared" si="31"/>
        <v>#VALUE!</v>
      </c>
      <c r="L135" s="305" t="e">
        <f t="shared" si="31"/>
        <v>#VALUE!</v>
      </c>
      <c r="M135" s="305" t="e">
        <f t="shared" si="31"/>
        <v>#VALUE!</v>
      </c>
      <c r="N135" s="305" t="e">
        <f t="shared" si="31"/>
        <v>#VALUE!</v>
      </c>
      <c r="O135" s="305" t="e">
        <f t="shared" si="31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9"/>
        <v>#VALUE!</v>
      </c>
    </row>
    <row r="136" spans="3:34">
      <c r="C136" s="304">
        <f t="shared" si="30"/>
        <v>16</v>
      </c>
      <c r="D136" s="305" t="e">
        <f t="shared" si="31"/>
        <v>#VALUE!</v>
      </c>
      <c r="E136" s="305" t="e">
        <f t="shared" si="31"/>
        <v>#VALUE!</v>
      </c>
      <c r="F136" s="305" t="e">
        <f t="shared" si="31"/>
        <v>#VALUE!</v>
      </c>
      <c r="G136" s="305" t="e">
        <f t="shared" si="31"/>
        <v>#VALUE!</v>
      </c>
      <c r="H136" s="305" t="e">
        <f t="shared" si="31"/>
        <v>#VALUE!</v>
      </c>
      <c r="I136" s="305" t="e">
        <f t="shared" si="31"/>
        <v>#VALUE!</v>
      </c>
      <c r="J136" s="305" t="e">
        <f t="shared" si="31"/>
        <v>#VALUE!</v>
      </c>
      <c r="K136" s="305" t="e">
        <f t="shared" si="31"/>
        <v>#VALUE!</v>
      </c>
      <c r="L136" s="305" t="e">
        <f t="shared" si="31"/>
        <v>#VALUE!</v>
      </c>
      <c r="M136" s="305" t="e">
        <f t="shared" si="31"/>
        <v>#VALUE!</v>
      </c>
      <c r="N136" s="305" t="e">
        <f t="shared" si="31"/>
        <v>#VALUE!</v>
      </c>
      <c r="O136" s="305" t="e">
        <f t="shared" si="31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9"/>
        <v>#VALUE!</v>
      </c>
    </row>
    <row r="137" spans="3:34">
      <c r="C137" s="304">
        <f t="shared" si="30"/>
        <v>17</v>
      </c>
      <c r="D137" s="305"/>
      <c r="E137" s="305" t="e">
        <f t="shared" si="31"/>
        <v>#VALUE!</v>
      </c>
      <c r="F137" s="305" t="e">
        <f t="shared" si="31"/>
        <v>#VALUE!</v>
      </c>
      <c r="G137" s="305" t="e">
        <f t="shared" si="31"/>
        <v>#VALUE!</v>
      </c>
      <c r="H137" s="305" t="e">
        <f t="shared" si="31"/>
        <v>#VALUE!</v>
      </c>
      <c r="I137" s="305" t="e">
        <f t="shared" si="31"/>
        <v>#VALUE!</v>
      </c>
      <c r="J137" s="305" t="e">
        <f t="shared" si="31"/>
        <v>#VALUE!</v>
      </c>
      <c r="K137" s="305" t="e">
        <f t="shared" si="31"/>
        <v>#VALUE!</v>
      </c>
      <c r="L137" s="305" t="e">
        <f t="shared" si="31"/>
        <v>#VALUE!</v>
      </c>
      <c r="M137" s="305" t="e">
        <f t="shared" si="31"/>
        <v>#VALUE!</v>
      </c>
      <c r="N137" s="305" t="e">
        <f t="shared" si="31"/>
        <v>#VALUE!</v>
      </c>
      <c r="O137" s="305" t="e">
        <f t="shared" si="31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9"/>
        <v>#VALUE!</v>
      </c>
    </row>
    <row r="138" spans="3:34">
      <c r="C138" s="304">
        <f t="shared" si="30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1"/>
        <v>#VALUE!</v>
      </c>
      <c r="L138" s="305" t="e">
        <f t="shared" si="31"/>
        <v>#VALUE!</v>
      </c>
      <c r="M138" s="305" t="e">
        <f t="shared" si="31"/>
        <v>#VALUE!</v>
      </c>
      <c r="N138" s="305" t="e">
        <f t="shared" si="31"/>
        <v>#VALUE!</v>
      </c>
      <c r="O138" s="305" t="e">
        <f t="shared" si="31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9"/>
        <v>#VALUE!</v>
      </c>
    </row>
    <row r="139" spans="3:34">
      <c r="C139" s="304">
        <f t="shared" si="30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1"/>
        <v>#VALUE!</v>
      </c>
      <c r="L139" s="305" t="e">
        <f t="shared" si="31"/>
        <v>#VALUE!</v>
      </c>
      <c r="M139" s="305" t="e">
        <f t="shared" si="31"/>
        <v>#VALUE!</v>
      </c>
      <c r="N139" s="305" t="e">
        <f t="shared" si="31"/>
        <v>#VALUE!</v>
      </c>
      <c r="O139" s="305" t="e">
        <f t="shared" si="31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2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9"/>
        <v>#VALUE!</v>
      </c>
    </row>
    <row r="140" spans="3:34">
      <c r="C140" s="304">
        <f t="shared" si="30"/>
        <v>20</v>
      </c>
      <c r="D140" s="305"/>
      <c r="E140" s="305"/>
      <c r="F140" s="305"/>
      <c r="G140" s="305"/>
      <c r="H140" s="305" t="e">
        <f t="shared" ref="H140:R150" si="33">H139</f>
        <v>#VALUE!</v>
      </c>
      <c r="I140" s="305" t="e">
        <f t="shared" si="33"/>
        <v>#VALUE!</v>
      </c>
      <c r="J140" s="305" t="e">
        <f t="shared" si="33"/>
        <v>#VALUE!</v>
      </c>
      <c r="K140" s="305" t="e">
        <f t="shared" si="33"/>
        <v>#VALUE!</v>
      </c>
      <c r="L140" s="305" t="e">
        <f t="shared" si="33"/>
        <v>#VALUE!</v>
      </c>
      <c r="M140" s="305" t="e">
        <f t="shared" si="33"/>
        <v>#VALUE!</v>
      </c>
      <c r="N140" s="305" t="e">
        <f t="shared" si="33"/>
        <v>#VALUE!</v>
      </c>
      <c r="O140" s="305" t="e">
        <f t="shared" si="33"/>
        <v>#VALUE!</v>
      </c>
      <c r="P140" s="305" t="e">
        <f t="shared" si="33"/>
        <v>#VALUE!</v>
      </c>
      <c r="Q140" s="305" t="e">
        <f t="shared" si="33"/>
        <v>#VALUE!</v>
      </c>
      <c r="R140" s="305" t="e">
        <f t="shared" si="33"/>
        <v>#VALUE!</v>
      </c>
      <c r="S140" s="305" t="e">
        <f t="shared" si="32"/>
        <v>#VALUE!</v>
      </c>
      <c r="T140" s="305" t="e">
        <f t="shared" si="32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9"/>
        <v>#VALUE!</v>
      </c>
    </row>
    <row r="141" spans="3:34">
      <c r="C141" s="304">
        <f t="shared" si="30"/>
        <v>21</v>
      </c>
      <c r="D141" s="305"/>
      <c r="E141" s="305"/>
      <c r="F141" s="305"/>
      <c r="G141" s="305"/>
      <c r="H141" s="305"/>
      <c r="I141" s="305" t="e">
        <f t="shared" si="33"/>
        <v>#VALUE!</v>
      </c>
      <c r="J141" s="305" t="e">
        <f t="shared" si="33"/>
        <v>#VALUE!</v>
      </c>
      <c r="K141" s="305" t="e">
        <f t="shared" si="33"/>
        <v>#VALUE!</v>
      </c>
      <c r="L141" s="305" t="e">
        <f t="shared" si="33"/>
        <v>#VALUE!</v>
      </c>
      <c r="M141" s="305" t="e">
        <f t="shared" si="33"/>
        <v>#VALUE!</v>
      </c>
      <c r="N141" s="305" t="e">
        <f t="shared" si="33"/>
        <v>#VALUE!</v>
      </c>
      <c r="O141" s="305" t="e">
        <f t="shared" si="33"/>
        <v>#VALUE!</v>
      </c>
      <c r="P141" s="305" t="e">
        <f t="shared" si="33"/>
        <v>#VALUE!</v>
      </c>
      <c r="Q141" s="305" t="e">
        <f t="shared" si="33"/>
        <v>#VALUE!</v>
      </c>
      <c r="R141" s="305" t="e">
        <f t="shared" si="33"/>
        <v>#VALUE!</v>
      </c>
      <c r="S141" s="305" t="e">
        <f t="shared" si="32"/>
        <v>#VALUE!</v>
      </c>
      <c r="T141" s="305" t="e">
        <f t="shared" si="32"/>
        <v>#VALUE!</v>
      </c>
      <c r="U141" s="305" t="e">
        <f t="shared" si="32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9"/>
        <v>#VALUE!</v>
      </c>
    </row>
    <row r="142" spans="3:34">
      <c r="C142" s="330">
        <f t="shared" si="30"/>
        <v>22</v>
      </c>
      <c r="D142" s="305"/>
      <c r="E142" s="305"/>
      <c r="F142" s="305"/>
      <c r="G142" s="305"/>
      <c r="H142" s="305"/>
      <c r="I142" s="305"/>
      <c r="J142" s="305" t="e">
        <f t="shared" si="33"/>
        <v>#VALUE!</v>
      </c>
      <c r="K142" s="305" t="e">
        <f t="shared" si="33"/>
        <v>#VALUE!</v>
      </c>
      <c r="L142" s="305" t="e">
        <f t="shared" si="33"/>
        <v>#VALUE!</v>
      </c>
      <c r="M142" s="305" t="e">
        <f t="shared" si="33"/>
        <v>#VALUE!</v>
      </c>
      <c r="N142" s="305" t="e">
        <f t="shared" si="33"/>
        <v>#VALUE!</v>
      </c>
      <c r="O142" s="305" t="e">
        <f t="shared" si="33"/>
        <v>#VALUE!</v>
      </c>
      <c r="P142" s="305" t="e">
        <f t="shared" si="33"/>
        <v>#VALUE!</v>
      </c>
      <c r="Q142" s="305" t="e">
        <f t="shared" si="33"/>
        <v>#VALUE!</v>
      </c>
      <c r="R142" s="305" t="e">
        <f t="shared" si="33"/>
        <v>#VALUE!</v>
      </c>
      <c r="S142" s="305" t="e">
        <f t="shared" si="32"/>
        <v>#VALUE!</v>
      </c>
      <c r="T142" s="305" t="e">
        <f t="shared" si="32"/>
        <v>#VALUE!</v>
      </c>
      <c r="U142" s="305" t="e">
        <f t="shared" si="32"/>
        <v>#VALUE!</v>
      </c>
      <c r="V142" s="305" t="e">
        <f t="shared" si="32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9"/>
        <v>#VALUE!</v>
      </c>
    </row>
    <row r="143" spans="3:34">
      <c r="C143" s="330">
        <f t="shared" si="30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3"/>
        <v>#VALUE!</v>
      </c>
      <c r="L143" s="305" t="e">
        <f t="shared" si="33"/>
        <v>#VALUE!</v>
      </c>
      <c r="M143" s="305" t="e">
        <f t="shared" si="33"/>
        <v>#VALUE!</v>
      </c>
      <c r="N143" s="305" t="e">
        <f t="shared" si="33"/>
        <v>#VALUE!</v>
      </c>
      <c r="O143" s="305" t="e">
        <f t="shared" si="33"/>
        <v>#VALUE!</v>
      </c>
      <c r="P143" s="305" t="e">
        <f t="shared" si="33"/>
        <v>#VALUE!</v>
      </c>
      <c r="Q143" s="305" t="e">
        <f t="shared" si="33"/>
        <v>#VALUE!</v>
      </c>
      <c r="R143" s="305" t="e">
        <f t="shared" si="33"/>
        <v>#VALUE!</v>
      </c>
      <c r="S143" s="305" t="e">
        <f t="shared" si="32"/>
        <v>#VALUE!</v>
      </c>
      <c r="T143" s="305" t="e">
        <f t="shared" si="32"/>
        <v>#VALUE!</v>
      </c>
      <c r="U143" s="305" t="e">
        <f t="shared" si="32"/>
        <v>#VALUE!</v>
      </c>
      <c r="V143" s="305" t="e">
        <f t="shared" si="32"/>
        <v>#VALUE!</v>
      </c>
      <c r="W143" s="305" t="e">
        <f t="shared" si="32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9"/>
        <v>#VALUE!</v>
      </c>
    </row>
    <row r="144" spans="3:34">
      <c r="C144" s="330">
        <f t="shared" si="30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3"/>
        <v>#VALUE!</v>
      </c>
      <c r="M144" s="305" t="e">
        <f t="shared" si="33"/>
        <v>#VALUE!</v>
      </c>
      <c r="N144" s="305" t="e">
        <f t="shared" si="33"/>
        <v>#VALUE!</v>
      </c>
      <c r="O144" s="305" t="e">
        <f t="shared" si="33"/>
        <v>#VALUE!</v>
      </c>
      <c r="P144" s="305" t="e">
        <f t="shared" si="33"/>
        <v>#VALUE!</v>
      </c>
      <c r="Q144" s="305" t="e">
        <f t="shared" si="33"/>
        <v>#VALUE!</v>
      </c>
      <c r="R144" s="305" t="e">
        <f t="shared" si="33"/>
        <v>#VALUE!</v>
      </c>
      <c r="S144" s="305" t="e">
        <f t="shared" si="32"/>
        <v>#VALUE!</v>
      </c>
      <c r="T144" s="305" t="e">
        <f t="shared" si="32"/>
        <v>#VALUE!</v>
      </c>
      <c r="U144" s="305" t="e">
        <f t="shared" si="32"/>
        <v>#VALUE!</v>
      </c>
      <c r="V144" s="305" t="e">
        <f t="shared" si="32"/>
        <v>#VALUE!</v>
      </c>
      <c r="W144" s="305" t="e">
        <f t="shared" si="32"/>
        <v>#VALUE!</v>
      </c>
      <c r="X144" s="305" t="e">
        <f t="shared" si="32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9"/>
        <v>#VALUE!</v>
      </c>
    </row>
    <row r="145" spans="1:34">
      <c r="C145" s="330">
        <f t="shared" si="30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3"/>
        <v>#VALUE!</v>
      </c>
      <c r="N145" s="305" t="e">
        <f t="shared" si="33"/>
        <v>#VALUE!</v>
      </c>
      <c r="O145" s="305" t="e">
        <f t="shared" si="33"/>
        <v>#VALUE!</v>
      </c>
      <c r="P145" s="305" t="e">
        <f t="shared" si="33"/>
        <v>#VALUE!</v>
      </c>
      <c r="Q145" s="305" t="e">
        <f t="shared" si="33"/>
        <v>#VALUE!</v>
      </c>
      <c r="R145" s="305" t="e">
        <f t="shared" si="33"/>
        <v>#VALUE!</v>
      </c>
      <c r="S145" s="305" t="e">
        <f t="shared" si="32"/>
        <v>#VALUE!</v>
      </c>
      <c r="T145" s="305" t="e">
        <f t="shared" si="32"/>
        <v>#VALUE!</v>
      </c>
      <c r="U145" s="305" t="e">
        <f t="shared" si="32"/>
        <v>#VALUE!</v>
      </c>
      <c r="V145" s="305" t="e">
        <f t="shared" si="32"/>
        <v>#VALUE!</v>
      </c>
      <c r="W145" s="305" t="e">
        <f t="shared" si="32"/>
        <v>#VALUE!</v>
      </c>
      <c r="X145" s="305" t="e">
        <f t="shared" si="32"/>
        <v>#VALUE!</v>
      </c>
      <c r="Y145" s="305" t="e">
        <f t="shared" si="32"/>
        <v>#VALUE!</v>
      </c>
      <c r="Z145" s="305" t="e">
        <f t="shared" si="32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9"/>
        <v>#VALUE!</v>
      </c>
    </row>
    <row r="146" spans="1:34">
      <c r="C146" s="330">
        <f t="shared" si="30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3"/>
        <v>#VALUE!</v>
      </c>
      <c r="O146" s="305" t="e">
        <f t="shared" si="33"/>
        <v>#VALUE!</v>
      </c>
      <c r="P146" s="305" t="e">
        <f t="shared" si="33"/>
        <v>#VALUE!</v>
      </c>
      <c r="Q146" s="305" t="e">
        <f t="shared" si="33"/>
        <v>#VALUE!</v>
      </c>
      <c r="R146" s="305" t="e">
        <f t="shared" si="33"/>
        <v>#VALUE!</v>
      </c>
      <c r="S146" s="305" t="e">
        <f t="shared" si="32"/>
        <v>#VALUE!</v>
      </c>
      <c r="T146" s="305" t="e">
        <f t="shared" si="32"/>
        <v>#VALUE!</v>
      </c>
      <c r="U146" s="305" t="e">
        <f t="shared" si="32"/>
        <v>#VALUE!</v>
      </c>
      <c r="V146" s="305" t="e">
        <f t="shared" si="32"/>
        <v>#VALUE!</v>
      </c>
      <c r="W146" s="305" t="e">
        <f t="shared" si="32"/>
        <v>#VALUE!</v>
      </c>
      <c r="X146" s="305" t="e">
        <f t="shared" si="32"/>
        <v>#VALUE!</v>
      </c>
      <c r="Y146" s="305" t="e">
        <f t="shared" si="32"/>
        <v>#VALUE!</v>
      </c>
      <c r="Z146" s="305" t="e">
        <f t="shared" si="32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9"/>
        <v>#VALUE!</v>
      </c>
    </row>
    <row r="147" spans="1:34">
      <c r="C147" s="330">
        <f t="shared" si="30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3"/>
        <v>#VALUE!</v>
      </c>
      <c r="P147" s="305" t="e">
        <f t="shared" si="33"/>
        <v>#VALUE!</v>
      </c>
      <c r="Q147" s="305" t="e">
        <f t="shared" si="33"/>
        <v>#VALUE!</v>
      </c>
      <c r="R147" s="305" t="e">
        <f t="shared" si="33"/>
        <v>#VALUE!</v>
      </c>
      <c r="S147" s="305" t="e">
        <f t="shared" si="32"/>
        <v>#VALUE!</v>
      </c>
      <c r="T147" s="305" t="e">
        <f t="shared" si="32"/>
        <v>#VALUE!</v>
      </c>
      <c r="U147" s="305" t="e">
        <f t="shared" si="32"/>
        <v>#VALUE!</v>
      </c>
      <c r="V147" s="305" t="e">
        <f t="shared" si="32"/>
        <v>#VALUE!</v>
      </c>
      <c r="W147" s="305" t="e">
        <f t="shared" si="32"/>
        <v>#VALUE!</v>
      </c>
      <c r="X147" s="305" t="e">
        <f t="shared" si="32"/>
        <v>#VALUE!</v>
      </c>
      <c r="Y147" s="305" t="e">
        <f t="shared" si="32"/>
        <v>#VALUE!</v>
      </c>
      <c r="Z147" s="305" t="e">
        <f t="shared" si="32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9"/>
        <v>#VALUE!</v>
      </c>
    </row>
    <row r="148" spans="1:34">
      <c r="C148" s="330">
        <f t="shared" si="30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3"/>
        <v>#VALUE!</v>
      </c>
      <c r="Q148" s="305" t="e">
        <f t="shared" si="33"/>
        <v>#VALUE!</v>
      </c>
      <c r="R148" s="305" t="e">
        <f t="shared" si="33"/>
        <v>#VALUE!</v>
      </c>
      <c r="S148" s="305" t="e">
        <f t="shared" si="32"/>
        <v>#VALUE!</v>
      </c>
      <c r="T148" s="305" t="e">
        <f t="shared" si="32"/>
        <v>#VALUE!</v>
      </c>
      <c r="U148" s="305" t="e">
        <f t="shared" si="32"/>
        <v>#VALUE!</v>
      </c>
      <c r="V148" s="305" t="e">
        <f t="shared" si="32"/>
        <v>#VALUE!</v>
      </c>
      <c r="W148" s="305" t="e">
        <f t="shared" si="32"/>
        <v>#VALUE!</v>
      </c>
      <c r="X148" s="305" t="e">
        <f t="shared" si="32"/>
        <v>#VALUE!</v>
      </c>
      <c r="Y148" s="305" t="e">
        <f t="shared" si="32"/>
        <v>#VALUE!</v>
      </c>
      <c r="Z148" s="305" t="e">
        <f t="shared" si="32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9"/>
        <v>#VALUE!</v>
      </c>
    </row>
    <row r="149" spans="1:34">
      <c r="C149" s="307">
        <f t="shared" si="30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3"/>
        <v>#VALUE!</v>
      </c>
      <c r="R149" s="305" t="e">
        <f t="shared" si="33"/>
        <v>#VALUE!</v>
      </c>
      <c r="S149" s="305" t="e">
        <f t="shared" si="32"/>
        <v>#VALUE!</v>
      </c>
      <c r="T149" s="305" t="e">
        <f t="shared" si="32"/>
        <v>#VALUE!</v>
      </c>
      <c r="U149" s="305" t="e">
        <f t="shared" si="32"/>
        <v>#VALUE!</v>
      </c>
      <c r="V149" s="305" t="e">
        <f t="shared" si="32"/>
        <v>#VALUE!</v>
      </c>
      <c r="W149" s="305" t="e">
        <f t="shared" si="32"/>
        <v>#VALUE!</v>
      </c>
      <c r="X149" s="305" t="e">
        <f t="shared" si="32"/>
        <v>#VALUE!</v>
      </c>
      <c r="Y149" s="305" t="e">
        <f t="shared" si="32"/>
        <v>#VALUE!</v>
      </c>
      <c r="Z149" s="305" t="e">
        <f t="shared" si="32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9"/>
        <v>#VALUE!</v>
      </c>
    </row>
    <row r="150" spans="1:34" ht="13.5" thickBot="1">
      <c r="C150" s="307">
        <f t="shared" si="30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3"/>
        <v>#VALUE!</v>
      </c>
      <c r="S150" s="305" t="e">
        <f t="shared" si="32"/>
        <v>#VALUE!</v>
      </c>
      <c r="T150" s="305" t="e">
        <f t="shared" si="32"/>
        <v>#VALUE!</v>
      </c>
      <c r="U150" s="305" t="e">
        <f t="shared" si="32"/>
        <v>#VALUE!</v>
      </c>
      <c r="V150" s="305" t="e">
        <f t="shared" si="32"/>
        <v>#VALUE!</v>
      </c>
      <c r="W150" s="305" t="e">
        <f t="shared" si="32"/>
        <v>#VALUE!</v>
      </c>
      <c r="X150" s="305" t="e">
        <f t="shared" si="32"/>
        <v>#VALUE!</v>
      </c>
      <c r="Y150" s="305" t="e">
        <f t="shared" si="32"/>
        <v>#VALUE!</v>
      </c>
      <c r="Z150" s="305" t="e">
        <f t="shared" si="32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9"/>
        <v>#VALUE!</v>
      </c>
    </row>
    <row r="151" spans="1:34" ht="14.25" thickTop="1" thickBot="1">
      <c r="C151" s="311" t="s">
        <v>0</v>
      </c>
      <c r="D151" s="328" t="e">
        <f t="shared" ref="D151:AH151" si="34">SUM(D120:D150)</f>
        <v>#VALUE!</v>
      </c>
      <c r="E151" s="328" t="e">
        <f t="shared" si="34"/>
        <v>#VALUE!</v>
      </c>
      <c r="F151" s="328" t="e">
        <f t="shared" si="34"/>
        <v>#VALUE!</v>
      </c>
      <c r="G151" s="328" t="e">
        <f t="shared" si="34"/>
        <v>#VALUE!</v>
      </c>
      <c r="H151" s="328" t="e">
        <f t="shared" si="34"/>
        <v>#VALUE!</v>
      </c>
      <c r="I151" s="328" t="e">
        <f t="shared" si="34"/>
        <v>#VALUE!</v>
      </c>
      <c r="J151" s="328" t="e">
        <f t="shared" si="34"/>
        <v>#VALUE!</v>
      </c>
      <c r="K151" s="328" t="e">
        <f t="shared" si="34"/>
        <v>#VALUE!</v>
      </c>
      <c r="L151" s="328" t="e">
        <f t="shared" si="34"/>
        <v>#VALUE!</v>
      </c>
      <c r="M151" s="328" t="e">
        <f t="shared" si="34"/>
        <v>#VALUE!</v>
      </c>
      <c r="N151" s="328" t="e">
        <f t="shared" si="34"/>
        <v>#VALUE!</v>
      </c>
      <c r="O151" s="328" t="e">
        <f t="shared" si="34"/>
        <v>#VALUE!</v>
      </c>
      <c r="P151" s="328" t="e">
        <f t="shared" si="34"/>
        <v>#VALUE!</v>
      </c>
      <c r="Q151" s="328" t="e">
        <f t="shared" si="34"/>
        <v>#VALUE!</v>
      </c>
      <c r="R151" s="328" t="e">
        <f t="shared" si="34"/>
        <v>#VALUE!</v>
      </c>
      <c r="S151" s="328" t="e">
        <f t="shared" si="34"/>
        <v>#VALUE!</v>
      </c>
      <c r="T151" s="328" t="e">
        <f t="shared" si="34"/>
        <v>#VALUE!</v>
      </c>
      <c r="U151" s="328" t="e">
        <f t="shared" si="34"/>
        <v>#VALUE!</v>
      </c>
      <c r="V151" s="328" t="e">
        <f t="shared" si="34"/>
        <v>#VALUE!</v>
      </c>
      <c r="W151" s="328" t="e">
        <f t="shared" si="34"/>
        <v>#VALUE!</v>
      </c>
      <c r="X151" s="328" t="e">
        <f t="shared" si="34"/>
        <v>#VALUE!</v>
      </c>
      <c r="Y151" s="328" t="e">
        <f t="shared" si="34"/>
        <v>#VALUE!</v>
      </c>
      <c r="Z151" s="328" t="e">
        <f t="shared" si="34"/>
        <v>#VALUE!</v>
      </c>
      <c r="AA151" s="328" t="e">
        <f t="shared" si="34"/>
        <v>#VALUE!</v>
      </c>
      <c r="AB151" s="328" t="e">
        <f t="shared" si="34"/>
        <v>#VALUE!</v>
      </c>
      <c r="AC151" s="328" t="e">
        <f t="shared" si="34"/>
        <v>#VALUE!</v>
      </c>
      <c r="AD151" s="328" t="e">
        <f t="shared" si="34"/>
        <v>#VALUE!</v>
      </c>
      <c r="AE151" s="328" t="e">
        <f t="shared" si="34"/>
        <v>#VALUE!</v>
      </c>
      <c r="AF151" s="329" t="e">
        <f t="shared" si="34"/>
        <v>#VALUE!</v>
      </c>
      <c r="AG151" s="328">
        <f t="shared" si="34"/>
        <v>0</v>
      </c>
      <c r="AH151" s="315" t="e">
        <f t="shared" si="34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5">D156+1</f>
        <v>2</v>
      </c>
      <c r="F156" s="302">
        <f t="shared" si="35"/>
        <v>3</v>
      </c>
      <c r="G156" s="302">
        <f t="shared" si="35"/>
        <v>4</v>
      </c>
      <c r="H156" s="302">
        <f t="shared" si="35"/>
        <v>5</v>
      </c>
      <c r="I156" s="302">
        <f t="shared" si="35"/>
        <v>6</v>
      </c>
      <c r="J156" s="302">
        <f t="shared" si="35"/>
        <v>7</v>
      </c>
      <c r="K156" s="302">
        <f t="shared" si="35"/>
        <v>8</v>
      </c>
      <c r="L156" s="302">
        <f t="shared" si="35"/>
        <v>9</v>
      </c>
      <c r="M156" s="302">
        <f t="shared" si="35"/>
        <v>10</v>
      </c>
      <c r="N156" s="302">
        <f t="shared" si="35"/>
        <v>11</v>
      </c>
      <c r="O156" s="302">
        <f t="shared" si="35"/>
        <v>12</v>
      </c>
      <c r="P156" s="302">
        <f t="shared" si="35"/>
        <v>13</v>
      </c>
      <c r="Q156" s="302">
        <f t="shared" si="35"/>
        <v>14</v>
      </c>
      <c r="R156" s="302">
        <f t="shared" si="35"/>
        <v>15</v>
      </c>
      <c r="S156" s="302">
        <f t="shared" si="35"/>
        <v>16</v>
      </c>
      <c r="T156" s="302">
        <f t="shared" si="35"/>
        <v>17</v>
      </c>
      <c r="U156" s="302">
        <f t="shared" si="35"/>
        <v>18</v>
      </c>
      <c r="V156" s="302">
        <f t="shared" si="35"/>
        <v>19</v>
      </c>
      <c r="W156" s="302">
        <f t="shared" si="35"/>
        <v>20</v>
      </c>
      <c r="X156" s="302">
        <f t="shared" si="35"/>
        <v>21</v>
      </c>
      <c r="Y156" s="302">
        <f t="shared" si="35"/>
        <v>22</v>
      </c>
      <c r="Z156" s="302">
        <f t="shared" si="35"/>
        <v>23</v>
      </c>
      <c r="AA156" s="302">
        <f t="shared" si="35"/>
        <v>24</v>
      </c>
      <c r="AB156" s="302">
        <f t="shared" si="35"/>
        <v>25</v>
      </c>
      <c r="AC156" s="302">
        <f t="shared" si="35"/>
        <v>26</v>
      </c>
      <c r="AD156" s="302">
        <f t="shared" si="35"/>
        <v>27</v>
      </c>
      <c r="AE156" s="302">
        <f t="shared" si="35"/>
        <v>28</v>
      </c>
      <c r="AF156" s="302">
        <f t="shared" si="35"/>
        <v>29</v>
      </c>
      <c r="AG156" s="302">
        <f t="shared" si="35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6">SUM(D157:AG157)</f>
        <v>0</v>
      </c>
    </row>
    <row r="158" spans="1:34">
      <c r="C158" s="304">
        <f t="shared" ref="C158:C187" si="37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6"/>
        <v>0</v>
      </c>
    </row>
    <row r="159" spans="1:34">
      <c r="C159" s="304">
        <f t="shared" si="37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6"/>
        <v>#VALUE!</v>
      </c>
    </row>
    <row r="160" spans="1:34">
      <c r="C160" s="304">
        <f t="shared" si="37"/>
        <v>3</v>
      </c>
      <c r="D160" s="305" t="e">
        <f t="shared" ref="D160:O175" si="38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6"/>
        <v>#VALUE!</v>
      </c>
    </row>
    <row r="161" spans="3:34">
      <c r="C161" s="304">
        <f t="shared" si="37"/>
        <v>4</v>
      </c>
      <c r="D161" s="305" t="e">
        <f t="shared" si="38"/>
        <v>#VALUE!</v>
      </c>
      <c r="E161" s="305" t="e">
        <f t="shared" si="38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6"/>
        <v>#VALUE!</v>
      </c>
    </row>
    <row r="162" spans="3:34">
      <c r="C162" s="304">
        <f t="shared" si="37"/>
        <v>5</v>
      </c>
      <c r="D162" s="305" t="e">
        <f t="shared" si="38"/>
        <v>#VALUE!</v>
      </c>
      <c r="E162" s="305" t="e">
        <f t="shared" si="38"/>
        <v>#VALUE!</v>
      </c>
      <c r="F162" s="305" t="e">
        <f t="shared" si="38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6"/>
        <v>#VALUE!</v>
      </c>
    </row>
    <row r="163" spans="3:34">
      <c r="C163" s="304">
        <f t="shared" si="37"/>
        <v>6</v>
      </c>
      <c r="D163" s="305" t="e">
        <f t="shared" si="38"/>
        <v>#VALUE!</v>
      </c>
      <c r="E163" s="305" t="e">
        <f t="shared" si="38"/>
        <v>#VALUE!</v>
      </c>
      <c r="F163" s="305" t="e">
        <f t="shared" si="38"/>
        <v>#VALUE!</v>
      </c>
      <c r="G163" s="305" t="e">
        <f t="shared" si="38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6"/>
        <v>#VALUE!</v>
      </c>
    </row>
    <row r="164" spans="3:34">
      <c r="C164" s="304">
        <f t="shared" si="37"/>
        <v>7</v>
      </c>
      <c r="D164" s="305" t="e">
        <f t="shared" si="38"/>
        <v>#VALUE!</v>
      </c>
      <c r="E164" s="305" t="e">
        <f t="shared" si="38"/>
        <v>#VALUE!</v>
      </c>
      <c r="F164" s="305" t="e">
        <f t="shared" si="38"/>
        <v>#VALUE!</v>
      </c>
      <c r="G164" s="305" t="e">
        <f t="shared" si="38"/>
        <v>#VALUE!</v>
      </c>
      <c r="H164" s="305" t="e">
        <f t="shared" si="38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6"/>
        <v>#VALUE!</v>
      </c>
    </row>
    <row r="165" spans="3:34">
      <c r="C165" s="304">
        <f t="shared" si="37"/>
        <v>8</v>
      </c>
      <c r="D165" s="305" t="e">
        <f t="shared" si="38"/>
        <v>#VALUE!</v>
      </c>
      <c r="E165" s="305" t="e">
        <f t="shared" si="38"/>
        <v>#VALUE!</v>
      </c>
      <c r="F165" s="305" t="e">
        <f t="shared" si="38"/>
        <v>#VALUE!</v>
      </c>
      <c r="G165" s="305" t="e">
        <f t="shared" si="38"/>
        <v>#VALUE!</v>
      </c>
      <c r="H165" s="305" t="e">
        <f t="shared" si="38"/>
        <v>#VALUE!</v>
      </c>
      <c r="I165" s="305" t="e">
        <f t="shared" si="38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6"/>
        <v>#VALUE!</v>
      </c>
    </row>
    <row r="166" spans="3:34">
      <c r="C166" s="304">
        <f t="shared" si="37"/>
        <v>9</v>
      </c>
      <c r="D166" s="305" t="e">
        <f t="shared" si="38"/>
        <v>#VALUE!</v>
      </c>
      <c r="E166" s="305" t="e">
        <f t="shared" si="38"/>
        <v>#VALUE!</v>
      </c>
      <c r="F166" s="305" t="e">
        <f t="shared" si="38"/>
        <v>#VALUE!</v>
      </c>
      <c r="G166" s="305" t="e">
        <f t="shared" si="38"/>
        <v>#VALUE!</v>
      </c>
      <c r="H166" s="305" t="e">
        <f t="shared" si="38"/>
        <v>#VALUE!</v>
      </c>
      <c r="I166" s="305" t="e">
        <f t="shared" si="38"/>
        <v>#VALUE!</v>
      </c>
      <c r="J166" s="305" t="e">
        <f t="shared" si="38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6"/>
        <v>#VALUE!</v>
      </c>
    </row>
    <row r="167" spans="3:34">
      <c r="C167" s="304">
        <f t="shared" si="37"/>
        <v>10</v>
      </c>
      <c r="D167" s="305" t="e">
        <f t="shared" si="38"/>
        <v>#VALUE!</v>
      </c>
      <c r="E167" s="305" t="e">
        <f t="shared" si="38"/>
        <v>#VALUE!</v>
      </c>
      <c r="F167" s="305" t="e">
        <f t="shared" si="38"/>
        <v>#VALUE!</v>
      </c>
      <c r="G167" s="305" t="e">
        <f t="shared" si="38"/>
        <v>#VALUE!</v>
      </c>
      <c r="H167" s="305" t="e">
        <f t="shared" si="38"/>
        <v>#VALUE!</v>
      </c>
      <c r="I167" s="305" t="e">
        <f t="shared" si="38"/>
        <v>#VALUE!</v>
      </c>
      <c r="J167" s="305" t="e">
        <f t="shared" si="38"/>
        <v>#VALUE!</v>
      </c>
      <c r="K167" s="305" t="e">
        <f t="shared" si="38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6"/>
        <v>#VALUE!</v>
      </c>
    </row>
    <row r="168" spans="3:34">
      <c r="C168" s="304">
        <f t="shared" si="37"/>
        <v>11</v>
      </c>
      <c r="D168" s="305" t="e">
        <f t="shared" si="38"/>
        <v>#VALUE!</v>
      </c>
      <c r="E168" s="305" t="e">
        <f t="shared" si="38"/>
        <v>#VALUE!</v>
      </c>
      <c r="F168" s="305" t="e">
        <f t="shared" si="38"/>
        <v>#VALUE!</v>
      </c>
      <c r="G168" s="305" t="e">
        <f t="shared" si="38"/>
        <v>#VALUE!</v>
      </c>
      <c r="H168" s="305" t="e">
        <f t="shared" si="38"/>
        <v>#VALUE!</v>
      </c>
      <c r="I168" s="305" t="e">
        <f t="shared" si="38"/>
        <v>#VALUE!</v>
      </c>
      <c r="J168" s="305" t="e">
        <f t="shared" si="38"/>
        <v>#VALUE!</v>
      </c>
      <c r="K168" s="305" t="e">
        <f t="shared" si="38"/>
        <v>#VALUE!</v>
      </c>
      <c r="L168" s="305" t="e">
        <f t="shared" si="38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6"/>
        <v>#VALUE!</v>
      </c>
    </row>
    <row r="169" spans="3:34">
      <c r="C169" s="304">
        <f t="shared" si="37"/>
        <v>12</v>
      </c>
      <c r="D169" s="305" t="e">
        <f t="shared" si="38"/>
        <v>#VALUE!</v>
      </c>
      <c r="E169" s="305" t="e">
        <f t="shared" si="38"/>
        <v>#VALUE!</v>
      </c>
      <c r="F169" s="305" t="e">
        <f t="shared" si="38"/>
        <v>#VALUE!</v>
      </c>
      <c r="G169" s="305" t="e">
        <f t="shared" si="38"/>
        <v>#VALUE!</v>
      </c>
      <c r="H169" s="305" t="e">
        <f t="shared" si="38"/>
        <v>#VALUE!</v>
      </c>
      <c r="I169" s="305" t="e">
        <f t="shared" si="38"/>
        <v>#VALUE!</v>
      </c>
      <c r="J169" s="305" t="e">
        <f t="shared" si="38"/>
        <v>#VALUE!</v>
      </c>
      <c r="K169" s="305" t="e">
        <f t="shared" si="38"/>
        <v>#VALUE!</v>
      </c>
      <c r="L169" s="305" t="e">
        <f t="shared" si="38"/>
        <v>#VALUE!</v>
      </c>
      <c r="M169" s="305" t="e">
        <f t="shared" si="38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6"/>
        <v>#VALUE!</v>
      </c>
    </row>
    <row r="170" spans="3:34">
      <c r="C170" s="304">
        <f t="shared" si="37"/>
        <v>13</v>
      </c>
      <c r="D170" s="305" t="e">
        <f t="shared" si="38"/>
        <v>#VALUE!</v>
      </c>
      <c r="E170" s="305" t="e">
        <f t="shared" si="38"/>
        <v>#VALUE!</v>
      </c>
      <c r="F170" s="305" t="e">
        <f t="shared" si="38"/>
        <v>#VALUE!</v>
      </c>
      <c r="G170" s="305" t="e">
        <f t="shared" si="38"/>
        <v>#VALUE!</v>
      </c>
      <c r="H170" s="305" t="e">
        <f t="shared" si="38"/>
        <v>#VALUE!</v>
      </c>
      <c r="I170" s="305" t="e">
        <f t="shared" si="38"/>
        <v>#VALUE!</v>
      </c>
      <c r="J170" s="305" t="e">
        <f t="shared" si="38"/>
        <v>#VALUE!</v>
      </c>
      <c r="K170" s="305" t="e">
        <f t="shared" si="38"/>
        <v>#VALUE!</v>
      </c>
      <c r="L170" s="305" t="e">
        <f t="shared" si="38"/>
        <v>#VALUE!</v>
      </c>
      <c r="M170" s="305" t="e">
        <f t="shared" si="38"/>
        <v>#VALUE!</v>
      </c>
      <c r="N170" s="305" t="e">
        <f t="shared" si="38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6"/>
        <v>#VALUE!</v>
      </c>
    </row>
    <row r="171" spans="3:34">
      <c r="C171" s="304">
        <f t="shared" si="37"/>
        <v>14</v>
      </c>
      <c r="D171" s="305"/>
      <c r="E171" s="305" t="e">
        <f t="shared" si="38"/>
        <v>#VALUE!</v>
      </c>
      <c r="F171" s="305" t="e">
        <f t="shared" si="38"/>
        <v>#VALUE!</v>
      </c>
      <c r="G171" s="305" t="e">
        <f t="shared" si="38"/>
        <v>#VALUE!</v>
      </c>
      <c r="H171" s="305" t="e">
        <f t="shared" si="38"/>
        <v>#VALUE!</v>
      </c>
      <c r="I171" s="305" t="e">
        <f t="shared" si="38"/>
        <v>#VALUE!</v>
      </c>
      <c r="J171" s="305" t="e">
        <f t="shared" si="38"/>
        <v>#VALUE!</v>
      </c>
      <c r="K171" s="305" t="e">
        <f t="shared" si="38"/>
        <v>#VALUE!</v>
      </c>
      <c r="L171" s="305" t="e">
        <f t="shared" si="38"/>
        <v>#VALUE!</v>
      </c>
      <c r="M171" s="305" t="e">
        <f t="shared" si="38"/>
        <v>#VALUE!</v>
      </c>
      <c r="N171" s="305" t="e">
        <f t="shared" si="38"/>
        <v>#VALUE!</v>
      </c>
      <c r="O171" s="305" t="e">
        <f t="shared" si="38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6"/>
        <v>#VALUE!</v>
      </c>
    </row>
    <row r="172" spans="3:34">
      <c r="C172" s="304">
        <f t="shared" si="37"/>
        <v>15</v>
      </c>
      <c r="D172" s="305"/>
      <c r="E172" s="305"/>
      <c r="F172" s="305" t="e">
        <f t="shared" si="38"/>
        <v>#VALUE!</v>
      </c>
      <c r="G172" s="305" t="e">
        <f t="shared" si="38"/>
        <v>#VALUE!</v>
      </c>
      <c r="H172" s="305" t="e">
        <f t="shared" si="38"/>
        <v>#VALUE!</v>
      </c>
      <c r="I172" s="305" t="e">
        <f t="shared" si="38"/>
        <v>#VALUE!</v>
      </c>
      <c r="J172" s="305" t="e">
        <f t="shared" si="38"/>
        <v>#VALUE!</v>
      </c>
      <c r="K172" s="305" t="e">
        <f t="shared" si="38"/>
        <v>#VALUE!</v>
      </c>
      <c r="L172" s="305" t="e">
        <f t="shared" si="38"/>
        <v>#VALUE!</v>
      </c>
      <c r="M172" s="305" t="e">
        <f t="shared" si="38"/>
        <v>#VALUE!</v>
      </c>
      <c r="N172" s="305" t="e">
        <f t="shared" si="38"/>
        <v>#VALUE!</v>
      </c>
      <c r="O172" s="305" t="e">
        <f t="shared" si="38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6"/>
        <v>#VALUE!</v>
      </c>
    </row>
    <row r="173" spans="3:34">
      <c r="C173" s="304">
        <f t="shared" si="37"/>
        <v>16</v>
      </c>
      <c r="D173" s="305"/>
      <c r="E173" s="305"/>
      <c r="F173" s="305"/>
      <c r="G173" s="305" t="e">
        <f t="shared" si="38"/>
        <v>#VALUE!</v>
      </c>
      <c r="H173" s="305" t="e">
        <f t="shared" si="38"/>
        <v>#VALUE!</v>
      </c>
      <c r="I173" s="305" t="e">
        <f t="shared" si="38"/>
        <v>#VALUE!</v>
      </c>
      <c r="J173" s="305" t="e">
        <f t="shared" si="38"/>
        <v>#VALUE!</v>
      </c>
      <c r="K173" s="305" t="e">
        <f t="shared" si="38"/>
        <v>#VALUE!</v>
      </c>
      <c r="L173" s="305" t="e">
        <f t="shared" si="38"/>
        <v>#VALUE!</v>
      </c>
      <c r="M173" s="305" t="e">
        <f t="shared" si="38"/>
        <v>#VALUE!</v>
      </c>
      <c r="N173" s="305" t="e">
        <f t="shared" si="38"/>
        <v>#VALUE!</v>
      </c>
      <c r="O173" s="305" t="e">
        <f t="shared" si="38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6"/>
        <v>#VALUE!</v>
      </c>
    </row>
    <row r="174" spans="3:34">
      <c r="C174" s="304">
        <f t="shared" si="37"/>
        <v>17</v>
      </c>
      <c r="D174" s="305"/>
      <c r="E174" s="305"/>
      <c r="F174" s="305"/>
      <c r="G174" s="305"/>
      <c r="H174" s="305" t="e">
        <f t="shared" si="38"/>
        <v>#VALUE!</v>
      </c>
      <c r="I174" s="305" t="e">
        <f t="shared" si="38"/>
        <v>#VALUE!</v>
      </c>
      <c r="J174" s="305" t="e">
        <f t="shared" si="38"/>
        <v>#VALUE!</v>
      </c>
      <c r="K174" s="305" t="e">
        <f t="shared" si="38"/>
        <v>#VALUE!</v>
      </c>
      <c r="L174" s="305" t="e">
        <f t="shared" si="38"/>
        <v>#VALUE!</v>
      </c>
      <c r="M174" s="305" t="e">
        <f t="shared" si="38"/>
        <v>#VALUE!</v>
      </c>
      <c r="N174" s="305" t="e">
        <f t="shared" si="38"/>
        <v>#VALUE!</v>
      </c>
      <c r="O174" s="305" t="e">
        <f t="shared" si="38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6"/>
        <v>#VALUE!</v>
      </c>
    </row>
    <row r="175" spans="3:34">
      <c r="C175" s="304">
        <f t="shared" si="37"/>
        <v>18</v>
      </c>
      <c r="D175" s="305"/>
      <c r="E175" s="305"/>
      <c r="F175" s="305"/>
      <c r="G175" s="305"/>
      <c r="H175" s="305"/>
      <c r="I175" s="305" t="e">
        <f t="shared" si="38"/>
        <v>#VALUE!</v>
      </c>
      <c r="J175" s="305" t="e">
        <f t="shared" si="38"/>
        <v>#VALUE!</v>
      </c>
      <c r="K175" s="305" t="e">
        <f t="shared" si="38"/>
        <v>#VALUE!</v>
      </c>
      <c r="L175" s="305" t="e">
        <f t="shared" si="38"/>
        <v>#VALUE!</v>
      </c>
      <c r="M175" s="305" t="e">
        <f t="shared" si="38"/>
        <v>#VALUE!</v>
      </c>
      <c r="N175" s="305" t="e">
        <f t="shared" si="38"/>
        <v>#VALUE!</v>
      </c>
      <c r="O175" s="305" t="e">
        <f t="shared" si="38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6"/>
        <v>#VALUE!</v>
      </c>
    </row>
    <row r="176" spans="3:34">
      <c r="C176" s="304">
        <f t="shared" si="37"/>
        <v>19</v>
      </c>
      <c r="D176" s="305"/>
      <c r="E176" s="305"/>
      <c r="F176" s="305"/>
      <c r="G176" s="305"/>
      <c r="H176" s="305"/>
      <c r="I176" s="305"/>
      <c r="J176" s="305" t="e">
        <f t="shared" ref="J176:Y187" si="39">J175</f>
        <v>#VALUE!</v>
      </c>
      <c r="K176" s="305" t="e">
        <f t="shared" si="39"/>
        <v>#VALUE!</v>
      </c>
      <c r="L176" s="305" t="e">
        <f t="shared" si="39"/>
        <v>#VALUE!</v>
      </c>
      <c r="M176" s="305" t="e">
        <f t="shared" si="39"/>
        <v>#VALUE!</v>
      </c>
      <c r="N176" s="305" t="e">
        <f t="shared" si="39"/>
        <v>#VALUE!</v>
      </c>
      <c r="O176" s="305" t="e">
        <f t="shared" si="39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6"/>
        <v>#VALUE!</v>
      </c>
    </row>
    <row r="177" spans="1:34">
      <c r="C177" s="304">
        <f t="shared" si="37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9"/>
        <v>#VALUE!</v>
      </c>
      <c r="L177" s="305" t="e">
        <f t="shared" si="39"/>
        <v>#VALUE!</v>
      </c>
      <c r="M177" s="305" t="e">
        <f t="shared" si="39"/>
        <v>#VALUE!</v>
      </c>
      <c r="N177" s="305" t="e">
        <f t="shared" si="39"/>
        <v>#VALUE!</v>
      </c>
      <c r="O177" s="305" t="e">
        <f t="shared" si="39"/>
        <v>#VALUE!</v>
      </c>
      <c r="P177" s="305" t="e">
        <f t="shared" si="39"/>
        <v>#VALUE!</v>
      </c>
      <c r="Q177" s="305" t="e">
        <f t="shared" si="39"/>
        <v>#VALUE!</v>
      </c>
      <c r="R177" s="305" t="e">
        <f t="shared" si="39"/>
        <v>#VALUE!</v>
      </c>
      <c r="S177" s="305" t="e">
        <f t="shared" si="39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6"/>
        <v>#VALUE!</v>
      </c>
    </row>
    <row r="178" spans="1:34">
      <c r="C178" s="304">
        <f t="shared" si="37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9"/>
        <v>#VALUE!</v>
      </c>
      <c r="M178" s="305" t="e">
        <f t="shared" si="39"/>
        <v>#VALUE!</v>
      </c>
      <c r="N178" s="305" t="e">
        <f t="shared" si="39"/>
        <v>#VALUE!</v>
      </c>
      <c r="O178" s="305" t="e">
        <f t="shared" si="39"/>
        <v>#VALUE!</v>
      </c>
      <c r="P178" s="305" t="e">
        <f t="shared" si="39"/>
        <v>#VALUE!</v>
      </c>
      <c r="Q178" s="305" t="e">
        <f t="shared" si="39"/>
        <v>#VALUE!</v>
      </c>
      <c r="R178" s="305" t="e">
        <f t="shared" si="39"/>
        <v>#VALUE!</v>
      </c>
      <c r="S178" s="305" t="e">
        <f t="shared" si="39"/>
        <v>#VALUE!</v>
      </c>
      <c r="T178" s="305" t="e">
        <f t="shared" si="39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6"/>
        <v>#VALUE!</v>
      </c>
    </row>
    <row r="179" spans="1:34">
      <c r="C179" s="330">
        <f t="shared" si="37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9"/>
        <v>#VALUE!</v>
      </c>
      <c r="N179" s="305" t="e">
        <f t="shared" si="39"/>
        <v>#VALUE!</v>
      </c>
      <c r="O179" s="305" t="e">
        <f t="shared" si="39"/>
        <v>#VALUE!</v>
      </c>
      <c r="P179" s="305" t="e">
        <f t="shared" si="39"/>
        <v>#VALUE!</v>
      </c>
      <c r="Q179" s="305" t="e">
        <f t="shared" si="39"/>
        <v>#VALUE!</v>
      </c>
      <c r="R179" s="305" t="e">
        <f t="shared" si="39"/>
        <v>#VALUE!</v>
      </c>
      <c r="S179" s="305" t="e">
        <f t="shared" si="39"/>
        <v>#VALUE!</v>
      </c>
      <c r="T179" s="305" t="e">
        <f t="shared" si="39"/>
        <v>#VALUE!</v>
      </c>
      <c r="U179" s="305" t="e">
        <f t="shared" si="39"/>
        <v>#VALUE!</v>
      </c>
      <c r="V179" s="305" t="e">
        <f t="shared" si="39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6"/>
        <v>#VALUE!</v>
      </c>
    </row>
    <row r="180" spans="1:34">
      <c r="C180" s="330">
        <f t="shared" si="37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9"/>
        <v>#VALUE!</v>
      </c>
      <c r="O180" s="305" t="e">
        <f t="shared" si="39"/>
        <v>#VALUE!</v>
      </c>
      <c r="P180" s="305" t="e">
        <f t="shared" si="39"/>
        <v>#VALUE!</v>
      </c>
      <c r="Q180" s="305" t="e">
        <f t="shared" si="39"/>
        <v>#VALUE!</v>
      </c>
      <c r="R180" s="305" t="e">
        <f t="shared" si="39"/>
        <v>#VALUE!</v>
      </c>
      <c r="S180" s="305" t="e">
        <f t="shared" si="39"/>
        <v>#VALUE!</v>
      </c>
      <c r="T180" s="305" t="e">
        <f t="shared" si="39"/>
        <v>#VALUE!</v>
      </c>
      <c r="U180" s="305" t="e">
        <f t="shared" si="39"/>
        <v>#VALUE!</v>
      </c>
      <c r="V180" s="305" t="e">
        <f t="shared" si="39"/>
        <v>#VALUE!</v>
      </c>
      <c r="W180" s="305" t="e">
        <f t="shared" si="39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6"/>
        <v>#VALUE!</v>
      </c>
    </row>
    <row r="181" spans="1:34">
      <c r="C181" s="330">
        <f t="shared" si="37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9"/>
        <v>#VALUE!</v>
      </c>
      <c r="P181" s="305" t="e">
        <f t="shared" si="39"/>
        <v>#VALUE!</v>
      </c>
      <c r="Q181" s="305" t="e">
        <f t="shared" si="39"/>
        <v>#VALUE!</v>
      </c>
      <c r="R181" s="305" t="e">
        <f t="shared" si="39"/>
        <v>#VALUE!</v>
      </c>
      <c r="S181" s="305" t="e">
        <f t="shared" si="39"/>
        <v>#VALUE!</v>
      </c>
      <c r="T181" s="305" t="e">
        <f t="shared" si="39"/>
        <v>#VALUE!</v>
      </c>
      <c r="U181" s="305" t="e">
        <f t="shared" si="39"/>
        <v>#VALUE!</v>
      </c>
      <c r="V181" s="305" t="e">
        <f t="shared" si="39"/>
        <v>#VALUE!</v>
      </c>
      <c r="W181" s="305" t="e">
        <f t="shared" si="39"/>
        <v>#VALUE!</v>
      </c>
      <c r="X181" s="305" t="e">
        <f t="shared" si="39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6"/>
        <v>#VALUE!</v>
      </c>
    </row>
    <row r="182" spans="1:34">
      <c r="C182" s="330">
        <f t="shared" si="37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9"/>
        <v>#VALUE!</v>
      </c>
      <c r="Q182" s="305" t="e">
        <f t="shared" si="39"/>
        <v>#VALUE!</v>
      </c>
      <c r="R182" s="305" t="e">
        <f t="shared" si="39"/>
        <v>#VALUE!</v>
      </c>
      <c r="S182" s="305" t="e">
        <f t="shared" si="39"/>
        <v>#VALUE!</v>
      </c>
      <c r="T182" s="305" t="e">
        <f t="shared" si="39"/>
        <v>#VALUE!</v>
      </c>
      <c r="U182" s="305" t="e">
        <f t="shared" si="39"/>
        <v>#VALUE!</v>
      </c>
      <c r="V182" s="305" t="e">
        <f t="shared" si="39"/>
        <v>#VALUE!</v>
      </c>
      <c r="W182" s="305" t="e">
        <f t="shared" si="39"/>
        <v>#VALUE!</v>
      </c>
      <c r="X182" s="305" t="e">
        <f t="shared" si="39"/>
        <v>#VALUE!</v>
      </c>
      <c r="Y182" s="305" t="e">
        <f t="shared" si="39"/>
        <v>#VALUE!</v>
      </c>
      <c r="Z182" s="305" t="e">
        <f t="shared" ref="Z182:Z187" si="40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6"/>
        <v>#VALUE!</v>
      </c>
    </row>
    <row r="183" spans="1:34">
      <c r="C183" s="330">
        <f t="shared" si="37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9"/>
        <v>#VALUE!</v>
      </c>
      <c r="R183" s="305" t="e">
        <f t="shared" si="39"/>
        <v>#VALUE!</v>
      </c>
      <c r="S183" s="305" t="e">
        <f t="shared" si="39"/>
        <v>#VALUE!</v>
      </c>
      <c r="T183" s="305" t="e">
        <f t="shared" si="39"/>
        <v>#VALUE!</v>
      </c>
      <c r="U183" s="305" t="e">
        <f t="shared" si="39"/>
        <v>#VALUE!</v>
      </c>
      <c r="V183" s="305" t="e">
        <f t="shared" si="39"/>
        <v>#VALUE!</v>
      </c>
      <c r="W183" s="305" t="e">
        <f t="shared" si="39"/>
        <v>#VALUE!</v>
      </c>
      <c r="X183" s="305" t="e">
        <f t="shared" si="39"/>
        <v>#VALUE!</v>
      </c>
      <c r="Y183" s="305" t="e">
        <f t="shared" si="39"/>
        <v>#VALUE!</v>
      </c>
      <c r="Z183" s="305" t="e">
        <f t="shared" si="40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6"/>
        <v>#VALUE!</v>
      </c>
    </row>
    <row r="184" spans="1:34">
      <c r="C184" s="330">
        <f t="shared" si="37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9"/>
        <v>#VALUE!</v>
      </c>
      <c r="S184" s="305" t="e">
        <f t="shared" si="39"/>
        <v>#VALUE!</v>
      </c>
      <c r="T184" s="305" t="e">
        <f t="shared" si="39"/>
        <v>#VALUE!</v>
      </c>
      <c r="U184" s="305" t="e">
        <f t="shared" si="39"/>
        <v>#VALUE!</v>
      </c>
      <c r="V184" s="305" t="e">
        <f t="shared" si="39"/>
        <v>#VALUE!</v>
      </c>
      <c r="W184" s="305" t="e">
        <f t="shared" si="39"/>
        <v>#VALUE!</v>
      </c>
      <c r="X184" s="305" t="e">
        <f t="shared" si="39"/>
        <v>#VALUE!</v>
      </c>
      <c r="Y184" s="305" t="e">
        <f t="shared" si="39"/>
        <v>#VALUE!</v>
      </c>
      <c r="Z184" s="305" t="e">
        <f t="shared" si="40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6"/>
        <v>#VALUE!</v>
      </c>
    </row>
    <row r="185" spans="1:34">
      <c r="C185" s="330">
        <f t="shared" si="37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9"/>
        <v>#VALUE!</v>
      </c>
      <c r="T185" s="305" t="e">
        <f t="shared" si="39"/>
        <v>#VALUE!</v>
      </c>
      <c r="U185" s="305" t="e">
        <f t="shared" si="39"/>
        <v>#VALUE!</v>
      </c>
      <c r="V185" s="305" t="e">
        <f t="shared" si="39"/>
        <v>#VALUE!</v>
      </c>
      <c r="W185" s="305" t="e">
        <f t="shared" si="39"/>
        <v>#VALUE!</v>
      </c>
      <c r="X185" s="305" t="e">
        <f t="shared" si="39"/>
        <v>#VALUE!</v>
      </c>
      <c r="Y185" s="305" t="e">
        <f t="shared" si="39"/>
        <v>#VALUE!</v>
      </c>
      <c r="Z185" s="305" t="e">
        <f t="shared" si="40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6"/>
        <v>#VALUE!</v>
      </c>
    </row>
    <row r="186" spans="1:34">
      <c r="C186" s="330">
        <f t="shared" si="37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9"/>
        <v>#VALUE!</v>
      </c>
      <c r="U186" s="305" t="e">
        <f t="shared" si="39"/>
        <v>#VALUE!</v>
      </c>
      <c r="V186" s="305" t="e">
        <f t="shared" si="39"/>
        <v>#VALUE!</v>
      </c>
      <c r="W186" s="305" t="e">
        <f t="shared" si="39"/>
        <v>#VALUE!</v>
      </c>
      <c r="X186" s="305" t="e">
        <f t="shared" si="39"/>
        <v>#VALUE!</v>
      </c>
      <c r="Y186" s="305" t="e">
        <f t="shared" si="39"/>
        <v>#VALUE!</v>
      </c>
      <c r="Z186" s="305" t="e">
        <f t="shared" si="40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6"/>
        <v>#VALUE!</v>
      </c>
    </row>
    <row r="187" spans="1:34" ht="13.5" thickBot="1">
      <c r="C187" s="307">
        <f t="shared" si="37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9"/>
        <v>#VALUE!</v>
      </c>
      <c r="V187" s="305" t="e">
        <f t="shared" si="39"/>
        <v>#VALUE!</v>
      </c>
      <c r="W187" s="305" t="e">
        <f t="shared" si="39"/>
        <v>#VALUE!</v>
      </c>
      <c r="X187" s="305" t="e">
        <f t="shared" si="39"/>
        <v>#VALUE!</v>
      </c>
      <c r="Y187" s="305" t="e">
        <f t="shared" si="39"/>
        <v>#VALUE!</v>
      </c>
      <c r="Z187" s="305" t="e">
        <f t="shared" si="40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6"/>
        <v>#VALUE!</v>
      </c>
    </row>
    <row r="188" spans="1:34" ht="14.25" thickTop="1" thickBot="1">
      <c r="C188" s="311" t="s">
        <v>0</v>
      </c>
      <c r="D188" s="328" t="e">
        <f t="shared" ref="D188:AH188" si="41">SUM(D157:D187)</f>
        <v>#VALUE!</v>
      </c>
      <c r="E188" s="328" t="e">
        <f t="shared" si="41"/>
        <v>#VALUE!</v>
      </c>
      <c r="F188" s="328" t="e">
        <f t="shared" si="41"/>
        <v>#VALUE!</v>
      </c>
      <c r="G188" s="328" t="e">
        <f t="shared" si="41"/>
        <v>#VALUE!</v>
      </c>
      <c r="H188" s="328" t="e">
        <f t="shared" si="41"/>
        <v>#VALUE!</v>
      </c>
      <c r="I188" s="328" t="e">
        <f t="shared" si="41"/>
        <v>#VALUE!</v>
      </c>
      <c r="J188" s="328" t="e">
        <f t="shared" si="41"/>
        <v>#VALUE!</v>
      </c>
      <c r="K188" s="328" t="e">
        <f t="shared" si="41"/>
        <v>#VALUE!</v>
      </c>
      <c r="L188" s="328" t="e">
        <f t="shared" si="41"/>
        <v>#VALUE!</v>
      </c>
      <c r="M188" s="328" t="e">
        <f t="shared" si="41"/>
        <v>#VALUE!</v>
      </c>
      <c r="N188" s="328" t="e">
        <f t="shared" si="41"/>
        <v>#VALUE!</v>
      </c>
      <c r="O188" s="328" t="e">
        <f t="shared" si="41"/>
        <v>#VALUE!</v>
      </c>
      <c r="P188" s="328" t="e">
        <f t="shared" si="41"/>
        <v>#VALUE!</v>
      </c>
      <c r="Q188" s="328" t="e">
        <f t="shared" si="41"/>
        <v>#VALUE!</v>
      </c>
      <c r="R188" s="328" t="e">
        <f t="shared" si="41"/>
        <v>#VALUE!</v>
      </c>
      <c r="S188" s="328" t="e">
        <f t="shared" si="41"/>
        <v>#VALUE!</v>
      </c>
      <c r="T188" s="328" t="e">
        <f t="shared" si="41"/>
        <v>#VALUE!</v>
      </c>
      <c r="U188" s="328" t="e">
        <f t="shared" si="41"/>
        <v>#VALUE!</v>
      </c>
      <c r="V188" s="328" t="e">
        <f t="shared" si="41"/>
        <v>#VALUE!</v>
      </c>
      <c r="W188" s="328" t="e">
        <f t="shared" si="41"/>
        <v>#VALUE!</v>
      </c>
      <c r="X188" s="328" t="e">
        <f t="shared" si="41"/>
        <v>#VALUE!</v>
      </c>
      <c r="Y188" s="328" t="e">
        <f t="shared" si="41"/>
        <v>#VALUE!</v>
      </c>
      <c r="Z188" s="328" t="e">
        <f t="shared" si="41"/>
        <v>#VALUE!</v>
      </c>
      <c r="AA188" s="328" t="e">
        <f t="shared" si="41"/>
        <v>#VALUE!</v>
      </c>
      <c r="AB188" s="328" t="e">
        <f t="shared" si="41"/>
        <v>#VALUE!</v>
      </c>
      <c r="AC188" s="328" t="e">
        <f t="shared" si="41"/>
        <v>#VALUE!</v>
      </c>
      <c r="AD188" s="328" t="e">
        <f t="shared" si="41"/>
        <v>#VALUE!</v>
      </c>
      <c r="AE188" s="328" t="e">
        <f t="shared" si="41"/>
        <v>#VALUE!</v>
      </c>
      <c r="AF188" s="329" t="e">
        <f t="shared" si="41"/>
        <v>#VALUE!</v>
      </c>
      <c r="AG188" s="329" t="e">
        <f t="shared" si="41"/>
        <v>#VALUE!</v>
      </c>
      <c r="AH188" s="315" t="e">
        <f t="shared" si="41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2">D193+1</f>
        <v>2</v>
      </c>
      <c r="F193" s="302">
        <f t="shared" si="42"/>
        <v>3</v>
      </c>
      <c r="G193" s="302">
        <f t="shared" si="42"/>
        <v>4</v>
      </c>
      <c r="H193" s="302">
        <f t="shared" si="42"/>
        <v>5</v>
      </c>
      <c r="I193" s="302">
        <f t="shared" si="42"/>
        <v>6</v>
      </c>
      <c r="J193" s="302">
        <f t="shared" si="42"/>
        <v>7</v>
      </c>
      <c r="K193" s="302">
        <f t="shared" si="42"/>
        <v>8</v>
      </c>
      <c r="L193" s="302">
        <f t="shared" si="42"/>
        <v>9</v>
      </c>
      <c r="M193" s="302">
        <f t="shared" si="42"/>
        <v>10</v>
      </c>
      <c r="N193" s="302">
        <f t="shared" si="42"/>
        <v>11</v>
      </c>
      <c r="O193" s="302">
        <f t="shared" si="42"/>
        <v>12</v>
      </c>
      <c r="P193" s="302">
        <f t="shared" si="42"/>
        <v>13</v>
      </c>
      <c r="Q193" s="302">
        <f t="shared" si="42"/>
        <v>14</v>
      </c>
      <c r="R193" s="302">
        <f t="shared" si="42"/>
        <v>15</v>
      </c>
      <c r="S193" s="302">
        <f t="shared" si="42"/>
        <v>16</v>
      </c>
      <c r="T193" s="302">
        <f t="shared" si="42"/>
        <v>17</v>
      </c>
      <c r="U193" s="302">
        <f t="shared" si="42"/>
        <v>18</v>
      </c>
      <c r="V193" s="302">
        <f t="shared" si="42"/>
        <v>19</v>
      </c>
      <c r="W193" s="302">
        <f t="shared" si="42"/>
        <v>20</v>
      </c>
      <c r="X193" s="302">
        <f t="shared" si="42"/>
        <v>21</v>
      </c>
      <c r="Y193" s="302">
        <f t="shared" si="42"/>
        <v>22</v>
      </c>
      <c r="Z193" s="302">
        <f t="shared" si="42"/>
        <v>23</v>
      </c>
      <c r="AA193" s="302">
        <f t="shared" si="42"/>
        <v>24</v>
      </c>
      <c r="AB193" s="302">
        <f t="shared" si="42"/>
        <v>25</v>
      </c>
      <c r="AC193" s="302">
        <f t="shared" si="42"/>
        <v>26</v>
      </c>
      <c r="AD193" s="302">
        <f t="shared" si="42"/>
        <v>27</v>
      </c>
      <c r="AE193" s="302">
        <f t="shared" si="42"/>
        <v>28</v>
      </c>
      <c r="AF193" s="302">
        <f t="shared" si="42"/>
        <v>29</v>
      </c>
      <c r="AG193" s="302">
        <f t="shared" si="42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3">SUM(D194:AG194)</f>
        <v>0</v>
      </c>
    </row>
    <row r="195" spans="3:34">
      <c r="C195" s="307">
        <f t="shared" ref="C195:C224" si="44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3"/>
        <v>0</v>
      </c>
    </row>
    <row r="196" spans="3:34">
      <c r="C196" s="307">
        <f t="shared" si="44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3"/>
        <v>#VALUE!</v>
      </c>
    </row>
    <row r="197" spans="3:34">
      <c r="C197" s="307">
        <f t="shared" si="44"/>
        <v>3</v>
      </c>
      <c r="D197" s="309" t="e">
        <f t="shared" ref="D197:N212" si="45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3"/>
        <v>#VALUE!</v>
      </c>
    </row>
    <row r="198" spans="3:34">
      <c r="C198" s="307">
        <f t="shared" si="44"/>
        <v>4</v>
      </c>
      <c r="D198" s="309" t="e">
        <f t="shared" si="45"/>
        <v>#VALUE!</v>
      </c>
      <c r="E198" s="309" t="e">
        <f t="shared" si="45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3"/>
        <v>#VALUE!</v>
      </c>
    </row>
    <row r="199" spans="3:34">
      <c r="C199" s="307">
        <f t="shared" si="44"/>
        <v>5</v>
      </c>
      <c r="D199" s="309" t="e">
        <f t="shared" si="45"/>
        <v>#VALUE!</v>
      </c>
      <c r="E199" s="309" t="e">
        <f t="shared" si="45"/>
        <v>#VALUE!</v>
      </c>
      <c r="F199" s="309" t="e">
        <f t="shared" si="45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3"/>
        <v>#VALUE!</v>
      </c>
    </row>
    <row r="200" spans="3:34">
      <c r="C200" s="307">
        <f t="shared" si="44"/>
        <v>6</v>
      </c>
      <c r="D200" s="309" t="e">
        <f t="shared" si="45"/>
        <v>#VALUE!</v>
      </c>
      <c r="E200" s="309" t="e">
        <f t="shared" si="45"/>
        <v>#VALUE!</v>
      </c>
      <c r="F200" s="309" t="e">
        <f t="shared" si="45"/>
        <v>#VALUE!</v>
      </c>
      <c r="G200" s="309" t="e">
        <f t="shared" si="45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3"/>
        <v>#VALUE!</v>
      </c>
    </row>
    <row r="201" spans="3:34">
      <c r="C201" s="307">
        <f t="shared" si="44"/>
        <v>7</v>
      </c>
      <c r="D201" s="309" t="e">
        <f t="shared" si="45"/>
        <v>#VALUE!</v>
      </c>
      <c r="E201" s="309" t="e">
        <f t="shared" si="45"/>
        <v>#VALUE!</v>
      </c>
      <c r="F201" s="309" t="e">
        <f t="shared" si="45"/>
        <v>#VALUE!</v>
      </c>
      <c r="G201" s="309" t="e">
        <f t="shared" si="45"/>
        <v>#VALUE!</v>
      </c>
      <c r="H201" s="309" t="e">
        <f t="shared" si="45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3"/>
        <v>#VALUE!</v>
      </c>
    </row>
    <row r="202" spans="3:34">
      <c r="C202" s="307">
        <f t="shared" si="44"/>
        <v>8</v>
      </c>
      <c r="D202" s="309" t="e">
        <f t="shared" si="45"/>
        <v>#VALUE!</v>
      </c>
      <c r="E202" s="309" t="e">
        <f t="shared" si="45"/>
        <v>#VALUE!</v>
      </c>
      <c r="F202" s="309" t="e">
        <f t="shared" si="45"/>
        <v>#VALUE!</v>
      </c>
      <c r="G202" s="309" t="e">
        <f t="shared" si="45"/>
        <v>#VALUE!</v>
      </c>
      <c r="H202" s="309" t="e">
        <f t="shared" si="45"/>
        <v>#VALUE!</v>
      </c>
      <c r="I202" s="309" t="e">
        <f t="shared" si="45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3"/>
        <v>#VALUE!</v>
      </c>
    </row>
    <row r="203" spans="3:34">
      <c r="C203" s="307">
        <f t="shared" si="44"/>
        <v>9</v>
      </c>
      <c r="D203" s="309" t="e">
        <f t="shared" si="45"/>
        <v>#VALUE!</v>
      </c>
      <c r="E203" s="309" t="e">
        <f t="shared" si="45"/>
        <v>#VALUE!</v>
      </c>
      <c r="F203" s="309" t="e">
        <f t="shared" si="45"/>
        <v>#VALUE!</v>
      </c>
      <c r="G203" s="309" t="e">
        <f t="shared" si="45"/>
        <v>#VALUE!</v>
      </c>
      <c r="H203" s="309" t="e">
        <f t="shared" si="45"/>
        <v>#VALUE!</v>
      </c>
      <c r="I203" s="309" t="e">
        <f t="shared" si="45"/>
        <v>#VALUE!</v>
      </c>
      <c r="J203" s="309" t="e">
        <f t="shared" si="45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3"/>
        <v>#VALUE!</v>
      </c>
    </row>
    <row r="204" spans="3:34">
      <c r="C204" s="307">
        <f t="shared" si="44"/>
        <v>10</v>
      </c>
      <c r="D204" s="309" t="e">
        <f t="shared" si="45"/>
        <v>#VALUE!</v>
      </c>
      <c r="E204" s="309" t="e">
        <f t="shared" si="45"/>
        <v>#VALUE!</v>
      </c>
      <c r="F204" s="309" t="e">
        <f t="shared" si="45"/>
        <v>#VALUE!</v>
      </c>
      <c r="G204" s="309" t="e">
        <f t="shared" si="45"/>
        <v>#VALUE!</v>
      </c>
      <c r="H204" s="309" t="e">
        <f t="shared" si="45"/>
        <v>#VALUE!</v>
      </c>
      <c r="I204" s="309" t="e">
        <f t="shared" si="45"/>
        <v>#VALUE!</v>
      </c>
      <c r="J204" s="309" t="e">
        <f t="shared" si="45"/>
        <v>#VALUE!</v>
      </c>
      <c r="K204" s="309" t="e">
        <f t="shared" si="45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3"/>
        <v>#VALUE!</v>
      </c>
    </row>
    <row r="205" spans="3:34">
      <c r="C205" s="307">
        <f t="shared" si="44"/>
        <v>11</v>
      </c>
      <c r="D205" s="309" t="e">
        <f t="shared" si="45"/>
        <v>#VALUE!</v>
      </c>
      <c r="E205" s="309" t="e">
        <f t="shared" si="45"/>
        <v>#VALUE!</v>
      </c>
      <c r="F205" s="309" t="e">
        <f t="shared" si="45"/>
        <v>#VALUE!</v>
      </c>
      <c r="G205" s="309" t="e">
        <f t="shared" si="45"/>
        <v>#VALUE!</v>
      </c>
      <c r="H205" s="309" t="e">
        <f t="shared" si="45"/>
        <v>#VALUE!</v>
      </c>
      <c r="I205" s="309" t="e">
        <f t="shared" si="45"/>
        <v>#VALUE!</v>
      </c>
      <c r="J205" s="309" t="e">
        <f t="shared" si="45"/>
        <v>#VALUE!</v>
      </c>
      <c r="K205" s="309" t="e">
        <f t="shared" si="45"/>
        <v>#VALUE!</v>
      </c>
      <c r="L205" s="309" t="e">
        <f t="shared" si="45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3"/>
        <v>#VALUE!</v>
      </c>
    </row>
    <row r="206" spans="3:34">
      <c r="C206" s="307">
        <f t="shared" si="44"/>
        <v>12</v>
      </c>
      <c r="D206" s="309"/>
      <c r="E206" s="309" t="e">
        <f t="shared" si="45"/>
        <v>#VALUE!</v>
      </c>
      <c r="F206" s="309" t="e">
        <f t="shared" si="45"/>
        <v>#VALUE!</v>
      </c>
      <c r="G206" s="309" t="e">
        <f t="shared" si="45"/>
        <v>#VALUE!</v>
      </c>
      <c r="H206" s="309" t="e">
        <f t="shared" si="45"/>
        <v>#VALUE!</v>
      </c>
      <c r="I206" s="309" t="e">
        <f t="shared" si="45"/>
        <v>#VALUE!</v>
      </c>
      <c r="J206" s="309" t="e">
        <f t="shared" si="45"/>
        <v>#VALUE!</v>
      </c>
      <c r="K206" s="309" t="e">
        <f t="shared" si="45"/>
        <v>#VALUE!</v>
      </c>
      <c r="L206" s="309" t="e">
        <f t="shared" si="45"/>
        <v>#VALUE!</v>
      </c>
      <c r="M206" s="309" t="e">
        <f t="shared" si="45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3"/>
        <v>#VALUE!</v>
      </c>
    </row>
    <row r="207" spans="3:34">
      <c r="C207" s="307">
        <f t="shared" si="44"/>
        <v>13</v>
      </c>
      <c r="D207" s="309"/>
      <c r="E207" s="309"/>
      <c r="F207" s="309" t="e">
        <f t="shared" si="45"/>
        <v>#VALUE!</v>
      </c>
      <c r="G207" s="309" t="e">
        <f t="shared" si="45"/>
        <v>#VALUE!</v>
      </c>
      <c r="H207" s="309" t="e">
        <f t="shared" si="45"/>
        <v>#VALUE!</v>
      </c>
      <c r="I207" s="309" t="e">
        <f t="shared" si="45"/>
        <v>#VALUE!</v>
      </c>
      <c r="J207" s="309" t="e">
        <f t="shared" si="45"/>
        <v>#VALUE!</v>
      </c>
      <c r="K207" s="309" t="e">
        <f t="shared" si="45"/>
        <v>#VALUE!</v>
      </c>
      <c r="L207" s="309" t="e">
        <f t="shared" si="45"/>
        <v>#VALUE!</v>
      </c>
      <c r="M207" s="309" t="e">
        <f t="shared" si="45"/>
        <v>#VALUE!</v>
      </c>
      <c r="N207" s="309" t="e">
        <f t="shared" si="45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3"/>
        <v>#VALUE!</v>
      </c>
    </row>
    <row r="208" spans="3:34">
      <c r="C208" s="307">
        <f t="shared" si="44"/>
        <v>14</v>
      </c>
      <c r="D208" s="309"/>
      <c r="E208" s="309"/>
      <c r="F208" s="309"/>
      <c r="G208" s="309" t="e">
        <f t="shared" si="45"/>
        <v>#VALUE!</v>
      </c>
      <c r="H208" s="309" t="e">
        <f t="shared" si="45"/>
        <v>#VALUE!</v>
      </c>
      <c r="I208" s="309" t="e">
        <f t="shared" si="45"/>
        <v>#VALUE!</v>
      </c>
      <c r="J208" s="309" t="e">
        <f t="shared" si="45"/>
        <v>#VALUE!</v>
      </c>
      <c r="K208" s="309" t="e">
        <f t="shared" si="45"/>
        <v>#VALUE!</v>
      </c>
      <c r="L208" s="309" t="e">
        <f t="shared" si="45"/>
        <v>#VALUE!</v>
      </c>
      <c r="M208" s="309" t="e">
        <f t="shared" si="45"/>
        <v>#VALUE!</v>
      </c>
      <c r="N208" s="309" t="e">
        <f t="shared" si="45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3"/>
        <v>#VALUE!</v>
      </c>
    </row>
    <row r="209" spans="3:34">
      <c r="C209" s="307">
        <f t="shared" si="44"/>
        <v>15</v>
      </c>
      <c r="D209" s="309"/>
      <c r="E209" s="309"/>
      <c r="F209" s="309"/>
      <c r="G209" s="309"/>
      <c r="H209" s="309" t="e">
        <f t="shared" si="45"/>
        <v>#VALUE!</v>
      </c>
      <c r="I209" s="309" t="e">
        <f t="shared" si="45"/>
        <v>#VALUE!</v>
      </c>
      <c r="J209" s="309" t="e">
        <f t="shared" si="45"/>
        <v>#VALUE!</v>
      </c>
      <c r="K209" s="309" t="e">
        <f t="shared" si="45"/>
        <v>#VALUE!</v>
      </c>
      <c r="L209" s="309" t="e">
        <f t="shared" si="45"/>
        <v>#VALUE!</v>
      </c>
      <c r="M209" s="309" t="e">
        <f t="shared" si="45"/>
        <v>#VALUE!</v>
      </c>
      <c r="N209" s="309" t="e">
        <f t="shared" si="45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3"/>
        <v>#VALUE!</v>
      </c>
    </row>
    <row r="210" spans="3:34">
      <c r="C210" s="307">
        <f t="shared" si="44"/>
        <v>16</v>
      </c>
      <c r="D210" s="309"/>
      <c r="E210" s="309"/>
      <c r="F210" s="309"/>
      <c r="G210" s="309"/>
      <c r="H210" s="309"/>
      <c r="I210" s="309" t="e">
        <f t="shared" si="45"/>
        <v>#VALUE!</v>
      </c>
      <c r="J210" s="309" t="e">
        <f t="shared" si="45"/>
        <v>#VALUE!</v>
      </c>
      <c r="K210" s="309" t="e">
        <f t="shared" si="45"/>
        <v>#VALUE!</v>
      </c>
      <c r="L210" s="309" t="e">
        <f t="shared" si="45"/>
        <v>#VALUE!</v>
      </c>
      <c r="M210" s="309" t="e">
        <f t="shared" si="45"/>
        <v>#VALUE!</v>
      </c>
      <c r="N210" s="309" t="e">
        <f t="shared" si="45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3"/>
        <v>#VALUE!</v>
      </c>
    </row>
    <row r="211" spans="3:34">
      <c r="C211" s="307">
        <f t="shared" si="44"/>
        <v>17</v>
      </c>
      <c r="D211" s="309"/>
      <c r="E211" s="309"/>
      <c r="F211" s="309"/>
      <c r="G211" s="309"/>
      <c r="H211" s="309"/>
      <c r="I211" s="309"/>
      <c r="J211" s="309" t="e">
        <f t="shared" si="45"/>
        <v>#VALUE!</v>
      </c>
      <c r="K211" s="309" t="e">
        <f t="shared" si="45"/>
        <v>#VALUE!</v>
      </c>
      <c r="L211" s="309" t="e">
        <f t="shared" si="45"/>
        <v>#VALUE!</v>
      </c>
      <c r="M211" s="309" t="e">
        <f t="shared" si="45"/>
        <v>#VALUE!</v>
      </c>
      <c r="N211" s="309" t="e">
        <f t="shared" si="45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3"/>
        <v>#VALUE!</v>
      </c>
    </row>
    <row r="212" spans="3:34">
      <c r="C212" s="307">
        <f t="shared" si="44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5"/>
        <v>#VALUE!</v>
      </c>
      <c r="L212" s="309" t="e">
        <f t="shared" si="45"/>
        <v>#VALUE!</v>
      </c>
      <c r="M212" s="309" t="e">
        <f t="shared" si="45"/>
        <v>#VALUE!</v>
      </c>
      <c r="N212" s="309" t="e">
        <f t="shared" si="45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3"/>
        <v>#VALUE!</v>
      </c>
    </row>
    <row r="213" spans="3:34">
      <c r="C213" s="307">
        <f t="shared" si="44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6">L212</f>
        <v>#VALUE!</v>
      </c>
      <c r="M213" s="309" t="e">
        <f t="shared" si="46"/>
        <v>#VALUE!</v>
      </c>
      <c r="N213" s="309" t="e">
        <f t="shared" si="46"/>
        <v>#VALUE!</v>
      </c>
      <c r="O213" s="309" t="e">
        <f t="shared" si="46"/>
        <v>#VALUE!</v>
      </c>
      <c r="P213" s="309" t="e">
        <f t="shared" si="46"/>
        <v>#VALUE!</v>
      </c>
      <c r="Q213" s="309" t="e">
        <f t="shared" si="46"/>
        <v>#VALUE!</v>
      </c>
      <c r="R213" s="309" t="e">
        <f t="shared" si="46"/>
        <v>#VALUE!</v>
      </c>
      <c r="S213" s="309" t="e">
        <f t="shared" si="46"/>
        <v>#VALUE!</v>
      </c>
      <c r="T213" s="309" t="e">
        <f t="shared" si="46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3"/>
        <v>#VALUE!</v>
      </c>
    </row>
    <row r="214" spans="3:34">
      <c r="C214" s="307">
        <f t="shared" si="44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6"/>
        <v>#VALUE!</v>
      </c>
      <c r="N214" s="309" t="e">
        <f t="shared" si="46"/>
        <v>#VALUE!</v>
      </c>
      <c r="O214" s="309" t="e">
        <f t="shared" si="46"/>
        <v>#VALUE!</v>
      </c>
      <c r="P214" s="309" t="e">
        <f t="shared" si="46"/>
        <v>#VALUE!</v>
      </c>
      <c r="Q214" s="309" t="e">
        <f t="shared" si="46"/>
        <v>#VALUE!</v>
      </c>
      <c r="R214" s="309" t="e">
        <f t="shared" si="46"/>
        <v>#VALUE!</v>
      </c>
      <c r="S214" s="309" t="e">
        <f t="shared" si="46"/>
        <v>#VALUE!</v>
      </c>
      <c r="T214" s="309" t="e">
        <f t="shared" si="46"/>
        <v>#VALUE!</v>
      </c>
      <c r="U214" s="309" t="e">
        <f t="shared" si="46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3"/>
        <v>#VALUE!</v>
      </c>
    </row>
    <row r="215" spans="3:34">
      <c r="C215" s="307">
        <f t="shared" si="44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6"/>
        <v>#VALUE!</v>
      </c>
      <c r="O215" s="309" t="e">
        <f t="shared" si="46"/>
        <v>#VALUE!</v>
      </c>
      <c r="P215" s="309" t="e">
        <f t="shared" si="46"/>
        <v>#VALUE!</v>
      </c>
      <c r="Q215" s="309" t="e">
        <f t="shared" si="46"/>
        <v>#VALUE!</v>
      </c>
      <c r="R215" s="309" t="e">
        <f t="shared" si="46"/>
        <v>#VALUE!</v>
      </c>
      <c r="S215" s="309" t="e">
        <f t="shared" si="46"/>
        <v>#VALUE!</v>
      </c>
      <c r="T215" s="309" t="e">
        <f t="shared" si="46"/>
        <v>#VALUE!</v>
      </c>
      <c r="U215" s="309" t="e">
        <f t="shared" si="46"/>
        <v>#VALUE!</v>
      </c>
      <c r="V215" s="309" t="e">
        <f t="shared" si="46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3"/>
        <v>#VALUE!</v>
      </c>
    </row>
    <row r="216" spans="3:34">
      <c r="C216" s="307">
        <f t="shared" si="44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6"/>
        <v>#VALUE!</v>
      </c>
      <c r="P216" s="309" t="e">
        <f t="shared" si="46"/>
        <v>#VALUE!</v>
      </c>
      <c r="Q216" s="309" t="e">
        <f t="shared" si="46"/>
        <v>#VALUE!</v>
      </c>
      <c r="R216" s="309" t="e">
        <f t="shared" si="46"/>
        <v>#VALUE!</v>
      </c>
      <c r="S216" s="309" t="e">
        <f t="shared" si="46"/>
        <v>#VALUE!</v>
      </c>
      <c r="T216" s="309" t="e">
        <f t="shared" si="46"/>
        <v>#VALUE!</v>
      </c>
      <c r="U216" s="309" t="e">
        <f t="shared" si="46"/>
        <v>#VALUE!</v>
      </c>
      <c r="V216" s="309" t="e">
        <f t="shared" si="46"/>
        <v>#VALUE!</v>
      </c>
      <c r="W216" s="309" t="e">
        <f t="shared" si="46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3"/>
        <v>#VALUE!</v>
      </c>
    </row>
    <row r="217" spans="3:34">
      <c r="C217" s="307">
        <f t="shared" si="44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6"/>
        <v>#VALUE!</v>
      </c>
      <c r="Q217" s="309" t="e">
        <f t="shared" si="46"/>
        <v>#VALUE!</v>
      </c>
      <c r="R217" s="309" t="e">
        <f t="shared" si="46"/>
        <v>#VALUE!</v>
      </c>
      <c r="S217" s="309" t="e">
        <f t="shared" si="46"/>
        <v>#VALUE!</v>
      </c>
      <c r="T217" s="309" t="e">
        <f t="shared" si="46"/>
        <v>#VALUE!</v>
      </c>
      <c r="U217" s="309" t="e">
        <f t="shared" si="46"/>
        <v>#VALUE!</v>
      </c>
      <c r="V217" s="309" t="e">
        <f t="shared" si="46"/>
        <v>#VALUE!</v>
      </c>
      <c r="W217" s="309" t="e">
        <f t="shared" si="46"/>
        <v>#VALUE!</v>
      </c>
      <c r="X217" s="309" t="e">
        <f t="shared" si="46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3"/>
        <v>#VALUE!</v>
      </c>
    </row>
    <row r="218" spans="3:34">
      <c r="C218" s="307">
        <f t="shared" si="44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6"/>
        <v>#VALUE!</v>
      </c>
      <c r="R218" s="309" t="e">
        <f t="shared" si="46"/>
        <v>#VALUE!</v>
      </c>
      <c r="S218" s="309" t="e">
        <f t="shared" si="46"/>
        <v>#VALUE!</v>
      </c>
      <c r="T218" s="309" t="e">
        <f t="shared" si="46"/>
        <v>#VALUE!</v>
      </c>
      <c r="U218" s="309" t="e">
        <f t="shared" si="46"/>
        <v>#VALUE!</v>
      </c>
      <c r="V218" s="309" t="e">
        <f t="shared" si="46"/>
        <v>#VALUE!</v>
      </c>
      <c r="W218" s="309" t="e">
        <f t="shared" si="46"/>
        <v>#VALUE!</v>
      </c>
      <c r="X218" s="309" t="e">
        <f t="shared" si="46"/>
        <v>#VALUE!</v>
      </c>
      <c r="Y218" s="309" t="e">
        <f t="shared" si="46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3"/>
        <v>#VALUE!</v>
      </c>
    </row>
    <row r="219" spans="3:34">
      <c r="C219" s="307">
        <f t="shared" si="44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6"/>
        <v>#VALUE!</v>
      </c>
      <c r="S219" s="309" t="e">
        <f t="shared" si="46"/>
        <v>#VALUE!</v>
      </c>
      <c r="T219" s="309" t="e">
        <f t="shared" si="46"/>
        <v>#VALUE!</v>
      </c>
      <c r="U219" s="309" t="e">
        <f t="shared" si="46"/>
        <v>#VALUE!</v>
      </c>
      <c r="V219" s="309" t="e">
        <f t="shared" si="46"/>
        <v>#VALUE!</v>
      </c>
      <c r="W219" s="309" t="e">
        <f t="shared" si="46"/>
        <v>#VALUE!</v>
      </c>
      <c r="X219" s="309" t="e">
        <f t="shared" si="46"/>
        <v>#VALUE!</v>
      </c>
      <c r="Y219" s="309" t="e">
        <f t="shared" si="46"/>
        <v>#VALUE!</v>
      </c>
      <c r="Z219" s="309" t="e">
        <f t="shared" si="46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3"/>
        <v>#VALUE!</v>
      </c>
    </row>
    <row r="220" spans="3:34">
      <c r="C220" s="307">
        <f t="shared" si="44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6"/>
        <v>#VALUE!</v>
      </c>
      <c r="T220" s="309" t="e">
        <f t="shared" si="46"/>
        <v>#VALUE!</v>
      </c>
      <c r="U220" s="309" t="e">
        <f t="shared" si="46"/>
        <v>#VALUE!</v>
      </c>
      <c r="V220" s="309" t="e">
        <f t="shared" si="46"/>
        <v>#VALUE!</v>
      </c>
      <c r="W220" s="309" t="e">
        <f t="shared" si="46"/>
        <v>#VALUE!</v>
      </c>
      <c r="X220" s="309" t="e">
        <f t="shared" si="46"/>
        <v>#VALUE!</v>
      </c>
      <c r="Y220" s="309" t="e">
        <f t="shared" si="46"/>
        <v>#VALUE!</v>
      </c>
      <c r="Z220" s="309" t="e">
        <f t="shared" si="46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3"/>
        <v>#VALUE!</v>
      </c>
    </row>
    <row r="221" spans="3:34">
      <c r="C221" s="307">
        <f t="shared" si="44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6"/>
        <v>#VALUE!</v>
      </c>
      <c r="U221" s="309" t="e">
        <f t="shared" si="46"/>
        <v>#VALUE!</v>
      </c>
      <c r="V221" s="309" t="e">
        <f t="shared" si="46"/>
        <v>#VALUE!</v>
      </c>
      <c r="W221" s="309" t="e">
        <f t="shared" si="46"/>
        <v>#VALUE!</v>
      </c>
      <c r="X221" s="309" t="e">
        <f t="shared" si="46"/>
        <v>#VALUE!</v>
      </c>
      <c r="Y221" s="309" t="e">
        <f t="shared" si="46"/>
        <v>#VALUE!</v>
      </c>
      <c r="Z221" s="309" t="e">
        <f t="shared" si="46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3"/>
        <v>#VALUE!</v>
      </c>
    </row>
    <row r="222" spans="3:34">
      <c r="C222" s="307">
        <f t="shared" si="44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6"/>
        <v>#VALUE!</v>
      </c>
      <c r="V222" s="309" t="e">
        <f t="shared" si="46"/>
        <v>#VALUE!</v>
      </c>
      <c r="W222" s="309" t="e">
        <f t="shared" si="46"/>
        <v>#VALUE!</v>
      </c>
      <c r="X222" s="309" t="e">
        <f t="shared" si="46"/>
        <v>#VALUE!</v>
      </c>
      <c r="Y222" s="309" t="e">
        <f t="shared" si="46"/>
        <v>#VALUE!</v>
      </c>
      <c r="Z222" s="309" t="e">
        <f t="shared" si="46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3"/>
        <v>#VALUE!</v>
      </c>
    </row>
    <row r="223" spans="3:34">
      <c r="C223" s="307">
        <f t="shared" si="44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6"/>
        <v>#VALUE!</v>
      </c>
      <c r="W223" s="309" t="e">
        <f t="shared" si="46"/>
        <v>#VALUE!</v>
      </c>
      <c r="X223" s="309" t="e">
        <f t="shared" si="46"/>
        <v>#VALUE!</v>
      </c>
      <c r="Y223" s="309" t="e">
        <f t="shared" si="46"/>
        <v>#VALUE!</v>
      </c>
      <c r="Z223" s="309" t="e">
        <f t="shared" si="46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3"/>
        <v>#VALUE!</v>
      </c>
    </row>
    <row r="224" spans="3:34" ht="13.5" thickBot="1">
      <c r="C224" s="307">
        <f t="shared" si="44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6"/>
        <v>#VALUE!</v>
      </c>
      <c r="X224" s="322" t="e">
        <f t="shared" si="46"/>
        <v>#VALUE!</v>
      </c>
      <c r="Y224" s="322" t="e">
        <f t="shared" si="46"/>
        <v>#VALUE!</v>
      </c>
      <c r="Z224" s="322" t="e">
        <f t="shared" si="46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3"/>
        <v>#VALUE!</v>
      </c>
    </row>
    <row r="225" spans="1:34" ht="14.25" thickTop="1" thickBot="1">
      <c r="C225" s="311" t="s">
        <v>0</v>
      </c>
      <c r="D225" s="328" t="e">
        <f t="shared" ref="D225:AG225" si="47">SUM(D194:D224)</f>
        <v>#VALUE!</v>
      </c>
      <c r="E225" s="328" t="e">
        <f t="shared" si="47"/>
        <v>#VALUE!</v>
      </c>
      <c r="F225" s="328" t="e">
        <f t="shared" si="47"/>
        <v>#VALUE!</v>
      </c>
      <c r="G225" s="328" t="e">
        <f t="shared" si="47"/>
        <v>#VALUE!</v>
      </c>
      <c r="H225" s="328" t="e">
        <f t="shared" si="47"/>
        <v>#VALUE!</v>
      </c>
      <c r="I225" s="328" t="e">
        <f t="shared" si="47"/>
        <v>#VALUE!</v>
      </c>
      <c r="J225" s="328" t="e">
        <f t="shared" si="47"/>
        <v>#VALUE!</v>
      </c>
      <c r="K225" s="328" t="e">
        <f t="shared" si="47"/>
        <v>#VALUE!</v>
      </c>
      <c r="L225" s="328" t="e">
        <f t="shared" si="47"/>
        <v>#VALUE!</v>
      </c>
      <c r="M225" s="328" t="e">
        <f t="shared" si="47"/>
        <v>#VALUE!</v>
      </c>
      <c r="N225" s="336" t="e">
        <f t="shared" si="47"/>
        <v>#VALUE!</v>
      </c>
      <c r="O225" s="328" t="e">
        <f t="shared" si="47"/>
        <v>#VALUE!</v>
      </c>
      <c r="P225" s="328" t="e">
        <f t="shared" si="47"/>
        <v>#VALUE!</v>
      </c>
      <c r="Q225" s="328" t="e">
        <f t="shared" si="47"/>
        <v>#VALUE!</v>
      </c>
      <c r="R225" s="328" t="e">
        <f t="shared" si="47"/>
        <v>#VALUE!</v>
      </c>
      <c r="S225" s="328" t="e">
        <f t="shared" si="47"/>
        <v>#VALUE!</v>
      </c>
      <c r="T225" s="328" t="e">
        <f t="shared" si="47"/>
        <v>#VALUE!</v>
      </c>
      <c r="U225" s="328" t="e">
        <f t="shared" si="47"/>
        <v>#VALUE!</v>
      </c>
      <c r="V225" s="328" t="e">
        <f t="shared" si="47"/>
        <v>#VALUE!</v>
      </c>
      <c r="W225" s="328" t="e">
        <f t="shared" si="47"/>
        <v>#VALUE!</v>
      </c>
      <c r="X225" s="328" t="e">
        <f t="shared" si="47"/>
        <v>#VALUE!</v>
      </c>
      <c r="Y225" s="328" t="e">
        <f t="shared" si="47"/>
        <v>#VALUE!</v>
      </c>
      <c r="Z225" s="328" t="e">
        <f t="shared" si="47"/>
        <v>#VALUE!</v>
      </c>
      <c r="AA225" s="328" t="e">
        <f t="shared" si="47"/>
        <v>#VALUE!</v>
      </c>
      <c r="AB225" s="328" t="e">
        <f t="shared" si="47"/>
        <v>#VALUE!</v>
      </c>
      <c r="AC225" s="328" t="e">
        <f t="shared" si="47"/>
        <v>#VALUE!</v>
      </c>
      <c r="AD225" s="328" t="e">
        <f t="shared" si="47"/>
        <v>#VALUE!</v>
      </c>
      <c r="AE225" s="328" t="e">
        <f t="shared" si="47"/>
        <v>#VALUE!</v>
      </c>
      <c r="AF225" s="329" t="e">
        <f t="shared" si="47"/>
        <v>#VALUE!</v>
      </c>
      <c r="AG225" s="329" t="e">
        <f t="shared" si="47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8">D229+1</f>
        <v>2</v>
      </c>
      <c r="F229" s="302">
        <f t="shared" si="48"/>
        <v>3</v>
      </c>
      <c r="G229" s="302">
        <f t="shared" si="48"/>
        <v>4</v>
      </c>
      <c r="H229" s="302">
        <f t="shared" si="48"/>
        <v>5</v>
      </c>
      <c r="I229" s="302">
        <f t="shared" si="48"/>
        <v>6</v>
      </c>
      <c r="J229" s="302">
        <f t="shared" si="48"/>
        <v>7</v>
      </c>
      <c r="K229" s="302">
        <f t="shared" si="48"/>
        <v>8</v>
      </c>
      <c r="L229" s="302">
        <f t="shared" si="48"/>
        <v>9</v>
      </c>
      <c r="M229" s="302">
        <f t="shared" si="48"/>
        <v>10</v>
      </c>
      <c r="N229" s="302">
        <f t="shared" si="48"/>
        <v>11</v>
      </c>
      <c r="O229" s="302">
        <f t="shared" si="48"/>
        <v>12</v>
      </c>
      <c r="P229" s="302">
        <f t="shared" si="48"/>
        <v>13</v>
      </c>
      <c r="Q229" s="302">
        <f t="shared" si="48"/>
        <v>14</v>
      </c>
      <c r="R229" s="302">
        <f t="shared" si="48"/>
        <v>15</v>
      </c>
      <c r="S229" s="302">
        <f t="shared" si="48"/>
        <v>16</v>
      </c>
      <c r="T229" s="302">
        <f t="shared" si="48"/>
        <v>17</v>
      </c>
      <c r="U229" s="302">
        <f t="shared" si="48"/>
        <v>18</v>
      </c>
      <c r="V229" s="302">
        <f t="shared" si="48"/>
        <v>19</v>
      </c>
      <c r="W229" s="302">
        <f t="shared" si="48"/>
        <v>20</v>
      </c>
      <c r="X229" s="302">
        <f t="shared" si="48"/>
        <v>21</v>
      </c>
      <c r="Y229" s="302">
        <f t="shared" si="48"/>
        <v>22</v>
      </c>
      <c r="Z229" s="302">
        <f t="shared" si="48"/>
        <v>23</v>
      </c>
      <c r="AA229" s="302">
        <f t="shared" si="48"/>
        <v>24</v>
      </c>
      <c r="AB229" s="302">
        <f t="shared" si="48"/>
        <v>25</v>
      </c>
      <c r="AC229" s="302">
        <f t="shared" si="48"/>
        <v>26</v>
      </c>
      <c r="AD229" s="302">
        <f t="shared" si="48"/>
        <v>27</v>
      </c>
      <c r="AE229" s="302">
        <f t="shared" si="48"/>
        <v>28</v>
      </c>
      <c r="AF229" s="302">
        <f t="shared" si="48"/>
        <v>29</v>
      </c>
      <c r="AG229" s="302">
        <f t="shared" si="48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9">SUM(D230:AG230)</f>
        <v>0</v>
      </c>
    </row>
    <row r="231" spans="1:34">
      <c r="C231" s="304">
        <f t="shared" ref="C231:C260" si="50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9"/>
        <v>0</v>
      </c>
    </row>
    <row r="232" spans="1:34">
      <c r="C232" s="304">
        <f t="shared" si="50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9"/>
        <v>#VALUE!</v>
      </c>
    </row>
    <row r="233" spans="1:34">
      <c r="C233" s="304">
        <f t="shared" si="50"/>
        <v>3</v>
      </c>
      <c r="D233" s="305" t="e">
        <f t="shared" ref="D233:S248" si="51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9"/>
        <v>#VALUE!</v>
      </c>
    </row>
    <row r="234" spans="1:34">
      <c r="C234" s="304">
        <f t="shared" si="50"/>
        <v>4</v>
      </c>
      <c r="D234" s="305" t="e">
        <f t="shared" si="51"/>
        <v>#VALUE!</v>
      </c>
      <c r="E234" s="305" t="e">
        <f t="shared" si="51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9"/>
        <v>#VALUE!</v>
      </c>
    </row>
    <row r="235" spans="1:34">
      <c r="C235" s="304">
        <f t="shared" si="50"/>
        <v>5</v>
      </c>
      <c r="D235" s="305" t="e">
        <f t="shared" si="51"/>
        <v>#VALUE!</v>
      </c>
      <c r="E235" s="305" t="e">
        <f t="shared" si="51"/>
        <v>#VALUE!</v>
      </c>
      <c r="F235" s="305" t="e">
        <f t="shared" si="51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9"/>
        <v>#VALUE!</v>
      </c>
    </row>
    <row r="236" spans="1:34">
      <c r="C236" s="304">
        <f t="shared" si="50"/>
        <v>6</v>
      </c>
      <c r="D236" s="305" t="e">
        <f t="shared" si="51"/>
        <v>#VALUE!</v>
      </c>
      <c r="E236" s="305" t="e">
        <f t="shared" si="51"/>
        <v>#VALUE!</v>
      </c>
      <c r="F236" s="305" t="e">
        <f t="shared" si="51"/>
        <v>#VALUE!</v>
      </c>
      <c r="G236" s="305" t="e">
        <f t="shared" si="51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9"/>
        <v>#VALUE!</v>
      </c>
    </row>
    <row r="237" spans="1:34">
      <c r="C237" s="304">
        <f t="shared" si="50"/>
        <v>7</v>
      </c>
      <c r="D237" s="305" t="e">
        <f t="shared" si="51"/>
        <v>#VALUE!</v>
      </c>
      <c r="E237" s="305" t="e">
        <f t="shared" si="51"/>
        <v>#VALUE!</v>
      </c>
      <c r="F237" s="305" t="e">
        <f t="shared" si="51"/>
        <v>#VALUE!</v>
      </c>
      <c r="G237" s="305" t="e">
        <f t="shared" si="51"/>
        <v>#VALUE!</v>
      </c>
      <c r="H237" s="305" t="e">
        <f t="shared" si="51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9"/>
        <v>#VALUE!</v>
      </c>
    </row>
    <row r="238" spans="1:34">
      <c r="C238" s="304">
        <f t="shared" si="50"/>
        <v>8</v>
      </c>
      <c r="D238" s="305" t="e">
        <f t="shared" si="51"/>
        <v>#VALUE!</v>
      </c>
      <c r="E238" s="305" t="e">
        <f t="shared" si="51"/>
        <v>#VALUE!</v>
      </c>
      <c r="F238" s="305" t="e">
        <f t="shared" si="51"/>
        <v>#VALUE!</v>
      </c>
      <c r="G238" s="305" t="e">
        <f t="shared" si="51"/>
        <v>#VALUE!</v>
      </c>
      <c r="H238" s="305" t="e">
        <f t="shared" si="51"/>
        <v>#VALUE!</v>
      </c>
      <c r="I238" s="305" t="e">
        <f t="shared" si="51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9"/>
        <v>#VALUE!</v>
      </c>
    </row>
    <row r="239" spans="1:34">
      <c r="C239" s="304">
        <f t="shared" si="50"/>
        <v>9</v>
      </c>
      <c r="D239" s="305"/>
      <c r="E239" s="305" t="e">
        <f t="shared" si="51"/>
        <v>#VALUE!</v>
      </c>
      <c r="F239" s="305" t="e">
        <f t="shared" si="51"/>
        <v>#VALUE!</v>
      </c>
      <c r="G239" s="305" t="e">
        <f t="shared" si="51"/>
        <v>#VALUE!</v>
      </c>
      <c r="H239" s="305" t="e">
        <f t="shared" si="51"/>
        <v>#VALUE!</v>
      </c>
      <c r="I239" s="305" t="e">
        <f t="shared" si="51"/>
        <v>#VALUE!</v>
      </c>
      <c r="J239" s="305" t="e">
        <f t="shared" si="51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9"/>
        <v>#VALUE!</v>
      </c>
    </row>
    <row r="240" spans="1:34">
      <c r="C240" s="304">
        <f t="shared" si="50"/>
        <v>10</v>
      </c>
      <c r="D240" s="305"/>
      <c r="E240" s="305"/>
      <c r="F240" s="305" t="e">
        <f t="shared" si="51"/>
        <v>#VALUE!</v>
      </c>
      <c r="G240" s="305" t="e">
        <f t="shared" si="51"/>
        <v>#VALUE!</v>
      </c>
      <c r="H240" s="305" t="e">
        <f t="shared" si="51"/>
        <v>#VALUE!</v>
      </c>
      <c r="I240" s="305" t="e">
        <f t="shared" si="51"/>
        <v>#VALUE!</v>
      </c>
      <c r="J240" s="305" t="e">
        <f t="shared" si="51"/>
        <v>#VALUE!</v>
      </c>
      <c r="K240" s="305" t="e">
        <f t="shared" si="51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9"/>
        <v>#VALUE!</v>
      </c>
    </row>
    <row r="241" spans="3:34">
      <c r="C241" s="304">
        <f t="shared" si="50"/>
        <v>11</v>
      </c>
      <c r="D241" s="305"/>
      <c r="E241" s="305"/>
      <c r="F241" s="305"/>
      <c r="G241" s="305" t="e">
        <f t="shared" si="51"/>
        <v>#VALUE!</v>
      </c>
      <c r="H241" s="305" t="e">
        <f t="shared" si="51"/>
        <v>#VALUE!</v>
      </c>
      <c r="I241" s="305" t="e">
        <f t="shared" si="51"/>
        <v>#VALUE!</v>
      </c>
      <c r="J241" s="305" t="e">
        <f t="shared" si="51"/>
        <v>#VALUE!</v>
      </c>
      <c r="K241" s="305" t="e">
        <f t="shared" si="51"/>
        <v>#VALUE!</v>
      </c>
      <c r="L241" s="305" t="e">
        <f t="shared" si="51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9"/>
        <v>#VALUE!</v>
      </c>
    </row>
    <row r="242" spans="3:34">
      <c r="C242" s="304">
        <f t="shared" si="50"/>
        <v>12</v>
      </c>
      <c r="D242" s="305"/>
      <c r="E242" s="305"/>
      <c r="F242" s="305"/>
      <c r="G242" s="305"/>
      <c r="H242" s="305" t="e">
        <f t="shared" si="51"/>
        <v>#VALUE!</v>
      </c>
      <c r="I242" s="305" t="e">
        <f t="shared" si="51"/>
        <v>#VALUE!</v>
      </c>
      <c r="J242" s="305" t="e">
        <f t="shared" si="51"/>
        <v>#VALUE!</v>
      </c>
      <c r="K242" s="305" t="e">
        <f t="shared" si="51"/>
        <v>#VALUE!</v>
      </c>
      <c r="L242" s="305" t="e">
        <f t="shared" si="51"/>
        <v>#VALUE!</v>
      </c>
      <c r="M242" s="305" t="e">
        <f t="shared" si="51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9"/>
        <v>#VALUE!</v>
      </c>
    </row>
    <row r="243" spans="3:34">
      <c r="C243" s="304">
        <f t="shared" si="50"/>
        <v>13</v>
      </c>
      <c r="D243" s="305"/>
      <c r="E243" s="305"/>
      <c r="F243" s="305"/>
      <c r="G243" s="305"/>
      <c r="H243" s="305"/>
      <c r="I243" s="305" t="e">
        <f t="shared" si="51"/>
        <v>#VALUE!</v>
      </c>
      <c r="J243" s="305" t="e">
        <f t="shared" si="51"/>
        <v>#VALUE!</v>
      </c>
      <c r="K243" s="305" t="e">
        <f t="shared" si="51"/>
        <v>#VALUE!</v>
      </c>
      <c r="L243" s="305" t="e">
        <f t="shared" si="51"/>
        <v>#VALUE!</v>
      </c>
      <c r="M243" s="305" t="e">
        <f t="shared" si="51"/>
        <v>#VALUE!</v>
      </c>
      <c r="N243" s="305" t="e">
        <f t="shared" si="51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9"/>
        <v>#VALUE!</v>
      </c>
    </row>
    <row r="244" spans="3:34">
      <c r="C244" s="304">
        <f t="shared" si="50"/>
        <v>14</v>
      </c>
      <c r="D244" s="305"/>
      <c r="E244" s="305"/>
      <c r="F244" s="305"/>
      <c r="G244" s="305"/>
      <c r="H244" s="305"/>
      <c r="I244" s="305"/>
      <c r="J244" s="305" t="e">
        <f t="shared" si="51"/>
        <v>#VALUE!</v>
      </c>
      <c r="K244" s="305" t="e">
        <f t="shared" si="51"/>
        <v>#VALUE!</v>
      </c>
      <c r="L244" s="305" t="e">
        <f t="shared" si="51"/>
        <v>#VALUE!</v>
      </c>
      <c r="M244" s="305" t="e">
        <f t="shared" si="51"/>
        <v>#VALUE!</v>
      </c>
      <c r="N244" s="305" t="e">
        <f t="shared" si="51"/>
        <v>#VALUE!</v>
      </c>
      <c r="O244" s="305" t="e">
        <f t="shared" si="51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9"/>
        <v>#VALUE!</v>
      </c>
    </row>
    <row r="245" spans="3:34">
      <c r="C245" s="304">
        <f t="shared" si="50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1"/>
        <v>#VALUE!</v>
      </c>
      <c r="L245" s="305" t="e">
        <f t="shared" si="51"/>
        <v>#VALUE!</v>
      </c>
      <c r="M245" s="305" t="e">
        <f t="shared" si="51"/>
        <v>#VALUE!</v>
      </c>
      <c r="N245" s="305" t="e">
        <f t="shared" si="51"/>
        <v>#VALUE!</v>
      </c>
      <c r="O245" s="305" t="e">
        <f t="shared" si="51"/>
        <v>#VALUE!</v>
      </c>
      <c r="P245" s="305" t="e">
        <f t="shared" si="51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9"/>
        <v>#VALUE!</v>
      </c>
    </row>
    <row r="246" spans="3:34">
      <c r="C246" s="304">
        <f t="shared" si="50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1"/>
        <v>#VALUE!</v>
      </c>
      <c r="M246" s="305" t="e">
        <f t="shared" si="51"/>
        <v>#VALUE!</v>
      </c>
      <c r="N246" s="305" t="e">
        <f t="shared" si="51"/>
        <v>#VALUE!</v>
      </c>
      <c r="O246" s="305" t="e">
        <f t="shared" si="51"/>
        <v>#VALUE!</v>
      </c>
      <c r="P246" s="305" t="e">
        <f t="shared" si="51"/>
        <v>#VALUE!</v>
      </c>
      <c r="Q246" s="305" t="e">
        <f t="shared" si="51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9"/>
        <v>#VALUE!</v>
      </c>
    </row>
    <row r="247" spans="3:34">
      <c r="C247" s="304">
        <f t="shared" si="50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1"/>
        <v>#VALUE!</v>
      </c>
      <c r="N247" s="305" t="e">
        <f t="shared" si="51"/>
        <v>#VALUE!</v>
      </c>
      <c r="O247" s="305" t="e">
        <f t="shared" si="51"/>
        <v>#VALUE!</v>
      </c>
      <c r="P247" s="305" t="e">
        <f t="shared" si="51"/>
        <v>#VALUE!</v>
      </c>
      <c r="Q247" s="305" t="e">
        <f t="shared" si="51"/>
        <v>#VALUE!</v>
      </c>
      <c r="R247" s="305" t="e">
        <f t="shared" si="51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9"/>
        <v>#VALUE!</v>
      </c>
    </row>
    <row r="248" spans="3:34">
      <c r="C248" s="304">
        <f t="shared" si="50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1"/>
        <v>#VALUE!</v>
      </c>
      <c r="O248" s="305" t="e">
        <f t="shared" si="51"/>
        <v>#VALUE!</v>
      </c>
      <c r="P248" s="305" t="e">
        <f t="shared" si="51"/>
        <v>#VALUE!</v>
      </c>
      <c r="Q248" s="305" t="e">
        <f t="shared" si="51"/>
        <v>#VALUE!</v>
      </c>
      <c r="R248" s="305" t="e">
        <f t="shared" si="51"/>
        <v>#VALUE!</v>
      </c>
      <c r="S248" s="305" t="e">
        <f t="shared" si="51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9"/>
        <v>#VALUE!</v>
      </c>
    </row>
    <row r="249" spans="3:34">
      <c r="C249" s="304">
        <f t="shared" si="50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2">O248</f>
        <v>#VALUE!</v>
      </c>
      <c r="P249" s="305" t="e">
        <f t="shared" si="52"/>
        <v>#VALUE!</v>
      </c>
      <c r="Q249" s="305" t="e">
        <f t="shared" si="52"/>
        <v>#VALUE!</v>
      </c>
      <c r="R249" s="305" t="e">
        <f t="shared" si="52"/>
        <v>#VALUE!</v>
      </c>
      <c r="S249" s="305" t="e">
        <f t="shared" si="52"/>
        <v>#VALUE!</v>
      </c>
      <c r="T249" s="305" t="e">
        <f t="shared" si="52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9"/>
        <v>#VALUE!</v>
      </c>
    </row>
    <row r="250" spans="3:34">
      <c r="C250" s="304">
        <f t="shared" si="50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2"/>
        <v>#VALUE!</v>
      </c>
      <c r="Q250" s="305" t="e">
        <f t="shared" si="52"/>
        <v>#VALUE!</v>
      </c>
      <c r="R250" s="305" t="e">
        <f t="shared" si="52"/>
        <v>#VALUE!</v>
      </c>
      <c r="S250" s="305" t="e">
        <f t="shared" si="52"/>
        <v>#VALUE!</v>
      </c>
      <c r="T250" s="305" t="e">
        <f t="shared" si="52"/>
        <v>#VALUE!</v>
      </c>
      <c r="U250" s="305" t="e">
        <f t="shared" si="52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9"/>
        <v>#VALUE!</v>
      </c>
    </row>
    <row r="251" spans="3:34">
      <c r="C251" s="304">
        <f t="shared" si="50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2"/>
        <v>#VALUE!</v>
      </c>
      <c r="R251" s="305" t="e">
        <f t="shared" si="52"/>
        <v>#VALUE!</v>
      </c>
      <c r="S251" s="305" t="e">
        <f t="shared" si="52"/>
        <v>#VALUE!</v>
      </c>
      <c r="T251" s="305" t="e">
        <f t="shared" si="52"/>
        <v>#VALUE!</v>
      </c>
      <c r="U251" s="305" t="e">
        <f t="shared" si="52"/>
        <v>#VALUE!</v>
      </c>
      <c r="V251" s="305" t="e">
        <f t="shared" si="52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9"/>
        <v>#VALUE!</v>
      </c>
    </row>
    <row r="252" spans="3:34">
      <c r="C252" s="304">
        <f t="shared" si="50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2"/>
        <v>#VALUE!</v>
      </c>
      <c r="S252" s="305" t="e">
        <f t="shared" si="52"/>
        <v>#VALUE!</v>
      </c>
      <c r="T252" s="305" t="e">
        <f t="shared" si="52"/>
        <v>#VALUE!</v>
      </c>
      <c r="U252" s="305" t="e">
        <f t="shared" si="52"/>
        <v>#VALUE!</v>
      </c>
      <c r="V252" s="305" t="e">
        <f t="shared" si="52"/>
        <v>#VALUE!</v>
      </c>
      <c r="W252" s="305" t="e">
        <f t="shared" si="52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9"/>
        <v>#VALUE!</v>
      </c>
    </row>
    <row r="253" spans="3:34">
      <c r="C253" s="304">
        <f t="shared" si="50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2"/>
        <v>#VALUE!</v>
      </c>
      <c r="T253" s="305" t="e">
        <f t="shared" si="52"/>
        <v>#VALUE!</v>
      </c>
      <c r="U253" s="305" t="e">
        <f t="shared" si="52"/>
        <v>#VALUE!</v>
      </c>
      <c r="V253" s="305" t="e">
        <f t="shared" si="52"/>
        <v>#VALUE!</v>
      </c>
      <c r="W253" s="305" t="e">
        <f t="shared" si="52"/>
        <v>#VALUE!</v>
      </c>
      <c r="X253" s="305" t="e">
        <f t="shared" si="52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9"/>
        <v>#VALUE!</v>
      </c>
    </row>
    <row r="254" spans="3:34">
      <c r="C254" s="304">
        <f t="shared" si="50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2"/>
        <v>#VALUE!</v>
      </c>
      <c r="U254" s="305" t="e">
        <f t="shared" si="52"/>
        <v>#VALUE!</v>
      </c>
      <c r="V254" s="305" t="e">
        <f t="shared" si="52"/>
        <v>#VALUE!</v>
      </c>
      <c r="W254" s="305" t="e">
        <f t="shared" si="52"/>
        <v>#VALUE!</v>
      </c>
      <c r="X254" s="305" t="e">
        <f t="shared" si="52"/>
        <v>#VALUE!</v>
      </c>
      <c r="Y254" s="305" t="e">
        <f t="shared" si="52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9"/>
        <v>#VALUE!</v>
      </c>
    </row>
    <row r="255" spans="3:34">
      <c r="C255" s="304">
        <f t="shared" si="50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2"/>
        <v>#VALUE!</v>
      </c>
      <c r="V255" s="305" t="e">
        <f t="shared" si="52"/>
        <v>#VALUE!</v>
      </c>
      <c r="W255" s="305" t="e">
        <f t="shared" si="52"/>
        <v>#VALUE!</v>
      </c>
      <c r="X255" s="305" t="e">
        <f t="shared" si="52"/>
        <v>#VALUE!</v>
      </c>
      <c r="Y255" s="305" t="e">
        <f t="shared" si="52"/>
        <v>#VALUE!</v>
      </c>
      <c r="Z255" s="305" t="e">
        <f t="shared" si="52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9"/>
        <v>#VALUE!</v>
      </c>
    </row>
    <row r="256" spans="3:34">
      <c r="C256" s="304">
        <f t="shared" si="50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2"/>
        <v>#VALUE!</v>
      </c>
      <c r="W256" s="305" t="e">
        <f t="shared" si="52"/>
        <v>#VALUE!</v>
      </c>
      <c r="X256" s="305" t="e">
        <f t="shared" si="52"/>
        <v>#VALUE!</v>
      </c>
      <c r="Y256" s="305" t="e">
        <f t="shared" si="52"/>
        <v>#VALUE!</v>
      </c>
      <c r="Z256" s="305" t="e">
        <f t="shared" si="52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9"/>
        <v>#VALUE!</v>
      </c>
    </row>
    <row r="257" spans="1:34">
      <c r="C257" s="304">
        <f t="shared" si="50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2"/>
        <v>#VALUE!</v>
      </c>
      <c r="X257" s="305" t="e">
        <f t="shared" si="52"/>
        <v>#VALUE!</v>
      </c>
      <c r="Y257" s="305" t="e">
        <f t="shared" si="52"/>
        <v>#VALUE!</v>
      </c>
      <c r="Z257" s="305" t="e">
        <f t="shared" si="52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9"/>
        <v>#VALUE!</v>
      </c>
    </row>
    <row r="258" spans="1:34">
      <c r="C258" s="304">
        <f t="shared" si="50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2"/>
        <v>#VALUE!</v>
      </c>
      <c r="Y258" s="305" t="e">
        <f t="shared" si="52"/>
        <v>#VALUE!</v>
      </c>
      <c r="Z258" s="305" t="e">
        <f t="shared" si="52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9"/>
        <v>#VALUE!</v>
      </c>
    </row>
    <row r="259" spans="1:34">
      <c r="C259" s="304">
        <f t="shared" si="50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2"/>
        <v>#VALUE!</v>
      </c>
      <c r="Z259" s="305" t="e">
        <f t="shared" si="52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9"/>
        <v>#VALUE!</v>
      </c>
    </row>
    <row r="260" spans="1:34" ht="13.5" thickBot="1">
      <c r="C260" s="304">
        <f t="shared" si="50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2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9"/>
        <v>#VALUE!</v>
      </c>
    </row>
    <row r="261" spans="1:34" ht="14.25" thickTop="1" thickBot="1">
      <c r="C261" s="311" t="s">
        <v>0</v>
      </c>
      <c r="D261" s="328" t="e">
        <f t="shared" ref="D261:AH261" si="53">SUM(D230:D260)</f>
        <v>#VALUE!</v>
      </c>
      <c r="E261" s="328" t="e">
        <f t="shared" si="53"/>
        <v>#VALUE!</v>
      </c>
      <c r="F261" s="328" t="e">
        <f t="shared" si="53"/>
        <v>#VALUE!</v>
      </c>
      <c r="G261" s="328" t="e">
        <f t="shared" si="53"/>
        <v>#VALUE!</v>
      </c>
      <c r="H261" s="328" t="e">
        <f t="shared" si="53"/>
        <v>#VALUE!</v>
      </c>
      <c r="I261" s="328" t="e">
        <f t="shared" si="53"/>
        <v>#VALUE!</v>
      </c>
      <c r="J261" s="328" t="e">
        <f t="shared" si="53"/>
        <v>#VALUE!</v>
      </c>
      <c r="K261" s="328" t="e">
        <f t="shared" si="53"/>
        <v>#VALUE!</v>
      </c>
      <c r="L261" s="328" t="e">
        <f t="shared" si="53"/>
        <v>#VALUE!</v>
      </c>
      <c r="M261" s="328" t="e">
        <f t="shared" si="53"/>
        <v>#VALUE!</v>
      </c>
      <c r="N261" s="328" t="e">
        <f t="shared" si="53"/>
        <v>#VALUE!</v>
      </c>
      <c r="O261" s="328" t="e">
        <f t="shared" si="53"/>
        <v>#VALUE!</v>
      </c>
      <c r="P261" s="328" t="e">
        <f t="shared" si="53"/>
        <v>#VALUE!</v>
      </c>
      <c r="Q261" s="328" t="e">
        <f t="shared" si="53"/>
        <v>#VALUE!</v>
      </c>
      <c r="R261" s="328" t="e">
        <f t="shared" si="53"/>
        <v>#VALUE!</v>
      </c>
      <c r="S261" s="328" t="e">
        <f t="shared" si="53"/>
        <v>#VALUE!</v>
      </c>
      <c r="T261" s="328" t="e">
        <f t="shared" si="53"/>
        <v>#VALUE!</v>
      </c>
      <c r="U261" s="328" t="e">
        <f t="shared" si="53"/>
        <v>#VALUE!</v>
      </c>
      <c r="V261" s="328" t="e">
        <f t="shared" si="53"/>
        <v>#VALUE!</v>
      </c>
      <c r="W261" s="328" t="e">
        <f t="shared" si="53"/>
        <v>#VALUE!</v>
      </c>
      <c r="X261" s="328" t="e">
        <f t="shared" si="53"/>
        <v>#VALUE!</v>
      </c>
      <c r="Y261" s="328" t="e">
        <f t="shared" si="53"/>
        <v>#VALUE!</v>
      </c>
      <c r="Z261" s="328" t="e">
        <f t="shared" si="53"/>
        <v>#VALUE!</v>
      </c>
      <c r="AA261" s="328" t="e">
        <f t="shared" si="53"/>
        <v>#VALUE!</v>
      </c>
      <c r="AB261" s="328" t="e">
        <f t="shared" si="53"/>
        <v>#VALUE!</v>
      </c>
      <c r="AC261" s="328" t="e">
        <f t="shared" si="53"/>
        <v>#VALUE!</v>
      </c>
      <c r="AD261" s="328" t="e">
        <f t="shared" si="53"/>
        <v>#VALUE!</v>
      </c>
      <c r="AE261" s="328" t="e">
        <f t="shared" si="53"/>
        <v>#VALUE!</v>
      </c>
      <c r="AF261" s="329" t="e">
        <f t="shared" si="53"/>
        <v>#VALUE!</v>
      </c>
      <c r="AG261" s="328" t="e">
        <f t="shared" si="53"/>
        <v>#VALUE!</v>
      </c>
      <c r="AH261" s="315" t="e">
        <f t="shared" si="53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4">D267+1</f>
        <v>2</v>
      </c>
      <c r="F267" s="302">
        <f t="shared" si="54"/>
        <v>3</v>
      </c>
      <c r="G267" s="302">
        <f t="shared" si="54"/>
        <v>4</v>
      </c>
      <c r="H267" s="302">
        <f t="shared" si="54"/>
        <v>5</v>
      </c>
      <c r="I267" s="302">
        <f t="shared" si="54"/>
        <v>6</v>
      </c>
      <c r="J267" s="302">
        <f t="shared" si="54"/>
        <v>7</v>
      </c>
      <c r="K267" s="302">
        <f t="shared" si="54"/>
        <v>8</v>
      </c>
      <c r="L267" s="302">
        <f t="shared" si="54"/>
        <v>9</v>
      </c>
      <c r="M267" s="302">
        <f t="shared" si="54"/>
        <v>10</v>
      </c>
      <c r="N267" s="302">
        <f t="shared" si="54"/>
        <v>11</v>
      </c>
      <c r="O267" s="302">
        <f t="shared" si="54"/>
        <v>12</v>
      </c>
      <c r="P267" s="302">
        <f t="shared" si="54"/>
        <v>13</v>
      </c>
      <c r="Q267" s="302">
        <f t="shared" si="54"/>
        <v>14</v>
      </c>
      <c r="R267" s="302">
        <f t="shared" si="54"/>
        <v>15</v>
      </c>
      <c r="S267" s="302">
        <f t="shared" si="54"/>
        <v>16</v>
      </c>
      <c r="T267" s="302">
        <f t="shared" si="54"/>
        <v>17</v>
      </c>
      <c r="U267" s="302">
        <f t="shared" si="54"/>
        <v>18</v>
      </c>
      <c r="V267" s="302">
        <f t="shared" si="54"/>
        <v>19</v>
      </c>
      <c r="W267" s="302">
        <f t="shared" si="54"/>
        <v>20</v>
      </c>
      <c r="X267" s="302">
        <f t="shared" si="54"/>
        <v>21</v>
      </c>
      <c r="Y267" s="302">
        <f t="shared" si="54"/>
        <v>22</v>
      </c>
      <c r="Z267" s="302">
        <f t="shared" si="54"/>
        <v>23</v>
      </c>
      <c r="AA267" s="302">
        <f t="shared" si="54"/>
        <v>24</v>
      </c>
      <c r="AB267" s="302">
        <f t="shared" si="54"/>
        <v>25</v>
      </c>
      <c r="AC267" s="302">
        <f t="shared" si="54"/>
        <v>26</v>
      </c>
      <c r="AD267" s="302">
        <f t="shared" si="54"/>
        <v>27</v>
      </c>
      <c r="AE267" s="302">
        <f t="shared" si="54"/>
        <v>28</v>
      </c>
      <c r="AF267" s="302">
        <f t="shared" si="54"/>
        <v>29</v>
      </c>
      <c r="AG267" s="302">
        <f t="shared" si="54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5">SUM(D268:AG268)</f>
        <v>0</v>
      </c>
    </row>
    <row r="269" spans="1:34">
      <c r="C269" s="307">
        <f t="shared" ref="C269:C298" si="56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5"/>
        <v>0</v>
      </c>
    </row>
    <row r="270" spans="1:34">
      <c r="C270" s="307">
        <f t="shared" si="56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5"/>
        <v>#VALUE!</v>
      </c>
    </row>
    <row r="271" spans="1:34">
      <c r="C271" s="307">
        <f t="shared" si="56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5"/>
        <v>#VALUE!</v>
      </c>
    </row>
    <row r="272" spans="1:34">
      <c r="C272" s="307">
        <f t="shared" si="56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5"/>
        <v>#VALUE!</v>
      </c>
    </row>
    <row r="273" spans="3:34">
      <c r="C273" s="307">
        <f t="shared" si="56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5"/>
        <v>#VALUE!</v>
      </c>
    </row>
    <row r="274" spans="3:34">
      <c r="C274" s="307">
        <f t="shared" si="56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5"/>
        <v>#VALUE!</v>
      </c>
    </row>
    <row r="275" spans="3:34">
      <c r="C275" s="307">
        <f t="shared" si="56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5"/>
        <v>#VALUE!</v>
      </c>
    </row>
    <row r="276" spans="3:34">
      <c r="C276" s="307">
        <f t="shared" si="56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5"/>
        <v>#VALUE!</v>
      </c>
    </row>
    <row r="277" spans="3:34">
      <c r="C277" s="307">
        <f t="shared" si="56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5"/>
        <v>#VALUE!</v>
      </c>
    </row>
    <row r="278" spans="3:34">
      <c r="C278" s="307">
        <f t="shared" si="56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5"/>
        <v>#VALUE!</v>
      </c>
    </row>
    <row r="279" spans="3:34">
      <c r="C279" s="307">
        <f t="shared" si="56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5"/>
        <v>#VALUE!</v>
      </c>
    </row>
    <row r="280" spans="3:34">
      <c r="C280" s="307">
        <f t="shared" si="56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5"/>
        <v>#VALUE!</v>
      </c>
    </row>
    <row r="281" spans="3:34">
      <c r="C281" s="307">
        <f t="shared" si="56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5"/>
        <v>#VALUE!</v>
      </c>
    </row>
    <row r="282" spans="3:34">
      <c r="C282" s="307">
        <f t="shared" si="56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5"/>
        <v>#VALUE!</v>
      </c>
    </row>
    <row r="283" spans="3:34">
      <c r="C283" s="307">
        <f t="shared" si="56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5"/>
        <v>#VALUE!</v>
      </c>
    </row>
    <row r="284" spans="3:34">
      <c r="C284" s="307">
        <f t="shared" si="56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5"/>
        <v>#VALUE!</v>
      </c>
    </row>
    <row r="285" spans="3:34">
      <c r="C285" s="307">
        <f t="shared" si="56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5"/>
        <v>#VALUE!</v>
      </c>
    </row>
    <row r="286" spans="3:34">
      <c r="C286" s="307">
        <f t="shared" si="56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5"/>
        <v>#VALUE!</v>
      </c>
    </row>
    <row r="287" spans="3:34">
      <c r="C287" s="307">
        <f t="shared" si="56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5"/>
        <v>#VALUE!</v>
      </c>
    </row>
    <row r="288" spans="3:34">
      <c r="C288" s="307">
        <f t="shared" si="56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5"/>
        <v>#VALUE!</v>
      </c>
    </row>
    <row r="289" spans="1:34">
      <c r="C289" s="307">
        <f t="shared" si="56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5"/>
        <v>#VALUE!</v>
      </c>
    </row>
    <row r="290" spans="1:34">
      <c r="C290" s="307">
        <f t="shared" si="56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5"/>
        <v>#VALUE!</v>
      </c>
    </row>
    <row r="291" spans="1:34">
      <c r="C291" s="307">
        <f t="shared" si="56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5"/>
        <v>#VALUE!</v>
      </c>
    </row>
    <row r="292" spans="1:34">
      <c r="C292" s="307">
        <f t="shared" si="56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5"/>
        <v>#VALUE!</v>
      </c>
    </row>
    <row r="293" spans="1:34">
      <c r="C293" s="307">
        <f t="shared" si="56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5"/>
        <v>#VALUE!</v>
      </c>
    </row>
    <row r="294" spans="1:34">
      <c r="C294" s="307">
        <f t="shared" si="56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5"/>
        <v>#VALUE!</v>
      </c>
    </row>
    <row r="295" spans="1:34">
      <c r="C295" s="307">
        <f t="shared" si="56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5"/>
        <v>#VALUE!</v>
      </c>
    </row>
    <row r="296" spans="1:34">
      <c r="C296" s="307">
        <f t="shared" si="56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5"/>
        <v>#VALUE!</v>
      </c>
    </row>
    <row r="297" spans="1:34">
      <c r="C297" s="307">
        <f t="shared" si="56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5"/>
        <v>#VALUE!</v>
      </c>
    </row>
    <row r="298" spans="1:34" ht="13.5" thickBot="1">
      <c r="C298" s="307">
        <f t="shared" si="56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5"/>
        <v>#VALUE!</v>
      </c>
    </row>
    <row r="299" spans="1:34" ht="14.25" thickTop="1" thickBot="1">
      <c r="C299" s="311" t="s">
        <v>0</v>
      </c>
      <c r="D299" s="328" t="e">
        <f t="shared" ref="D299:AH299" si="57">SUM(D268:D298)</f>
        <v>#VALUE!</v>
      </c>
      <c r="E299" s="328" t="e">
        <f t="shared" si="57"/>
        <v>#VALUE!</v>
      </c>
      <c r="F299" s="328" t="e">
        <f t="shared" si="57"/>
        <v>#VALUE!</v>
      </c>
      <c r="G299" s="328" t="e">
        <f t="shared" si="57"/>
        <v>#VALUE!</v>
      </c>
      <c r="H299" s="328" t="e">
        <f t="shared" si="57"/>
        <v>#VALUE!</v>
      </c>
      <c r="I299" s="328" t="e">
        <f t="shared" si="57"/>
        <v>#VALUE!</v>
      </c>
      <c r="J299" s="328" t="e">
        <f t="shared" si="57"/>
        <v>#VALUE!</v>
      </c>
      <c r="K299" s="328" t="e">
        <f t="shared" si="57"/>
        <v>#VALUE!</v>
      </c>
      <c r="L299" s="340" t="e">
        <f t="shared" si="57"/>
        <v>#VALUE!</v>
      </c>
      <c r="M299" s="340" t="e">
        <f t="shared" si="57"/>
        <v>#VALUE!</v>
      </c>
      <c r="N299" s="328" t="e">
        <f t="shared" si="57"/>
        <v>#VALUE!</v>
      </c>
      <c r="O299" s="328" t="e">
        <f t="shared" si="57"/>
        <v>#VALUE!</v>
      </c>
      <c r="P299" s="328" t="e">
        <f t="shared" si="57"/>
        <v>#VALUE!</v>
      </c>
      <c r="Q299" s="328" t="e">
        <f t="shared" si="57"/>
        <v>#VALUE!</v>
      </c>
      <c r="R299" s="328" t="e">
        <f t="shared" si="57"/>
        <v>#VALUE!</v>
      </c>
      <c r="S299" s="328" t="e">
        <f t="shared" si="57"/>
        <v>#VALUE!</v>
      </c>
      <c r="T299" s="328" t="e">
        <f t="shared" si="57"/>
        <v>#VALUE!</v>
      </c>
      <c r="U299" s="328" t="e">
        <f t="shared" si="57"/>
        <v>#VALUE!</v>
      </c>
      <c r="V299" s="328" t="e">
        <f t="shared" si="57"/>
        <v>#VALUE!</v>
      </c>
      <c r="W299" s="328" t="e">
        <f t="shared" si="57"/>
        <v>#VALUE!</v>
      </c>
      <c r="X299" s="328" t="e">
        <f t="shared" si="57"/>
        <v>#VALUE!</v>
      </c>
      <c r="Y299" s="328" t="e">
        <f t="shared" si="57"/>
        <v>#VALUE!</v>
      </c>
      <c r="Z299" s="328" t="e">
        <f t="shared" si="57"/>
        <v>#VALUE!</v>
      </c>
      <c r="AA299" s="328" t="e">
        <f t="shared" si="57"/>
        <v>#VALUE!</v>
      </c>
      <c r="AB299" s="328" t="e">
        <f t="shared" si="57"/>
        <v>#VALUE!</v>
      </c>
      <c r="AC299" s="328" t="e">
        <f t="shared" si="57"/>
        <v>#VALUE!</v>
      </c>
      <c r="AD299" s="328" t="e">
        <f t="shared" si="57"/>
        <v>#VALUE!</v>
      </c>
      <c r="AE299" s="328" t="e">
        <f t="shared" si="57"/>
        <v>#VALUE!</v>
      </c>
      <c r="AF299" s="329" t="e">
        <f t="shared" si="57"/>
        <v>#VALUE!</v>
      </c>
      <c r="AG299" s="328" t="e">
        <f t="shared" si="57"/>
        <v>#VALUE!</v>
      </c>
      <c r="AH299" s="315" t="e">
        <f t="shared" si="57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8">D305+1</f>
        <v>2</v>
      </c>
      <c r="F305" s="302">
        <f t="shared" si="58"/>
        <v>3</v>
      </c>
      <c r="G305" s="302">
        <f t="shared" si="58"/>
        <v>4</v>
      </c>
      <c r="H305" s="302">
        <f t="shared" si="58"/>
        <v>5</v>
      </c>
      <c r="I305" s="302">
        <f t="shared" si="58"/>
        <v>6</v>
      </c>
      <c r="J305" s="302">
        <f t="shared" si="58"/>
        <v>7</v>
      </c>
      <c r="K305" s="302">
        <f t="shared" si="58"/>
        <v>8</v>
      </c>
      <c r="L305" s="302">
        <f t="shared" si="58"/>
        <v>9</v>
      </c>
      <c r="M305" s="302">
        <f t="shared" si="58"/>
        <v>10</v>
      </c>
      <c r="N305" s="302">
        <f t="shared" si="58"/>
        <v>11</v>
      </c>
      <c r="O305" s="302">
        <f t="shared" si="58"/>
        <v>12</v>
      </c>
      <c r="P305" s="302">
        <f t="shared" si="58"/>
        <v>13</v>
      </c>
      <c r="Q305" s="302">
        <f t="shared" si="58"/>
        <v>14</v>
      </c>
      <c r="R305" s="302">
        <f t="shared" si="58"/>
        <v>15</v>
      </c>
      <c r="S305" s="302">
        <f t="shared" si="58"/>
        <v>16</v>
      </c>
      <c r="T305" s="302">
        <f t="shared" si="58"/>
        <v>17</v>
      </c>
      <c r="U305" s="302">
        <f t="shared" si="58"/>
        <v>18</v>
      </c>
      <c r="V305" s="302">
        <f t="shared" si="58"/>
        <v>19</v>
      </c>
      <c r="W305" s="302">
        <f t="shared" si="58"/>
        <v>20</v>
      </c>
      <c r="X305" s="302">
        <f t="shared" si="58"/>
        <v>21</v>
      </c>
      <c r="Y305" s="302">
        <f t="shared" si="58"/>
        <v>22</v>
      </c>
      <c r="Z305" s="302">
        <f t="shared" si="58"/>
        <v>23</v>
      </c>
      <c r="AA305" s="302">
        <f t="shared" si="58"/>
        <v>24</v>
      </c>
      <c r="AB305" s="302">
        <f t="shared" si="58"/>
        <v>25</v>
      </c>
      <c r="AC305" s="302">
        <f t="shared" si="58"/>
        <v>26</v>
      </c>
      <c r="AD305" s="302">
        <f t="shared" si="58"/>
        <v>27</v>
      </c>
      <c r="AE305" s="302">
        <f t="shared" si="58"/>
        <v>28</v>
      </c>
      <c r="AF305" s="302">
        <f t="shared" si="58"/>
        <v>29</v>
      </c>
      <c r="AG305" s="302">
        <f t="shared" si="58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9">SUM(D306:AG306)</f>
        <v>0</v>
      </c>
    </row>
    <row r="307" spans="3:34">
      <c r="C307" s="307">
        <f t="shared" ref="C307:C336" si="60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9"/>
        <v>0</v>
      </c>
    </row>
    <row r="308" spans="3:34">
      <c r="C308" s="307">
        <f t="shared" si="60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9"/>
        <v>#VALUE!</v>
      </c>
    </row>
    <row r="309" spans="3:34">
      <c r="C309" s="307">
        <f t="shared" si="60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9"/>
        <v>#VALUE!</v>
      </c>
    </row>
    <row r="310" spans="3:34">
      <c r="C310" s="307">
        <f t="shared" si="60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9"/>
        <v>#VALUE!</v>
      </c>
    </row>
    <row r="311" spans="3:34">
      <c r="C311" s="307">
        <f t="shared" si="60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9"/>
        <v>#VALUE!</v>
      </c>
    </row>
    <row r="312" spans="3:34">
      <c r="C312" s="307">
        <f t="shared" si="60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9"/>
        <v>#VALUE!</v>
      </c>
    </row>
    <row r="313" spans="3:34">
      <c r="C313" s="307">
        <f t="shared" si="60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9"/>
        <v>#VALUE!</v>
      </c>
    </row>
    <row r="314" spans="3:34">
      <c r="C314" s="307">
        <f t="shared" si="60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9"/>
        <v>#VALUE!</v>
      </c>
    </row>
    <row r="315" spans="3:34">
      <c r="C315" s="307">
        <f t="shared" si="60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9"/>
        <v>#VALUE!</v>
      </c>
    </row>
    <row r="316" spans="3:34">
      <c r="C316" s="307">
        <f t="shared" si="60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9"/>
        <v>#VALUE!</v>
      </c>
    </row>
    <row r="317" spans="3:34">
      <c r="C317" s="307">
        <f t="shared" si="60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9"/>
        <v>#VALUE!</v>
      </c>
    </row>
    <row r="318" spans="3:34">
      <c r="C318" s="307">
        <f t="shared" si="60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9"/>
        <v>#VALUE!</v>
      </c>
    </row>
    <row r="319" spans="3:34">
      <c r="C319" s="307">
        <f t="shared" si="60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9"/>
        <v>#VALUE!</v>
      </c>
    </row>
    <row r="320" spans="3:34">
      <c r="C320" s="307">
        <f t="shared" si="60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9"/>
        <v>#VALUE!</v>
      </c>
    </row>
    <row r="321" spans="3:34">
      <c r="C321" s="307">
        <f t="shared" si="60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9"/>
        <v>#VALUE!</v>
      </c>
    </row>
    <row r="322" spans="3:34">
      <c r="C322" s="307">
        <f t="shared" si="60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9"/>
        <v>#VALUE!</v>
      </c>
    </row>
    <row r="323" spans="3:34">
      <c r="C323" s="307">
        <f t="shared" si="60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9"/>
        <v>#VALUE!</v>
      </c>
    </row>
    <row r="324" spans="3:34">
      <c r="C324" s="307">
        <f t="shared" si="60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9"/>
        <v>#VALUE!</v>
      </c>
    </row>
    <row r="325" spans="3:34">
      <c r="C325" s="307">
        <f t="shared" si="60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9"/>
        <v>#VALUE!</v>
      </c>
    </row>
    <row r="326" spans="3:34">
      <c r="C326" s="307">
        <f t="shared" si="60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9"/>
        <v>#VALUE!</v>
      </c>
    </row>
    <row r="327" spans="3:34">
      <c r="C327" s="307">
        <f t="shared" si="60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9"/>
        <v>#VALUE!</v>
      </c>
    </row>
    <row r="328" spans="3:34">
      <c r="C328" s="307">
        <f t="shared" si="60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9"/>
        <v>#VALUE!</v>
      </c>
    </row>
    <row r="329" spans="3:34">
      <c r="C329" s="307">
        <f t="shared" si="60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9"/>
        <v>#VALUE!</v>
      </c>
    </row>
    <row r="330" spans="3:34">
      <c r="C330" s="307">
        <f t="shared" si="60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9"/>
        <v>#VALUE!</v>
      </c>
    </row>
    <row r="331" spans="3:34">
      <c r="C331" s="307">
        <f t="shared" si="60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9"/>
        <v>#VALUE!</v>
      </c>
    </row>
    <row r="332" spans="3:34">
      <c r="C332" s="307">
        <f t="shared" si="60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9"/>
        <v>#VALUE!</v>
      </c>
    </row>
    <row r="333" spans="3:34">
      <c r="C333" s="307">
        <f t="shared" si="60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9"/>
        <v>#VALUE!</v>
      </c>
    </row>
    <row r="334" spans="3:34">
      <c r="C334" s="307">
        <f t="shared" si="60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9"/>
        <v>#VALUE!</v>
      </c>
    </row>
    <row r="335" spans="3:34">
      <c r="C335" s="307">
        <f t="shared" si="60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9"/>
        <v>#VALUE!</v>
      </c>
    </row>
    <row r="336" spans="3:34" ht="13.5" thickBot="1">
      <c r="C336" s="307">
        <f t="shared" si="60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9"/>
        <v>#VALUE!</v>
      </c>
    </row>
    <row r="337" spans="3:34" ht="14.25" thickTop="1" thickBot="1">
      <c r="C337" s="311" t="s">
        <v>0</v>
      </c>
      <c r="D337" s="328" t="e">
        <f t="shared" ref="D337:AH337" si="61">SUM(D306:D336)</f>
        <v>#VALUE!</v>
      </c>
      <c r="E337" s="328" t="e">
        <f t="shared" si="61"/>
        <v>#VALUE!</v>
      </c>
      <c r="F337" s="328" t="e">
        <f t="shared" si="61"/>
        <v>#VALUE!</v>
      </c>
      <c r="G337" s="328" t="e">
        <f t="shared" si="61"/>
        <v>#VALUE!</v>
      </c>
      <c r="H337" s="328" t="e">
        <f t="shared" si="61"/>
        <v>#VALUE!</v>
      </c>
      <c r="I337" s="328" t="e">
        <f t="shared" si="61"/>
        <v>#VALUE!</v>
      </c>
      <c r="J337" s="328" t="e">
        <f t="shared" si="61"/>
        <v>#VALUE!</v>
      </c>
      <c r="K337" s="328" t="e">
        <f t="shared" si="61"/>
        <v>#VALUE!</v>
      </c>
      <c r="L337" s="328" t="e">
        <f t="shared" si="61"/>
        <v>#VALUE!</v>
      </c>
      <c r="M337" s="336" t="e">
        <f t="shared" si="61"/>
        <v>#VALUE!</v>
      </c>
      <c r="N337" s="328" t="e">
        <f t="shared" si="61"/>
        <v>#VALUE!</v>
      </c>
      <c r="O337" s="328" t="e">
        <f t="shared" si="61"/>
        <v>#VALUE!</v>
      </c>
      <c r="P337" s="328" t="e">
        <f t="shared" si="61"/>
        <v>#VALUE!</v>
      </c>
      <c r="Q337" s="328" t="e">
        <f t="shared" si="61"/>
        <v>#VALUE!</v>
      </c>
      <c r="R337" s="328" t="e">
        <f t="shared" si="61"/>
        <v>#VALUE!</v>
      </c>
      <c r="S337" s="328" t="e">
        <f t="shared" si="61"/>
        <v>#VALUE!</v>
      </c>
      <c r="T337" s="328" t="e">
        <f t="shared" si="61"/>
        <v>#VALUE!</v>
      </c>
      <c r="U337" s="328" t="e">
        <f t="shared" si="61"/>
        <v>#VALUE!</v>
      </c>
      <c r="V337" s="328" t="e">
        <f t="shared" si="61"/>
        <v>#VALUE!</v>
      </c>
      <c r="W337" s="328" t="e">
        <f t="shared" si="61"/>
        <v>#VALUE!</v>
      </c>
      <c r="X337" s="328" t="e">
        <f t="shared" si="61"/>
        <v>#VALUE!</v>
      </c>
      <c r="Y337" s="328" t="e">
        <f t="shared" si="61"/>
        <v>#VALUE!</v>
      </c>
      <c r="Z337" s="328" t="e">
        <f t="shared" si="61"/>
        <v>#VALUE!</v>
      </c>
      <c r="AA337" s="328" t="e">
        <f t="shared" si="61"/>
        <v>#VALUE!</v>
      </c>
      <c r="AB337" s="328" t="e">
        <f t="shared" si="61"/>
        <v>#VALUE!</v>
      </c>
      <c r="AC337" s="328" t="e">
        <f t="shared" si="61"/>
        <v>#VALUE!</v>
      </c>
      <c r="AD337" s="328" t="e">
        <f t="shared" si="61"/>
        <v>#VALUE!</v>
      </c>
      <c r="AE337" s="328" t="e">
        <f t="shared" si="61"/>
        <v>#VALUE!</v>
      </c>
      <c r="AF337" s="329" t="e">
        <f t="shared" si="61"/>
        <v>#VALUE!</v>
      </c>
      <c r="AG337" s="329" t="e">
        <f t="shared" si="61"/>
        <v>#VALUE!</v>
      </c>
      <c r="AH337" s="315" t="e">
        <f t="shared" si="61"/>
        <v>#VALUE!</v>
      </c>
    </row>
    <row r="340" spans="3:34">
      <c r="C340" s="301" t="s">
        <v>1</v>
      </c>
      <c r="D340" s="302">
        <v>1</v>
      </c>
      <c r="E340" s="302">
        <f t="shared" ref="E340:AG340" si="62">D340+1</f>
        <v>2</v>
      </c>
      <c r="F340" s="302">
        <f t="shared" si="62"/>
        <v>3</v>
      </c>
      <c r="G340" s="302">
        <f t="shared" si="62"/>
        <v>4</v>
      </c>
      <c r="H340" s="302">
        <f t="shared" si="62"/>
        <v>5</v>
      </c>
      <c r="I340" s="302">
        <f t="shared" si="62"/>
        <v>6</v>
      </c>
      <c r="J340" s="302">
        <f t="shared" si="62"/>
        <v>7</v>
      </c>
      <c r="K340" s="302">
        <f t="shared" si="62"/>
        <v>8</v>
      </c>
      <c r="L340" s="302">
        <f t="shared" si="62"/>
        <v>9</v>
      </c>
      <c r="M340" s="302">
        <f t="shared" si="62"/>
        <v>10</v>
      </c>
      <c r="N340" s="302">
        <f t="shared" si="62"/>
        <v>11</v>
      </c>
      <c r="O340" s="302">
        <f t="shared" si="62"/>
        <v>12</v>
      </c>
      <c r="P340" s="302">
        <f t="shared" si="62"/>
        <v>13</v>
      </c>
      <c r="Q340" s="302">
        <f t="shared" si="62"/>
        <v>14</v>
      </c>
      <c r="R340" s="302">
        <f t="shared" si="62"/>
        <v>15</v>
      </c>
      <c r="S340" s="302">
        <f t="shared" si="62"/>
        <v>16</v>
      </c>
      <c r="T340" s="302">
        <f t="shared" si="62"/>
        <v>17</v>
      </c>
      <c r="U340" s="302">
        <f t="shared" si="62"/>
        <v>18</v>
      </c>
      <c r="V340" s="302">
        <f t="shared" si="62"/>
        <v>19</v>
      </c>
      <c r="W340" s="302">
        <f t="shared" si="62"/>
        <v>20</v>
      </c>
      <c r="X340" s="302">
        <f t="shared" si="62"/>
        <v>21</v>
      </c>
      <c r="Y340" s="302">
        <f t="shared" si="62"/>
        <v>22</v>
      </c>
      <c r="Z340" s="302">
        <f t="shared" si="62"/>
        <v>23</v>
      </c>
      <c r="AA340" s="302">
        <f t="shared" si="62"/>
        <v>24</v>
      </c>
      <c r="AB340" s="302">
        <f t="shared" si="62"/>
        <v>25</v>
      </c>
      <c r="AC340" s="302">
        <f t="shared" si="62"/>
        <v>26</v>
      </c>
      <c r="AD340" s="302">
        <f t="shared" si="62"/>
        <v>27</v>
      </c>
      <c r="AE340" s="302">
        <f t="shared" si="62"/>
        <v>28</v>
      </c>
      <c r="AF340" s="302">
        <f t="shared" si="62"/>
        <v>29</v>
      </c>
      <c r="AG340" s="302">
        <f t="shared" si="62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3">1+C341</f>
        <v>1</v>
      </c>
      <c r="AH342" s="341">
        <f t="shared" ref="AH342:AH371" ca="1" si="64">SUMIF($C$9:$AH$336,C342,$AH$9:$AH$336)</f>
        <v>0</v>
      </c>
    </row>
    <row r="343" spans="3:34">
      <c r="C343" s="307">
        <f t="shared" si="63"/>
        <v>2</v>
      </c>
      <c r="AH343" s="341" t="e">
        <f t="shared" ca="1" si="64"/>
        <v>#VALUE!</v>
      </c>
    </row>
    <row r="344" spans="3:34">
      <c r="C344" s="307">
        <f t="shared" si="63"/>
        <v>3</v>
      </c>
      <c r="AH344" s="341" t="e">
        <f t="shared" ca="1" si="64"/>
        <v>#VALUE!</v>
      </c>
    </row>
    <row r="345" spans="3:34">
      <c r="C345" s="307">
        <f t="shared" si="63"/>
        <v>4</v>
      </c>
      <c r="AH345" s="341" t="e">
        <f t="shared" ca="1" si="64"/>
        <v>#VALUE!</v>
      </c>
    </row>
    <row r="346" spans="3:34">
      <c r="C346" s="307">
        <f t="shared" si="63"/>
        <v>5</v>
      </c>
      <c r="AH346" s="341" t="e">
        <f t="shared" ca="1" si="64"/>
        <v>#VALUE!</v>
      </c>
    </row>
    <row r="347" spans="3:34">
      <c r="C347" s="307">
        <f t="shared" si="63"/>
        <v>6</v>
      </c>
      <c r="AH347" s="341" t="e">
        <f t="shared" ca="1" si="64"/>
        <v>#VALUE!</v>
      </c>
    </row>
    <row r="348" spans="3:34">
      <c r="C348" s="307">
        <f t="shared" si="63"/>
        <v>7</v>
      </c>
      <c r="AH348" s="341" t="e">
        <f t="shared" ca="1" si="64"/>
        <v>#VALUE!</v>
      </c>
    </row>
    <row r="349" spans="3:34">
      <c r="C349" s="307">
        <f t="shared" si="63"/>
        <v>8</v>
      </c>
      <c r="AH349" s="341" t="e">
        <f t="shared" ca="1" si="64"/>
        <v>#VALUE!</v>
      </c>
    </row>
    <row r="350" spans="3:34">
      <c r="C350" s="307">
        <f t="shared" si="63"/>
        <v>9</v>
      </c>
      <c r="AH350" s="341" t="e">
        <f t="shared" ca="1" si="64"/>
        <v>#VALUE!</v>
      </c>
    </row>
    <row r="351" spans="3:34">
      <c r="C351" s="307">
        <f t="shared" si="63"/>
        <v>10</v>
      </c>
      <c r="AH351" s="341" t="e">
        <f t="shared" ca="1" si="64"/>
        <v>#VALUE!</v>
      </c>
    </row>
    <row r="352" spans="3:34">
      <c r="C352" s="307">
        <f t="shared" si="63"/>
        <v>11</v>
      </c>
      <c r="AH352" s="341" t="e">
        <f t="shared" ca="1" si="64"/>
        <v>#VALUE!</v>
      </c>
    </row>
    <row r="353" spans="3:34">
      <c r="C353" s="307">
        <f t="shared" si="63"/>
        <v>12</v>
      </c>
      <c r="AH353" s="341" t="e">
        <f t="shared" ca="1" si="64"/>
        <v>#VALUE!</v>
      </c>
    </row>
    <row r="354" spans="3:34">
      <c r="C354" s="307">
        <f t="shared" si="63"/>
        <v>13</v>
      </c>
      <c r="AH354" s="341" t="e">
        <f t="shared" ca="1" si="64"/>
        <v>#VALUE!</v>
      </c>
    </row>
    <row r="355" spans="3:34">
      <c r="C355" s="307">
        <f t="shared" si="63"/>
        <v>14</v>
      </c>
      <c r="AH355" s="341" t="e">
        <f t="shared" ca="1" si="64"/>
        <v>#VALUE!</v>
      </c>
    </row>
    <row r="356" spans="3:34">
      <c r="C356" s="307">
        <f t="shared" si="63"/>
        <v>15</v>
      </c>
      <c r="AH356" s="341" t="e">
        <f t="shared" ca="1" si="64"/>
        <v>#VALUE!</v>
      </c>
    </row>
    <row r="357" spans="3:34">
      <c r="C357" s="307">
        <f t="shared" si="63"/>
        <v>16</v>
      </c>
      <c r="AH357" s="341" t="e">
        <f t="shared" ca="1" si="64"/>
        <v>#VALUE!</v>
      </c>
    </row>
    <row r="358" spans="3:34">
      <c r="C358" s="307">
        <f t="shared" si="63"/>
        <v>17</v>
      </c>
      <c r="AH358" s="341" t="e">
        <f t="shared" ca="1" si="64"/>
        <v>#VALUE!</v>
      </c>
    </row>
    <row r="359" spans="3:34">
      <c r="C359" s="307">
        <f t="shared" si="63"/>
        <v>18</v>
      </c>
      <c r="AH359" s="341" t="e">
        <f t="shared" ca="1" si="64"/>
        <v>#VALUE!</v>
      </c>
    </row>
    <row r="360" spans="3:34">
      <c r="C360" s="307">
        <f t="shared" si="63"/>
        <v>19</v>
      </c>
      <c r="AH360" s="341" t="e">
        <f t="shared" ca="1" si="64"/>
        <v>#VALUE!</v>
      </c>
    </row>
    <row r="361" spans="3:34">
      <c r="C361" s="307">
        <f t="shared" si="63"/>
        <v>20</v>
      </c>
      <c r="AH361" s="341" t="e">
        <f t="shared" ca="1" si="64"/>
        <v>#VALUE!</v>
      </c>
    </row>
    <row r="362" spans="3:34">
      <c r="C362" s="307">
        <f t="shared" si="63"/>
        <v>21</v>
      </c>
      <c r="AH362" s="341" t="e">
        <f t="shared" ca="1" si="64"/>
        <v>#VALUE!</v>
      </c>
    </row>
    <row r="363" spans="3:34">
      <c r="C363" s="307">
        <f t="shared" si="63"/>
        <v>22</v>
      </c>
      <c r="AH363" s="341" t="e">
        <f t="shared" ca="1" si="64"/>
        <v>#VALUE!</v>
      </c>
    </row>
    <row r="364" spans="3:34">
      <c r="C364" s="307">
        <f t="shared" si="63"/>
        <v>23</v>
      </c>
      <c r="AH364" s="341" t="e">
        <f t="shared" ca="1" si="64"/>
        <v>#VALUE!</v>
      </c>
    </row>
    <row r="365" spans="3:34">
      <c r="C365" s="307">
        <f t="shared" si="63"/>
        <v>24</v>
      </c>
      <c r="AH365" s="341" t="e">
        <f t="shared" ca="1" si="64"/>
        <v>#VALUE!</v>
      </c>
    </row>
    <row r="366" spans="3:34">
      <c r="C366" s="307">
        <f t="shared" si="63"/>
        <v>25</v>
      </c>
      <c r="AH366" s="341" t="e">
        <f t="shared" ca="1" si="64"/>
        <v>#VALUE!</v>
      </c>
    </row>
    <row r="367" spans="3:34">
      <c r="C367" s="307">
        <f t="shared" si="63"/>
        <v>26</v>
      </c>
      <c r="AH367" s="341" t="e">
        <f t="shared" ca="1" si="64"/>
        <v>#VALUE!</v>
      </c>
    </row>
    <row r="368" spans="3:34">
      <c r="C368" s="307">
        <f t="shared" si="63"/>
        <v>27</v>
      </c>
      <c r="AH368" s="341" t="e">
        <f t="shared" ca="1" si="64"/>
        <v>#VALUE!</v>
      </c>
    </row>
    <row r="369" spans="3:34">
      <c r="C369" s="307">
        <f t="shared" si="63"/>
        <v>28</v>
      </c>
      <c r="AH369" s="341" t="e">
        <f t="shared" ca="1" si="64"/>
        <v>#VALUE!</v>
      </c>
    </row>
    <row r="370" spans="3:34">
      <c r="C370" s="307">
        <f t="shared" si="63"/>
        <v>29</v>
      </c>
      <c r="AH370" s="341" t="e">
        <f t="shared" ca="1" si="64"/>
        <v>#VALUE!</v>
      </c>
    </row>
    <row r="371" spans="3:34">
      <c r="C371" s="307">
        <f t="shared" si="63"/>
        <v>30</v>
      </c>
      <c r="AH371" s="341" t="e">
        <f t="shared" ca="1" si="64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0BAF9-E2D8-4F64-BD53-05E020FB9DAA}">
  <sheetPr>
    <tabColor theme="6"/>
  </sheetPr>
  <dimension ref="A2:AJ67"/>
  <sheetViews>
    <sheetView showGridLines="0" zoomScale="70" zoomScaleNormal="70" workbookViewId="0">
      <selection activeCell="M11" sqref="M11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766</v>
      </c>
      <c r="D2" s="1238" t="s">
        <v>713</v>
      </c>
    </row>
    <row r="3" spans="1:33" ht="23.25">
      <c r="B3" s="1236" t="s">
        <v>767</v>
      </c>
      <c r="D3" s="1239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468" t="s">
        <v>202</v>
      </c>
      <c r="C9" s="1212">
        <f>SUM(C10:C12)</f>
        <v>2302818.334183454</v>
      </c>
      <c r="D9" s="1212">
        <f t="shared" ref="D9:K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2">
        <f t="shared" si="0"/>
        <v>4073699.9550725189</v>
      </c>
      <c r="L9" s="1212">
        <f t="shared" ref="L9:AF9" si="1">SUM(L10:L12)</f>
        <v>4168530.9301507464</v>
      </c>
      <c r="M9" s="1212">
        <f t="shared" si="1"/>
        <v>4364999.8344247555</v>
      </c>
      <c r="N9" s="1212">
        <f t="shared" si="1"/>
        <v>4663100.202262952</v>
      </c>
      <c r="O9" s="1212">
        <f t="shared" si="1"/>
        <v>4665542.6642718697</v>
      </c>
      <c r="P9" s="1212">
        <f t="shared" si="1"/>
        <v>4672249.2421313887</v>
      </c>
      <c r="Q9" s="1212">
        <f t="shared" si="1"/>
        <v>4678955.8199909087</v>
      </c>
      <c r="R9" s="1212">
        <f t="shared" si="1"/>
        <v>4685103.5163621325</v>
      </c>
      <c r="S9" s="1212">
        <f t="shared" si="1"/>
        <v>4690692.3312450647</v>
      </c>
      <c r="T9" s="1212">
        <f t="shared" si="1"/>
        <v>4696281.1461279979</v>
      </c>
      <c r="U9" s="1212">
        <f t="shared" si="1"/>
        <v>4701869.9610109283</v>
      </c>
      <c r="V9" s="1212">
        <f t="shared" si="1"/>
        <v>4706899.8944055689</v>
      </c>
      <c r="W9" s="1212">
        <f t="shared" si="1"/>
        <v>4713047.5907767965</v>
      </c>
      <c r="X9" s="1212">
        <f t="shared" si="1"/>
        <v>4719195.2871480193</v>
      </c>
      <c r="Y9" s="1212">
        <f t="shared" si="1"/>
        <v>4723666.3390543666</v>
      </c>
      <c r="Z9" s="1212">
        <f t="shared" si="1"/>
        <v>4728137.390960712</v>
      </c>
      <c r="AA9" s="1212">
        <f t="shared" si="1"/>
        <v>4732608.4428670583</v>
      </c>
      <c r="AB9" s="1212">
        <f t="shared" si="1"/>
        <v>4738197.2577499906</v>
      </c>
      <c r="AC9" s="1212">
        <f t="shared" si="1"/>
        <v>4743786.0726329209</v>
      </c>
      <c r="AD9" s="1212">
        <f t="shared" si="1"/>
        <v>4748816.0060275607</v>
      </c>
      <c r="AE9" s="1212">
        <f t="shared" si="1"/>
        <v>4754404.8209104948</v>
      </c>
      <c r="AF9" s="1212">
        <f t="shared" si="1"/>
        <v>4758316.9913285477</v>
      </c>
      <c r="AG9" s="1213">
        <f t="shared" ref="AG9:AG17" si="2">SUM(C9:AF9)</f>
        <v>126773298.44508675</v>
      </c>
    </row>
    <row r="10" spans="1:33" ht="20.25" customHeight="1">
      <c r="B10" s="469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14">
        <f>(1+$D$3)*'R1 DRE'!K5</f>
        <v>2236337.5618390017</v>
      </c>
      <c r="L10" s="1214">
        <f>(1+$D$3)*'R1 DRE'!L5</f>
        <v>2231422.6329661855</v>
      </c>
      <c r="M10" s="1214">
        <f>(1+$D$3)*'R1 DRE'!M5</f>
        <v>2230697.1871795147</v>
      </c>
      <c r="N10" s="1214">
        <f>(1+$D$3)*'R1 DRE'!N5</f>
        <v>2231802.0443904921</v>
      </c>
      <c r="O10" s="1214">
        <f>(1+$D$3)*'R1 DRE'!O5</f>
        <v>2230786.8367805546</v>
      </c>
      <c r="P10" s="1214">
        <f>(1+$D$3)*'R1 DRE'!P5</f>
        <v>2233993.5260524</v>
      </c>
      <c r="Q10" s="1214">
        <f>(1+$D$3)*'R1 DRE'!Q5</f>
        <v>2237200.2153242463</v>
      </c>
      <c r="R10" s="1214">
        <f>(1+$D$3)*'R1 DRE'!R5</f>
        <v>2240139.680490104</v>
      </c>
      <c r="S10" s="1214">
        <f>(1+$D$3)*'R1 DRE'!S5</f>
        <v>2242811.9215499754</v>
      </c>
      <c r="T10" s="1214">
        <f>(1+$D$3)*'R1 DRE'!T5</f>
        <v>2245484.1626098468</v>
      </c>
      <c r="U10" s="1214">
        <f>(1+$D$3)*'R1 DRE'!U5</f>
        <v>2248156.4036697173</v>
      </c>
      <c r="V10" s="1214">
        <f>(1+$D$3)*'R1 DRE'!V5</f>
        <v>2250561.4206236023</v>
      </c>
      <c r="W10" s="1214">
        <f>(1+$D$3)*'R1 DRE'!W5</f>
        <v>2253500.8857894614</v>
      </c>
      <c r="X10" s="1214">
        <f>(1+$D$3)*'R1 DRE'!X5</f>
        <v>2256440.3509553187</v>
      </c>
      <c r="Y10" s="1214">
        <f>(1+$D$3)*'R1 DRE'!Y5</f>
        <v>2258578.1438032161</v>
      </c>
      <c r="Z10" s="1214">
        <f>(1+$D$3)*'R1 DRE'!Z5</f>
        <v>2260715.9366511134</v>
      </c>
      <c r="AA10" s="1214">
        <f>(1+$D$3)*'R1 DRE'!AA5</f>
        <v>2262853.7294990104</v>
      </c>
      <c r="AB10" s="1214">
        <f>(1+$D$3)*'R1 DRE'!AB5</f>
        <v>2265525.9705588818</v>
      </c>
      <c r="AC10" s="1214">
        <f>(1+$D$3)*'R1 DRE'!AC5</f>
        <v>2268198.2116187527</v>
      </c>
      <c r="AD10" s="1214">
        <f>(1+$D$3)*'R1 DRE'!AD5</f>
        <v>2270603.2285726368</v>
      </c>
      <c r="AE10" s="1214">
        <f>(1+$D$3)*'R1 DRE'!AE5</f>
        <v>2273275.4696325082</v>
      </c>
      <c r="AF10" s="1214">
        <f>(1+$D$3)*'R1 DRE'!AF5</f>
        <v>2275146.0383744184</v>
      </c>
      <c r="AG10" s="1213">
        <f t="shared" si="2"/>
        <v>64892129.401891261</v>
      </c>
    </row>
    <row r="11" spans="1:33" ht="20.25" customHeight="1">
      <c r="B11" s="469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14">
        <f>(1+$D$3)*'R1 DRE'!K6</f>
        <v>1797028.7303120072</v>
      </c>
      <c r="L11" s="1214">
        <f>(1+$D$3)*'R1 DRE'!L6</f>
        <v>1895835.7137177221</v>
      </c>
      <c r="M11" s="1214">
        <f>(1+$D$3)*'R1 DRE'!M6</f>
        <v>2091084.8271024216</v>
      </c>
      <c r="N11" s="1214">
        <f>(1+$D$3)*'R1 DRE'!N6</f>
        <v>2385128.8489391641</v>
      </c>
      <c r="O11" s="1214">
        <f>(1+$D$3)*'R1 DRE'!O6</f>
        <v>2388562.3357658512</v>
      </c>
      <c r="P11" s="1214">
        <f>(1+$D$3)*'R1 DRE'!P6</f>
        <v>2391995.8225925392</v>
      </c>
      <c r="Q11" s="1214">
        <f>(1+$D$3)*'R1 DRE'!Q6</f>
        <v>2395429.3094192278</v>
      </c>
      <c r="R11" s="1214">
        <f>(1+$D$3)*'R1 DRE'!R6</f>
        <v>2398576.6723436909</v>
      </c>
      <c r="S11" s="1214">
        <f>(1+$D$3)*'R1 DRE'!S6</f>
        <v>2401437.9113659309</v>
      </c>
      <c r="T11" s="1214">
        <f>(1+$D$3)*'R1 DRE'!T6</f>
        <v>2404299.1503881705</v>
      </c>
      <c r="U11" s="1214">
        <f>(1+$D$3)*'R1 DRE'!U6</f>
        <v>2407160.3894104101</v>
      </c>
      <c r="V11" s="1214">
        <f>(1+$D$3)*'R1 DRE'!V6</f>
        <v>2409735.5045304266</v>
      </c>
      <c r="W11" s="1214">
        <f>(1+$D$3)*'R1 DRE'!W6</f>
        <v>2412882.8674548911</v>
      </c>
      <c r="X11" s="1214">
        <f>(1+$D$3)*'R1 DRE'!X6</f>
        <v>2416030.2303793547</v>
      </c>
      <c r="Y11" s="1214">
        <f>(1+$D$3)*'R1 DRE'!Y6</f>
        <v>2418319.2215971467</v>
      </c>
      <c r="Z11" s="1214">
        <f>(1+$D$3)*'R1 DRE'!Z6</f>
        <v>2420608.2128149383</v>
      </c>
      <c r="AA11" s="1214">
        <f>(1+$D$3)*'R1 DRE'!AA6</f>
        <v>2422897.2040327298</v>
      </c>
      <c r="AB11" s="1214">
        <f>(1+$D$3)*'R1 DRE'!AB6</f>
        <v>2425758.4430549708</v>
      </c>
      <c r="AC11" s="1214">
        <f>(1+$D$3)*'R1 DRE'!AC6</f>
        <v>2428619.6820772095</v>
      </c>
      <c r="AD11" s="1214">
        <f>(1+$D$3)*'R1 DRE'!AD6</f>
        <v>2431194.7971972255</v>
      </c>
      <c r="AE11" s="1214">
        <f>(1+$D$3)*'R1 DRE'!AE6</f>
        <v>2434056.036219466</v>
      </c>
      <c r="AF11" s="1214">
        <f>(1+$D$3)*'R1 DRE'!AF6</f>
        <v>2436058.903535034</v>
      </c>
      <c r="AG11" s="1213">
        <f t="shared" si="2"/>
        <v>60577191.249674059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14">
        <f>(1+$D$3)*'R1 DRE'!K7</f>
        <v>40333.662921510091</v>
      </c>
      <c r="L12" s="1214">
        <f>(1+$D$3)*'R1 DRE'!L7</f>
        <v>41272.583466839074</v>
      </c>
      <c r="M12" s="1214">
        <f>(1+$D$3)*'R1 DRE'!M7</f>
        <v>43217.820142819364</v>
      </c>
      <c r="N12" s="1214">
        <f>(1+$D$3)*'R1 DRE'!N7</f>
        <v>46169.308933296561</v>
      </c>
      <c r="O12" s="1214">
        <f>(1+$D$3)*'R1 DRE'!O7</f>
        <v>46193.491725464053</v>
      </c>
      <c r="P12" s="1214">
        <f>(1+$D$3)*'R1 DRE'!P7</f>
        <v>46259.893486449393</v>
      </c>
      <c r="Q12" s="1214">
        <f>(1+$D$3)*'R1 DRE'!Q7</f>
        <v>46326.29524743474</v>
      </c>
      <c r="R12" s="1214">
        <f>(1+$D$3)*'R1 DRE'!R7</f>
        <v>46387.163528337944</v>
      </c>
      <c r="S12" s="1214">
        <f>(1+$D$3)*'R1 DRE'!S7</f>
        <v>46442.498329159062</v>
      </c>
      <c r="T12" s="1214">
        <f>(1+$D$3)*'R1 DRE'!T7</f>
        <v>46497.833129980172</v>
      </c>
      <c r="U12" s="1214">
        <f>(1+$D$3)*'R1 DRE'!U7</f>
        <v>46553.167930801268</v>
      </c>
      <c r="V12" s="1214">
        <f>(1+$D$3)*'R1 DRE'!V7</f>
        <v>46602.969251540286</v>
      </c>
      <c r="W12" s="1214">
        <f>(1+$D$3)*'R1 DRE'!W7</f>
        <v>46663.837532443526</v>
      </c>
      <c r="X12" s="1214">
        <f>(1+$D$3)*'R1 DRE'!X7</f>
        <v>46724.705813346729</v>
      </c>
      <c r="Y12" s="1214">
        <f>(1+$D$3)*'R1 DRE'!Y7</f>
        <v>46768.973654003632</v>
      </c>
      <c r="Z12" s="1214">
        <f>(1+$D$3)*'R1 DRE'!Z7</f>
        <v>46813.24149466052</v>
      </c>
      <c r="AA12" s="1214">
        <f>(1+$D$3)*'R1 DRE'!AA7</f>
        <v>46857.509335317409</v>
      </c>
      <c r="AB12" s="1214">
        <f>(1+$D$3)*'R1 DRE'!AB7</f>
        <v>46912.844136138519</v>
      </c>
      <c r="AC12" s="1214">
        <f>(1+$D$3)*'R1 DRE'!AC7</f>
        <v>46968.178936959615</v>
      </c>
      <c r="AD12" s="1214">
        <f>(1+$D$3)*'R1 DRE'!AD7</f>
        <v>47017.980257698626</v>
      </c>
      <c r="AE12" s="1214">
        <f>(1+$D$3)*'R1 DRE'!AE7</f>
        <v>47073.315058519751</v>
      </c>
      <c r="AF12" s="1214">
        <f>(1+$D$3)*'R1 DRE'!AF7</f>
        <v>47112.049419094532</v>
      </c>
      <c r="AG12" s="1213">
        <f t="shared" si="2"/>
        <v>1303977.793521415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3">-SUM(D14:D15)</f>
        <v>-234617.19486967311</v>
      </c>
      <c r="E13" s="1212">
        <f t="shared" si="3"/>
        <v>-255067.11447188459</v>
      </c>
      <c r="F13" s="1212">
        <f t="shared" si="3"/>
        <v>-266470.53804765607</v>
      </c>
      <c r="G13" s="1212">
        <f t="shared" si="3"/>
        <v>-277240.35544356558</v>
      </c>
      <c r="H13" s="1212">
        <f t="shared" si="3"/>
        <v>-305292.86829691898</v>
      </c>
      <c r="I13" s="1212">
        <f t="shared" si="3"/>
        <v>-343021.62437981495</v>
      </c>
      <c r="J13" s="1212">
        <f t="shared" si="3"/>
        <v>-370742.7283114891</v>
      </c>
      <c r="K13" s="1212">
        <f t="shared" si="3"/>
        <v>-376817.245844208</v>
      </c>
      <c r="L13" s="1212">
        <f t="shared" si="3"/>
        <v>-385589.11103894399</v>
      </c>
      <c r="M13" s="1212">
        <f t="shared" si="3"/>
        <v>-403762.4846842899</v>
      </c>
      <c r="N13" s="1212">
        <f t="shared" si="3"/>
        <v>-431336.76870932308</v>
      </c>
      <c r="O13" s="1212">
        <f t="shared" si="3"/>
        <v>-431562.69644514797</v>
      </c>
      <c r="P13" s="1212">
        <f t="shared" si="3"/>
        <v>-432183.05489715346</v>
      </c>
      <c r="Q13" s="1212">
        <f t="shared" si="3"/>
        <v>-432803.41334915906</v>
      </c>
      <c r="R13" s="1212">
        <f t="shared" si="3"/>
        <v>-433372.0752634973</v>
      </c>
      <c r="S13" s="1212">
        <f t="shared" si="3"/>
        <v>-433889.04064016847</v>
      </c>
      <c r="T13" s="1212">
        <f t="shared" si="3"/>
        <v>-434406.00601683982</v>
      </c>
      <c r="U13" s="1212">
        <f t="shared" si="3"/>
        <v>-434922.97139351082</v>
      </c>
      <c r="V13" s="1212">
        <f t="shared" si="3"/>
        <v>-435388.24023251515</v>
      </c>
      <c r="W13" s="1212">
        <f t="shared" si="3"/>
        <v>-435956.90214685362</v>
      </c>
      <c r="X13" s="1212">
        <f t="shared" si="3"/>
        <v>-436525.56406119181</v>
      </c>
      <c r="Y13" s="1212">
        <f t="shared" si="3"/>
        <v>-436939.13636252889</v>
      </c>
      <c r="Z13" s="1212">
        <f t="shared" si="3"/>
        <v>-437352.70866386587</v>
      </c>
      <c r="AA13" s="1212">
        <f t="shared" si="3"/>
        <v>-437766.2809652029</v>
      </c>
      <c r="AB13" s="1212">
        <f t="shared" si="3"/>
        <v>-438283.24634187412</v>
      </c>
      <c r="AC13" s="1212">
        <f t="shared" si="3"/>
        <v>-438800.21171854518</v>
      </c>
      <c r="AD13" s="1212">
        <f t="shared" si="3"/>
        <v>-439265.48055754934</v>
      </c>
      <c r="AE13" s="1212">
        <f t="shared" si="3"/>
        <v>-439782.4459342208</v>
      </c>
      <c r="AF13" s="1212">
        <f t="shared" si="3"/>
        <v>-440144.32169789064</v>
      </c>
      <c r="AG13" s="1213">
        <f t="shared" si="2"/>
        <v>-11678723.795826206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4">0.076*G9</f>
        <v>227786.67041849715</v>
      </c>
      <c r="H14" s="1214">
        <f t="shared" si="4"/>
        <v>250835.22151963072</v>
      </c>
      <c r="I14" s="1214">
        <f t="shared" si="4"/>
        <v>281833.98327422631</v>
      </c>
      <c r="J14" s="1214">
        <f t="shared" si="4"/>
        <v>304610.24163970997</v>
      </c>
      <c r="K14" s="1214">
        <f t="shared" si="4"/>
        <v>309601.19658551144</v>
      </c>
      <c r="L14" s="1214">
        <f t="shared" si="4"/>
        <v>316808.3506914567</v>
      </c>
      <c r="M14" s="1214">
        <f t="shared" si="4"/>
        <v>331739.98741628142</v>
      </c>
      <c r="N14" s="1214">
        <f t="shared" si="4"/>
        <v>354395.61537198437</v>
      </c>
      <c r="O14" s="1214">
        <f t="shared" si="4"/>
        <v>354581.2424846621</v>
      </c>
      <c r="P14" s="1214">
        <f t="shared" si="4"/>
        <v>355090.94240198552</v>
      </c>
      <c r="Q14" s="1214">
        <f t="shared" si="4"/>
        <v>355600.64231930906</v>
      </c>
      <c r="R14" s="1214">
        <f t="shared" si="4"/>
        <v>356067.86724352208</v>
      </c>
      <c r="S14" s="1214">
        <f t="shared" si="4"/>
        <v>356492.61717462493</v>
      </c>
      <c r="T14" s="1214">
        <f t="shared" si="4"/>
        <v>356917.36710572784</v>
      </c>
      <c r="U14" s="1214">
        <f t="shared" si="4"/>
        <v>357342.11703683052</v>
      </c>
      <c r="V14" s="1214">
        <f t="shared" si="4"/>
        <v>357724.39197482326</v>
      </c>
      <c r="W14" s="1214">
        <f t="shared" si="4"/>
        <v>358191.61689903651</v>
      </c>
      <c r="X14" s="1214">
        <f t="shared" si="4"/>
        <v>358658.84182324947</v>
      </c>
      <c r="Y14" s="1214">
        <f t="shared" si="4"/>
        <v>358998.64176813187</v>
      </c>
      <c r="Z14" s="1214">
        <f t="shared" si="4"/>
        <v>359338.44171301409</v>
      </c>
      <c r="AA14" s="1214">
        <f t="shared" si="4"/>
        <v>359678.24165789643</v>
      </c>
      <c r="AB14" s="1214">
        <f t="shared" si="4"/>
        <v>360102.99158899928</v>
      </c>
      <c r="AC14" s="1214">
        <f t="shared" si="4"/>
        <v>360527.74152010196</v>
      </c>
      <c r="AD14" s="1214">
        <f t="shared" si="4"/>
        <v>360910.01645809459</v>
      </c>
      <c r="AE14" s="1214">
        <f t="shared" si="4"/>
        <v>361334.76638919761</v>
      </c>
      <c r="AF14" s="1214">
        <f t="shared" si="4"/>
        <v>361632.09134096961</v>
      </c>
      <c r="AG14" s="1213">
        <f t="shared" si="2"/>
        <v>9595500.0624899883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5">0.0165*G9</f>
        <v>49453.685025068458</v>
      </c>
      <c r="H15" s="1214">
        <f t="shared" si="5"/>
        <v>54457.646777288253</v>
      </c>
      <c r="I15" s="1214">
        <f t="shared" si="5"/>
        <v>61187.641105588613</v>
      </c>
      <c r="J15" s="1214">
        <f t="shared" si="5"/>
        <v>66132.486671779145</v>
      </c>
      <c r="K15" s="1214">
        <f t="shared" si="5"/>
        <v>67216.04925869657</v>
      </c>
      <c r="L15" s="1214">
        <f t="shared" si="5"/>
        <v>68780.760347487318</v>
      </c>
      <c r="M15" s="1214">
        <f t="shared" si="5"/>
        <v>72022.497268008476</v>
      </c>
      <c r="N15" s="1214">
        <f t="shared" si="5"/>
        <v>76941.153337338706</v>
      </c>
      <c r="O15" s="1214">
        <f t="shared" si="5"/>
        <v>76981.453960485858</v>
      </c>
      <c r="P15" s="1214">
        <f t="shared" si="5"/>
        <v>77092.112495167923</v>
      </c>
      <c r="Q15" s="1214">
        <f t="shared" si="5"/>
        <v>77202.771029850002</v>
      </c>
      <c r="R15" s="1214">
        <f t="shared" si="5"/>
        <v>77304.208019975194</v>
      </c>
      <c r="S15" s="1214">
        <f t="shared" si="5"/>
        <v>77396.423465543572</v>
      </c>
      <c r="T15" s="1214">
        <f t="shared" si="5"/>
        <v>77488.638911111964</v>
      </c>
      <c r="U15" s="1214">
        <f t="shared" si="5"/>
        <v>77580.854356680313</v>
      </c>
      <c r="V15" s="1214">
        <f t="shared" si="5"/>
        <v>77663.84825769189</v>
      </c>
      <c r="W15" s="1214">
        <f t="shared" si="5"/>
        <v>77765.285247817141</v>
      </c>
      <c r="X15" s="1214">
        <f t="shared" si="5"/>
        <v>77866.722237942318</v>
      </c>
      <c r="Y15" s="1214">
        <f t="shared" si="5"/>
        <v>77940.494594397052</v>
      </c>
      <c r="Z15" s="1214">
        <f t="shared" si="5"/>
        <v>78014.266950851757</v>
      </c>
      <c r="AA15" s="1214">
        <f t="shared" si="5"/>
        <v>78088.039307306462</v>
      </c>
      <c r="AB15" s="1214">
        <f t="shared" si="5"/>
        <v>78180.254752874855</v>
      </c>
      <c r="AC15" s="1214">
        <f t="shared" si="5"/>
        <v>78272.470198443203</v>
      </c>
      <c r="AD15" s="1214">
        <f t="shared" si="5"/>
        <v>78355.464099454752</v>
      </c>
      <c r="AE15" s="1214">
        <f t="shared" si="5"/>
        <v>78447.679545023173</v>
      </c>
      <c r="AF15" s="1214">
        <f t="shared" si="5"/>
        <v>78512.230356921034</v>
      </c>
      <c r="AG15" s="1213">
        <f t="shared" si="2"/>
        <v>2083223.7333362137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2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6">D9+D13+D16</f>
        <v>2348736.4306745757</v>
      </c>
      <c r="E17" s="1212">
        <f t="shared" si="6"/>
        <v>2607846.6711710477</v>
      </c>
      <c r="F17" s="1212">
        <f t="shared" si="6"/>
        <v>2673176.6493209945</v>
      </c>
      <c r="G17" s="1212">
        <f t="shared" si="6"/>
        <v>2744549.5840927921</v>
      </c>
      <c r="H17" s="1212">
        <f t="shared" si="6"/>
        <v>3009978.9826078052</v>
      </c>
      <c r="I17" s="1212">
        <f t="shared" si="6"/>
        <v>3344926.3386004027</v>
      </c>
      <c r="J17" s="1212">
        <f t="shared" si="6"/>
        <v>3622302.386444245</v>
      </c>
      <c r="K17" s="1212">
        <f t="shared" si="6"/>
        <v>3693599.1862376514</v>
      </c>
      <c r="L17" s="1212">
        <f t="shared" si="6"/>
        <v>3778200.2703578915</v>
      </c>
      <c r="M17" s="1212">
        <f t="shared" si="6"/>
        <v>3951413.904526765</v>
      </c>
      <c r="N17" s="1212">
        <f t="shared" si="6"/>
        <v>4216858.4151617186</v>
      </c>
      <c r="O17" s="1212">
        <f t="shared" si="6"/>
        <v>4233857.8447262766</v>
      </c>
      <c r="P17" s="1212">
        <f t="shared" si="6"/>
        <v>4239730.858341259</v>
      </c>
      <c r="Q17" s="1212">
        <f t="shared" si="6"/>
        <v>4245817.0777487736</v>
      </c>
      <c r="R17" s="1212">
        <f t="shared" si="6"/>
        <v>4251424.0562800746</v>
      </c>
      <c r="S17" s="1212">
        <f t="shared" si="6"/>
        <v>4256523.8498607492</v>
      </c>
      <c r="T17" s="1212">
        <f t="shared" si="6"/>
        <v>4261595.699367011</v>
      </c>
      <c r="U17" s="1212">
        <f t="shared" si="6"/>
        <v>4266667.5488732709</v>
      </c>
      <c r="V17" s="1212">
        <f t="shared" si="6"/>
        <v>4271260.1575033218</v>
      </c>
      <c r="W17" s="1212">
        <f t="shared" si="6"/>
        <v>4276783.3038113816</v>
      </c>
      <c r="X17" s="1212">
        <f t="shared" si="6"/>
        <v>4282362.3382682661</v>
      </c>
      <c r="Y17" s="1212">
        <f t="shared" si="6"/>
        <v>4286503.6500965208</v>
      </c>
      <c r="Z17" s="1212">
        <f t="shared" si="6"/>
        <v>4290561.1297015287</v>
      </c>
      <c r="AA17" s="1212">
        <f t="shared" si="6"/>
        <v>4294618.6093065385</v>
      </c>
      <c r="AB17" s="1212">
        <f t="shared" si="6"/>
        <v>4299634.57066397</v>
      </c>
      <c r="AC17" s="1212">
        <f t="shared" si="6"/>
        <v>4304706.4201702299</v>
      </c>
      <c r="AD17" s="1212">
        <f t="shared" si="6"/>
        <v>4309299.0288002789</v>
      </c>
      <c r="AE17" s="1212">
        <f t="shared" si="6"/>
        <v>4314342.9342321269</v>
      </c>
      <c r="AF17" s="1212">
        <f t="shared" si="6"/>
        <v>4317977.0611097543</v>
      </c>
      <c r="AG17" s="1213">
        <f t="shared" si="2"/>
        <v>114878326.17727935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7">D19+D20</f>
        <v>-369565.70052795502</v>
      </c>
      <c r="E18" s="1212">
        <f t="shared" si="7"/>
        <v>-372990.80023137957</v>
      </c>
      <c r="F18" s="1212">
        <f t="shared" si="7"/>
        <v>-365825.26800000004</v>
      </c>
      <c r="G18" s="1212">
        <f t="shared" si="7"/>
        <v>-364530.62316929037</v>
      </c>
      <c r="H18" s="1212">
        <f t="shared" si="7"/>
        <v>-386664.99739602057</v>
      </c>
      <c r="I18" s="1212">
        <f t="shared" si="7"/>
        <v>-368051.52738592168</v>
      </c>
      <c r="J18" s="1212">
        <f t="shared" si="7"/>
        <v>-369563.79094887548</v>
      </c>
      <c r="K18" s="1212">
        <f t="shared" si="7"/>
        <v>-374710.74257447</v>
      </c>
      <c r="L18" s="1212">
        <f t="shared" si="7"/>
        <v>-362395.04255699547</v>
      </c>
      <c r="M18" s="1212">
        <f t="shared" si="7"/>
        <v>-362481.33999999997</v>
      </c>
      <c r="N18" s="1212">
        <f t="shared" si="7"/>
        <v>-362490.34070234851</v>
      </c>
      <c r="O18" s="1212">
        <f t="shared" si="7"/>
        <v>-362536.99326174881</v>
      </c>
      <c r="P18" s="1212">
        <f t="shared" si="7"/>
        <v>-362583.70954566193</v>
      </c>
      <c r="Q18" s="1212">
        <f t="shared" si="7"/>
        <v>-362630.4975196523</v>
      </c>
      <c r="R18" s="1212">
        <f t="shared" si="7"/>
        <v>-362696.54000000004</v>
      </c>
      <c r="S18" s="1212">
        <f t="shared" si="7"/>
        <v>-362712.66594447545</v>
      </c>
      <c r="T18" s="1212">
        <f t="shared" si="7"/>
        <v>-362751.99800359353</v>
      </c>
      <c r="U18" s="1212">
        <f t="shared" si="7"/>
        <v>-362789.80886980717</v>
      </c>
      <c r="V18" s="1212">
        <f t="shared" si="7"/>
        <v>-362825.60956597811</v>
      </c>
      <c r="W18" s="1212">
        <f t="shared" si="7"/>
        <v>-362857.98</v>
      </c>
      <c r="X18" s="1212">
        <f t="shared" si="7"/>
        <v>-362911.24421609647</v>
      </c>
      <c r="Y18" s="1212">
        <f t="shared" si="7"/>
        <v>-362943.6906476072</v>
      </c>
      <c r="Z18" s="1212">
        <f t="shared" si="7"/>
        <v>-362978.11100334622</v>
      </c>
      <c r="AA18" s="1212">
        <f t="shared" si="7"/>
        <v>-363012.92385767959</v>
      </c>
      <c r="AB18" s="1212">
        <f t="shared" si="7"/>
        <v>-363097.00400000002</v>
      </c>
      <c r="AC18" s="1212">
        <f t="shared" si="7"/>
        <v>-363097.00762754027</v>
      </c>
      <c r="AD18" s="1212">
        <f t="shared" si="7"/>
        <v>-363135.18987865513</v>
      </c>
      <c r="AE18" s="1212">
        <f t="shared" si="7"/>
        <v>-363180.18092086643</v>
      </c>
      <c r="AF18" s="1212">
        <f t="shared" si="7"/>
        <v>-363220.56991323736</v>
      </c>
      <c r="AG18" s="1213">
        <f t="shared" ref="AG18:AG25" si="8">SUM(C18:AF18)</f>
        <v>-11053300.761531249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14">
        <f>'R1 DRE'!K14</f>
        <v>-222919.5</v>
      </c>
      <c r="L19" s="1214">
        <f>'R1 DRE'!L14</f>
        <v>-222919.5</v>
      </c>
      <c r="M19" s="1214">
        <f>'R1 DRE'!M14</f>
        <v>-222919.5</v>
      </c>
      <c r="N19" s="1214">
        <f>'R1 DRE'!N14</f>
        <v>-222919.5</v>
      </c>
      <c r="O19" s="1214">
        <f>'R1 DRE'!O14</f>
        <v>-222919.5</v>
      </c>
      <c r="P19" s="1214">
        <f>'R1 DRE'!P14</f>
        <v>-222919.5</v>
      </c>
      <c r="Q19" s="1214">
        <f>'R1 DRE'!Q14</f>
        <v>-222919.5</v>
      </c>
      <c r="R19" s="1214">
        <f>'R1 DRE'!R14</f>
        <v>-222919.5</v>
      </c>
      <c r="S19" s="1214">
        <f>'R1 DRE'!S14</f>
        <v>-222919.5</v>
      </c>
      <c r="T19" s="1214">
        <f>'R1 DRE'!T14</f>
        <v>-222919.5</v>
      </c>
      <c r="U19" s="1214">
        <f>'R1 DRE'!U14</f>
        <v>-222919.5</v>
      </c>
      <c r="V19" s="1214">
        <f>'R1 DRE'!V14</f>
        <v>-222919.5</v>
      </c>
      <c r="W19" s="1214">
        <f>'R1 DRE'!W14</f>
        <v>-222919.5</v>
      </c>
      <c r="X19" s="1214">
        <f>'R1 DRE'!X14</f>
        <v>-222919.5</v>
      </c>
      <c r="Y19" s="1214">
        <f>'R1 DRE'!Y14</f>
        <v>-222919.5</v>
      </c>
      <c r="Z19" s="1214">
        <f>'R1 DRE'!Z14</f>
        <v>-222919.5</v>
      </c>
      <c r="AA19" s="1214">
        <f>'R1 DRE'!AA14</f>
        <v>-222919.5</v>
      </c>
      <c r="AB19" s="1214">
        <f>'R1 DRE'!AB14</f>
        <v>-222919.5</v>
      </c>
      <c r="AC19" s="1214">
        <f>'R1 DRE'!AC14</f>
        <v>-222919.5</v>
      </c>
      <c r="AD19" s="1214">
        <f>'R1 DRE'!AD14</f>
        <v>-222919.5</v>
      </c>
      <c r="AE19" s="1214">
        <f>'R1 DRE'!AE14</f>
        <v>-222919.5</v>
      </c>
      <c r="AF19" s="1214">
        <f>'R1 DRE'!AF14</f>
        <v>-222919.5</v>
      </c>
      <c r="AG19" s="1215">
        <f t="shared" si="8"/>
        <v>-6687585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14">
        <f>'R1 DRE'!K15</f>
        <v>-151791.24257447</v>
      </c>
      <c r="L20" s="1214">
        <f>'R1 DRE'!L15</f>
        <v>-139475.54255699547</v>
      </c>
      <c r="M20" s="1214">
        <f>'R1 DRE'!M15</f>
        <v>-139561.84</v>
      </c>
      <c r="N20" s="1214">
        <f>'R1 DRE'!N15</f>
        <v>-139570.84070234848</v>
      </c>
      <c r="O20" s="1214">
        <f>'R1 DRE'!O15</f>
        <v>-139617.49326174878</v>
      </c>
      <c r="P20" s="1214">
        <f>'R1 DRE'!P15</f>
        <v>-139664.20954566196</v>
      </c>
      <c r="Q20" s="1214">
        <f>'R1 DRE'!Q15</f>
        <v>-139710.9975196523</v>
      </c>
      <c r="R20" s="1214">
        <f>'R1 DRE'!R15</f>
        <v>-139777.04</v>
      </c>
      <c r="S20" s="1214">
        <f>'R1 DRE'!S15</f>
        <v>-139793.16594447548</v>
      </c>
      <c r="T20" s="1214">
        <f>'R1 DRE'!T15</f>
        <v>-139832.49800359353</v>
      </c>
      <c r="U20" s="1214">
        <f>'R1 DRE'!U15</f>
        <v>-139870.30886980714</v>
      </c>
      <c r="V20" s="1214">
        <f>'R1 DRE'!V15</f>
        <v>-139906.10956597811</v>
      </c>
      <c r="W20" s="1214">
        <f>'R1 DRE'!W15</f>
        <v>-139938.48000000001</v>
      </c>
      <c r="X20" s="1214">
        <f>'R1 DRE'!X15</f>
        <v>-139991.74421609644</v>
      </c>
      <c r="Y20" s="1214">
        <f>'R1 DRE'!Y15</f>
        <v>-140024.19064760717</v>
      </c>
      <c r="Z20" s="1214">
        <f>'R1 DRE'!Z15</f>
        <v>-140058.61100334622</v>
      </c>
      <c r="AA20" s="1214">
        <f>'R1 DRE'!AA15</f>
        <v>-140093.42385767962</v>
      </c>
      <c r="AB20" s="1214">
        <f>'R1 DRE'!AB15</f>
        <v>-140177.50400000002</v>
      </c>
      <c r="AC20" s="1214">
        <f>'R1 DRE'!AC15</f>
        <v>-140177.5076275403</v>
      </c>
      <c r="AD20" s="1214">
        <f>'R1 DRE'!AD15</f>
        <v>-140215.68987865516</v>
      </c>
      <c r="AE20" s="1214">
        <f>'R1 DRE'!AE15</f>
        <v>-140260.68092086641</v>
      </c>
      <c r="AF20" s="1214">
        <f>'R1 DRE'!AF15</f>
        <v>-140301.06991323733</v>
      </c>
      <c r="AG20" s="1215">
        <f t="shared" si="8"/>
        <v>-4365715.761531245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9">D22+D23+D24+D25</f>
        <v>-1230326.5123160521</v>
      </c>
      <c r="E21" s="1212">
        <f t="shared" si="9"/>
        <v>-1446948.7737891045</v>
      </c>
      <c r="F21" s="1212">
        <f t="shared" si="9"/>
        <v>-1394729.7694170631</v>
      </c>
      <c r="G21" s="1212">
        <f t="shared" si="9"/>
        <v>-1372431.1735002932</v>
      </c>
      <c r="H21" s="1212">
        <f t="shared" si="9"/>
        <v>-1382496.4519969807</v>
      </c>
      <c r="I21" s="1212">
        <f t="shared" si="9"/>
        <v>-1388736.4491514349</v>
      </c>
      <c r="J21" s="1212">
        <f t="shared" si="9"/>
        <v>-1449102.5046888234</v>
      </c>
      <c r="K21" s="1212">
        <f t="shared" si="9"/>
        <v>-1459034.9479406383</v>
      </c>
      <c r="L21" s="1212">
        <f t="shared" si="9"/>
        <v>-1479878.9272006578</v>
      </c>
      <c r="M21" s="1212">
        <f t="shared" si="9"/>
        <v>-1481032.1763060188</v>
      </c>
      <c r="N21" s="1212">
        <f t="shared" si="9"/>
        <v>-1482285.6135940487</v>
      </c>
      <c r="O21" s="1212">
        <f t="shared" si="9"/>
        <v>-1483106.7367342836</v>
      </c>
      <c r="P21" s="1212">
        <f t="shared" si="9"/>
        <v>-1483927.8498745186</v>
      </c>
      <c r="Q21" s="1212">
        <f t="shared" si="9"/>
        <v>-1484748.9630147535</v>
      </c>
      <c r="R21" s="1212">
        <f t="shared" si="9"/>
        <v>-1485424.0427858538</v>
      </c>
      <c r="S21" s="1212">
        <f t="shared" si="9"/>
        <v>-1486093.5218946983</v>
      </c>
      <c r="T21" s="1212">
        <f t="shared" si="9"/>
        <v>-1486761.9252424648</v>
      </c>
      <c r="U21" s="1212">
        <f t="shared" si="9"/>
        <v>-1487530.3285902308</v>
      </c>
      <c r="V21" s="1212">
        <f t="shared" si="9"/>
        <v>-1488198.731937997</v>
      </c>
      <c r="W21" s="1212">
        <f t="shared" si="9"/>
        <v>-1489002.4235217113</v>
      </c>
      <c r="X21" s="1212">
        <f t="shared" si="9"/>
        <v>-1489604.7689274428</v>
      </c>
      <c r="Y21" s="1212">
        <f t="shared" si="9"/>
        <v>-1490175.5695864293</v>
      </c>
      <c r="Z21" s="1212">
        <f t="shared" si="9"/>
        <v>-1490746.3602454155</v>
      </c>
      <c r="AA21" s="1212">
        <f t="shared" si="9"/>
        <v>-1491317.1609044017</v>
      </c>
      <c r="AB21" s="1212">
        <f t="shared" si="9"/>
        <v>-1492109.0555295818</v>
      </c>
      <c r="AC21" s="1212">
        <f t="shared" si="9"/>
        <v>-1492735.8468811174</v>
      </c>
      <c r="AD21" s="1212">
        <f t="shared" si="9"/>
        <v>-1493346.708906943</v>
      </c>
      <c r="AE21" s="1212">
        <f t="shared" si="9"/>
        <v>-1493984.4433433763</v>
      </c>
      <c r="AF21" s="1212">
        <f t="shared" si="9"/>
        <v>-1494367.8171003559</v>
      </c>
      <c r="AG21" s="1213">
        <f t="shared" si="8"/>
        <v>-43427904.739194401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14">
        <f>'R1 DRE'!K17</f>
        <v>-483412.18706838228</v>
      </c>
      <c r="L22" s="1214">
        <f>'R1 DRE'!L17</f>
        <v>-489442.6019993478</v>
      </c>
      <c r="M22" s="1214">
        <f>'R1 DRE'!M17</f>
        <v>-490208.95603734476</v>
      </c>
      <c r="N22" s="1214">
        <f>'R1 DRE'!N17</f>
        <v>-490920.5570620927</v>
      </c>
      <c r="O22" s="1214">
        <f>'R1 DRE'!O17</f>
        <v>-491624.76348001952</v>
      </c>
      <c r="P22" s="1214">
        <f>'R1 DRE'!P17</f>
        <v>-492328.96989794611</v>
      </c>
      <c r="Q22" s="1214">
        <f>'R1 DRE'!Q17</f>
        <v>-493033.1763158727</v>
      </c>
      <c r="R22" s="1214">
        <f>'R1 DRE'!R17</f>
        <v>-493612.01936735166</v>
      </c>
      <c r="S22" s="1214">
        <f>'R1 DRE'!S17</f>
        <v>-494186.17130256217</v>
      </c>
      <c r="T22" s="1214">
        <f>'R1 DRE'!T17</f>
        <v>-494759.40497506119</v>
      </c>
      <c r="U22" s="1214">
        <f>'R1 DRE'!U17</f>
        <v>-495332.63864756015</v>
      </c>
      <c r="V22" s="1214">
        <f>'R1 DRE'!V17</f>
        <v>-495905.87232005922</v>
      </c>
      <c r="W22" s="1214">
        <f>'R1 DRE'!W17</f>
        <v>-496595.18385540805</v>
      </c>
      <c r="X22" s="1214">
        <f>'R1 DRE'!X17</f>
        <v>-497111.64190462325</v>
      </c>
      <c r="Y22" s="1214">
        <f>'R1 DRE'!Y17</f>
        <v>-497601.16502573498</v>
      </c>
      <c r="Z22" s="1214">
        <f>'R1 DRE'!Z17</f>
        <v>-498090.68814684672</v>
      </c>
      <c r="AA22" s="1214">
        <f>'R1 DRE'!AA17</f>
        <v>-498580.2112679584</v>
      </c>
      <c r="AB22" s="1214">
        <f>'R1 DRE'!AB17</f>
        <v>-499259.46152948157</v>
      </c>
      <c r="AC22" s="1214">
        <f>'R1 DRE'!AC17</f>
        <v>-499796.89372358366</v>
      </c>
      <c r="AD22" s="1214">
        <f>'R1 DRE'!AD17</f>
        <v>-500320.77892254677</v>
      </c>
      <c r="AE22" s="1214">
        <f>'R1 DRE'!AE17</f>
        <v>-500867.7180223316</v>
      </c>
      <c r="AF22" s="1214">
        <f>'R1 DRE'!AF17</f>
        <v>-501196.36969936022</v>
      </c>
      <c r="AG22" s="1215">
        <f t="shared" si="8"/>
        <v>-14615965.937531687</v>
      </c>
      <c r="AI22" s="1216"/>
    </row>
    <row r="23" spans="1:36" ht="20.25" customHeight="1">
      <c r="B23" s="1221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22">
        <f>'R1 DRE'!G18-'E4 CLORO'!B38</f>
        <v>-14599.065768930037</v>
      </c>
      <c r="H23" s="1222">
        <f>'R1 DRE'!H18-'E4 CLORO'!C38</f>
        <v>-25388.155749727612</v>
      </c>
      <c r="I23" s="1222">
        <f>'R1 DRE'!I18-'E4 CLORO'!D38</f>
        <v>-37464.35237651589</v>
      </c>
      <c r="J23" s="1222">
        <f>'R1 DRE'!J18-'E4 CLORO'!E38</f>
        <v>-48407.242113114808</v>
      </c>
      <c r="K23" s="1222">
        <f>'R1 DRE'!K18-'E4 CLORO'!F38</f>
        <v>-35340.116253067266</v>
      </c>
      <c r="L23" s="1222">
        <f>'R1 DRE'!L18-'E4 CLORO'!G38</f>
        <v>-35526.422255394675</v>
      </c>
      <c r="M23" s="1222">
        <f>'R1 DRE'!M18-'E4 CLORO'!H38</f>
        <v>-35842.605172996446</v>
      </c>
      <c r="N23" s="1222">
        <f>'R1 DRE'!N18-'E4 CLORO'!I38</f>
        <v>-36318.367646812112</v>
      </c>
      <c r="O23" s="1222">
        <f>'R1 DRE'!O18-'E4 CLORO'!J38</f>
        <v>-36370.478886081648</v>
      </c>
      <c r="P23" s="1222">
        <f>'R1 DRE'!P18-'E4 CLORO'!K38</f>
        <v>-36422.580125351204</v>
      </c>
      <c r="Q23" s="1222">
        <f>'R1 DRE'!Q18-'E4 CLORO'!L38</f>
        <v>-36474.681364620752</v>
      </c>
      <c r="R23" s="1222">
        <f>'R1 DRE'!R18-'E4 CLORO'!M38</f>
        <v>-36516.303434356836</v>
      </c>
      <c r="S23" s="1222">
        <f>'R1 DRE'!S18-'E4 CLORO'!N38</f>
        <v>-36558.701737817843</v>
      </c>
      <c r="T23" s="1222">
        <f>'R1 DRE'!T18-'E4 CLORO'!O38</f>
        <v>-36601.100041278864</v>
      </c>
      <c r="U23" s="1222">
        <f>'R1 DRE'!U18-'E4 CLORO'!P38</f>
        <v>-36643.49834473987</v>
      </c>
      <c r="V23" s="1222">
        <f>'R1 DRE'!V18-'E4 CLORO'!Q38</f>
        <v>-36685.896648200884</v>
      </c>
      <c r="W23" s="1222">
        <f>'R1 DRE'!W18-'E4 CLORO'!R38</f>
        <v>-36738.069313534354</v>
      </c>
      <c r="X23" s="1222">
        <f>'R1 DRE'!X18-'E4 CLORO'!S38</f>
        <v>-36774.27814305808</v>
      </c>
      <c r="Y23" s="1222">
        <f>'R1 DRE'!Y18-'E4 CLORO'!T38</f>
        <v>-36810.496972581808</v>
      </c>
      <c r="Z23" s="1222">
        <f>'R1 DRE'!Z18-'E4 CLORO'!U38</f>
        <v>-36846.705802105542</v>
      </c>
      <c r="AA23" s="1222">
        <f>'R1 DRE'!AA18-'E4 CLORO'!V38</f>
        <v>-36882.924631629263</v>
      </c>
      <c r="AB23" s="1222">
        <f>'R1 DRE'!AB18-'E4 CLORO'!W38</f>
        <v>-36935.087299443752</v>
      </c>
      <c r="AC23" s="1222">
        <f>'R1 DRE'!AC18-'E4 CLORO'!X38</f>
        <v>-36973.062920484837</v>
      </c>
      <c r="AD23" s="1222">
        <f>'R1 DRE'!AD18-'E4 CLORO'!Y38</f>
        <v>-37011.947657312652</v>
      </c>
      <c r="AE23" s="1222">
        <f>'R1 DRE'!AE18-'E4 CLORO'!Z38</f>
        <v>-37052.589179438917</v>
      </c>
      <c r="AF23" s="1222">
        <f>'R1 DRE'!AF18-'E4 CLORO'!AA38</f>
        <v>-37074.662066103119</v>
      </c>
      <c r="AG23" s="1215">
        <f t="shared" si="8"/>
        <v>-993273.00982948544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14">
        <f>'R1 DRE'!K19</f>
        <v>-553251.9</v>
      </c>
      <c r="L24" s="1214">
        <f>'R1 DRE'!L19</f>
        <v>-553251.9</v>
      </c>
      <c r="M24" s="1214">
        <f>'R1 DRE'!M19</f>
        <v>-553251.9</v>
      </c>
      <c r="N24" s="1214">
        <f>'R1 DRE'!N19</f>
        <v>-553251.9</v>
      </c>
      <c r="O24" s="1214">
        <f>'R1 DRE'!O19</f>
        <v>-553251.9</v>
      </c>
      <c r="P24" s="1214">
        <f>'R1 DRE'!P19</f>
        <v>-553251.9</v>
      </c>
      <c r="Q24" s="1214">
        <f>'R1 DRE'!Q19</f>
        <v>-553251.9</v>
      </c>
      <c r="R24" s="1214">
        <f>'R1 DRE'!R19</f>
        <v>-553251.9</v>
      </c>
      <c r="S24" s="1214">
        <f>'R1 DRE'!S19</f>
        <v>-553251.9</v>
      </c>
      <c r="T24" s="1214">
        <f>'R1 DRE'!T19</f>
        <v>-553251.9</v>
      </c>
      <c r="U24" s="1214">
        <f>'R1 DRE'!U19</f>
        <v>-553251.9</v>
      </c>
      <c r="V24" s="1214">
        <f>'R1 DRE'!V19</f>
        <v>-553251.9</v>
      </c>
      <c r="W24" s="1214">
        <f>'R1 DRE'!W19</f>
        <v>-553251.9</v>
      </c>
      <c r="X24" s="1214">
        <f>'R1 DRE'!X19</f>
        <v>-553251.9</v>
      </c>
      <c r="Y24" s="1214">
        <f>'R1 DRE'!Y19</f>
        <v>-553251.9</v>
      </c>
      <c r="Z24" s="1214">
        <f>'R1 DRE'!Z19</f>
        <v>-553251.9</v>
      </c>
      <c r="AA24" s="1214">
        <f>'R1 DRE'!AA19</f>
        <v>-553251.9</v>
      </c>
      <c r="AB24" s="1214">
        <f>'R1 DRE'!AB19</f>
        <v>-553251.9</v>
      </c>
      <c r="AC24" s="1214">
        <f>'R1 DRE'!AC19</f>
        <v>-553251.9</v>
      </c>
      <c r="AD24" s="1214">
        <f>'R1 DRE'!AD19</f>
        <v>-553251.9</v>
      </c>
      <c r="AE24" s="1214">
        <f>'R1 DRE'!AE19</f>
        <v>-553251.9</v>
      </c>
      <c r="AF24" s="1214">
        <f>'R1 DRE'!AF19</f>
        <v>-553251.9</v>
      </c>
      <c r="AG24" s="1215">
        <f t="shared" si="8"/>
        <v>-16472445.540000008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14">
        <f>'R1 DRE'!K20</f>
        <v>-387030.74461918877</v>
      </c>
      <c r="L25" s="1214">
        <f>'R1 DRE'!L20</f>
        <v>-401658.00294591533</v>
      </c>
      <c r="M25" s="1214">
        <f>'R1 DRE'!M20</f>
        <v>-401728.7150956777</v>
      </c>
      <c r="N25" s="1214">
        <f>'R1 DRE'!N20</f>
        <v>-401794.78888514388</v>
      </c>
      <c r="O25" s="1214">
        <f>'R1 DRE'!O20</f>
        <v>-401859.59436818259</v>
      </c>
      <c r="P25" s="1214">
        <f>'R1 DRE'!P20</f>
        <v>-401924.39985122136</v>
      </c>
      <c r="Q25" s="1214">
        <f>'R1 DRE'!Q20</f>
        <v>-401989.20533426024</v>
      </c>
      <c r="R25" s="1214">
        <f>'R1 DRE'!R20</f>
        <v>-402043.81998414529</v>
      </c>
      <c r="S25" s="1214">
        <f>'R1 DRE'!S20</f>
        <v>-402096.74885431846</v>
      </c>
      <c r="T25" s="1214">
        <f>'R1 DRE'!T20</f>
        <v>-402149.52022612467</v>
      </c>
      <c r="U25" s="1214">
        <f>'R1 DRE'!U20</f>
        <v>-402302.29159793071</v>
      </c>
      <c r="V25" s="1214">
        <f>'R1 DRE'!V20</f>
        <v>-402355.06296973687</v>
      </c>
      <c r="W25" s="1214">
        <f>'R1 DRE'!W20</f>
        <v>-402417.270352769</v>
      </c>
      <c r="X25" s="1214">
        <f>'R1 DRE'!X20</f>
        <v>-402466.94887976174</v>
      </c>
      <c r="Y25" s="1214">
        <f>'R1 DRE'!Y20</f>
        <v>-402512.00758811249</v>
      </c>
      <c r="Z25" s="1214">
        <f>'R1 DRE'!Z20</f>
        <v>-402557.06629646337</v>
      </c>
      <c r="AA25" s="1214">
        <f>'R1 DRE'!AA20</f>
        <v>-402602.12500481395</v>
      </c>
      <c r="AB25" s="1214">
        <f>'R1 DRE'!AB20</f>
        <v>-402662.60670065647</v>
      </c>
      <c r="AC25" s="1214">
        <f>'R1 DRE'!AC20</f>
        <v>-402713.99023704906</v>
      </c>
      <c r="AD25" s="1214">
        <f>'R1 DRE'!AD20</f>
        <v>-402762.08232708368</v>
      </c>
      <c r="AE25" s="1214">
        <f>'R1 DRE'!AE20</f>
        <v>-402812.23614160577</v>
      </c>
      <c r="AF25" s="1214">
        <f>'R1 DRE'!AF20</f>
        <v>-402844.88533489278</v>
      </c>
      <c r="AG25" s="1215">
        <f t="shared" si="8"/>
        <v>-11346220.251833245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10">-D17*0.01</f>
        <v>-23487.364306745756</v>
      </c>
      <c r="E26" s="1212">
        <f t="shared" si="10"/>
        <v>-26078.466711710476</v>
      </c>
      <c r="F26" s="1212">
        <f t="shared" si="10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1">-I17*0.005</f>
        <v>-16724.631693002015</v>
      </c>
      <c r="J26" s="1212">
        <f t="shared" si="11"/>
        <v>-18111.511932221227</v>
      </c>
      <c r="K26" s="1212">
        <f t="shared" si="11"/>
        <v>-18467.995931188256</v>
      </c>
      <c r="L26" s="1212">
        <f t="shared" si="11"/>
        <v>-18891.001351789459</v>
      </c>
      <c r="M26" s="1212">
        <f t="shared" si="11"/>
        <v>-19757.069522633825</v>
      </c>
      <c r="N26" s="1212">
        <f t="shared" si="11"/>
        <v>-21084.292075808593</v>
      </c>
      <c r="O26" s="1212">
        <f t="shared" si="11"/>
        <v>-21169.289223631382</v>
      </c>
      <c r="P26" s="1212">
        <f t="shared" si="11"/>
        <v>-21198.654291706294</v>
      </c>
      <c r="Q26" s="1212">
        <f t="shared" si="11"/>
        <v>-21229.085388743868</v>
      </c>
      <c r="R26" s="1212">
        <f t="shared" si="11"/>
        <v>-21257.120281400374</v>
      </c>
      <c r="S26" s="1212">
        <f t="shared" si="11"/>
        <v>-21282.619249303745</v>
      </c>
      <c r="T26" s="1212">
        <f t="shared" si="11"/>
        <v>-21307.978496835054</v>
      </c>
      <c r="U26" s="1212">
        <f t="shared" si="11"/>
        <v>-21333.337744366356</v>
      </c>
      <c r="V26" s="1212">
        <f t="shared" si="11"/>
        <v>-21356.300787516608</v>
      </c>
      <c r="W26" s="1212">
        <f t="shared" si="11"/>
        <v>-21383.916519056907</v>
      </c>
      <c r="X26" s="1212">
        <f t="shared" si="11"/>
        <v>-21411.811691341332</v>
      </c>
      <c r="Y26" s="1212">
        <f t="shared" si="11"/>
        <v>-21432.518250482604</v>
      </c>
      <c r="Z26" s="1212">
        <f t="shared" si="11"/>
        <v>-21452.805648507645</v>
      </c>
      <c r="AA26" s="1212">
        <f t="shared" si="11"/>
        <v>-21473.093046532693</v>
      </c>
      <c r="AB26" s="1212">
        <f t="shared" si="11"/>
        <v>-21498.172853319851</v>
      </c>
      <c r="AC26" s="1212">
        <f t="shared" si="11"/>
        <v>-21523.532100851149</v>
      </c>
      <c r="AD26" s="1212">
        <f t="shared" si="11"/>
        <v>-21546.495144001394</v>
      </c>
      <c r="AE26" s="1212">
        <f t="shared" si="11"/>
        <v>-21571.714671160636</v>
      </c>
      <c r="AF26" s="1212">
        <f t="shared" si="11"/>
        <v>-21589.885305548771</v>
      </c>
      <c r="AG26" s="1213">
        <f>SUM(C26:AF26)</f>
        <v>-628817.15969857248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2">D17+D18+D21+D26</f>
        <v>725356.85352382285</v>
      </c>
      <c r="E27" s="1212">
        <f t="shared" si="12"/>
        <v>761828.63043885329</v>
      </c>
      <c r="F27" s="1212">
        <f t="shared" si="12"/>
        <v>885889.84541072126</v>
      </c>
      <c r="G27" s="1212">
        <f t="shared" si="12"/>
        <v>987003.66554251267</v>
      </c>
      <c r="H27" s="1212">
        <f t="shared" si="12"/>
        <v>1225767.6383017648</v>
      </c>
      <c r="I27" s="1212">
        <f t="shared" si="12"/>
        <v>1571413.730370044</v>
      </c>
      <c r="J27" s="1212">
        <f t="shared" si="12"/>
        <v>1785524.5788743247</v>
      </c>
      <c r="K27" s="1212">
        <f t="shared" si="12"/>
        <v>1841385.4997913546</v>
      </c>
      <c r="L27" s="1212">
        <f t="shared" si="12"/>
        <v>1917035.2992484486</v>
      </c>
      <c r="M27" s="1212">
        <f t="shared" si="12"/>
        <v>2088143.3186981122</v>
      </c>
      <c r="N27" s="1212">
        <f t="shared" si="12"/>
        <v>2350998.1687895129</v>
      </c>
      <c r="O27" s="1212">
        <f t="shared" si="12"/>
        <v>2367044.8255066127</v>
      </c>
      <c r="P27" s="1212">
        <f t="shared" si="12"/>
        <v>2372020.6446293723</v>
      </c>
      <c r="Q27" s="1212">
        <f t="shared" si="12"/>
        <v>2377208.5318256239</v>
      </c>
      <c r="R27" s="1212">
        <f t="shared" si="12"/>
        <v>2382046.3532128204</v>
      </c>
      <c r="S27" s="1212">
        <f t="shared" si="12"/>
        <v>2386435.0427722717</v>
      </c>
      <c r="T27" s="1212">
        <f t="shared" si="12"/>
        <v>2390773.7976241172</v>
      </c>
      <c r="U27" s="1212">
        <f t="shared" si="12"/>
        <v>2395014.0736688664</v>
      </c>
      <c r="V27" s="1212">
        <f t="shared" si="12"/>
        <v>2398879.5152118304</v>
      </c>
      <c r="W27" s="1212">
        <f t="shared" si="12"/>
        <v>2403538.9837706136</v>
      </c>
      <c r="X27" s="1212">
        <f t="shared" si="12"/>
        <v>2408434.5134333852</v>
      </c>
      <c r="Y27" s="1212">
        <f t="shared" si="12"/>
        <v>2411951.8716120017</v>
      </c>
      <c r="Z27" s="1212">
        <f t="shared" si="12"/>
        <v>2415383.8528042594</v>
      </c>
      <c r="AA27" s="1212">
        <f t="shared" si="12"/>
        <v>2418815.4314979245</v>
      </c>
      <c r="AB27" s="1212">
        <f t="shared" si="12"/>
        <v>2422930.338281068</v>
      </c>
      <c r="AC27" s="1212">
        <f t="shared" si="12"/>
        <v>2427350.0335607207</v>
      </c>
      <c r="AD27" s="1212">
        <f t="shared" si="12"/>
        <v>2431270.6348706796</v>
      </c>
      <c r="AE27" s="1212">
        <f t="shared" si="12"/>
        <v>2435606.5952967238</v>
      </c>
      <c r="AF27" s="1212">
        <f t="shared" si="12"/>
        <v>2438798.7887906125</v>
      </c>
      <c r="AG27" s="1213">
        <f t="shared" ref="AG27:AG33" si="13">SUM(C27:AF27)</f>
        <v>59768303.516855091</v>
      </c>
    </row>
    <row r="28" spans="1:36" s="1127" customFormat="1" ht="20.25" customHeight="1">
      <c r="B28" s="1128" t="s">
        <v>221</v>
      </c>
      <c r="C28" s="1211">
        <f t="array" ref="C28:AF28">-TRANSPOSE('E4 R2 DEPR'!AH10:AH39)</f>
        <v>0</v>
      </c>
      <c r="D28" s="1211">
        <v>-19422.835502517231</v>
      </c>
      <c r="E28" s="1211">
        <v>-31767.091368703179</v>
      </c>
      <c r="F28" s="1211">
        <v>-42964.776963557146</v>
      </c>
      <c r="G28" s="1211">
        <v>-96570.054420457061</v>
      </c>
      <c r="H28" s="1211">
        <v>-304965.65942868049</v>
      </c>
      <c r="I28" s="1211">
        <v>-336115.88395283534</v>
      </c>
      <c r="J28" s="1211">
        <v>-410598.73293398408</v>
      </c>
      <c r="K28" s="1211">
        <v>-464768.81591013516</v>
      </c>
      <c r="L28" s="1211">
        <v>-556395.76442628633</v>
      </c>
      <c r="M28" s="1211">
        <v>-606384.66795427434</v>
      </c>
      <c r="N28" s="1211">
        <v>-746042.85109225672</v>
      </c>
      <c r="O28" s="1211">
        <v>-876765.64028621197</v>
      </c>
      <c r="P28" s="1211">
        <v>-880788.39050692588</v>
      </c>
      <c r="Q28" s="1211">
        <v>-885062.56261643441</v>
      </c>
      <c r="R28" s="1211">
        <v>-889621.67953324353</v>
      </c>
      <c r="S28" s="1211">
        <v>-894128.73337268189</v>
      </c>
      <c r="T28" s="1211">
        <v>-898982.48366130784</v>
      </c>
      <c r="U28" s="1211">
        <v>-904240.71314065251</v>
      </c>
      <c r="V28" s="1211">
        <v>-909976.96348175581</v>
      </c>
      <c r="W28" s="1211">
        <v>-916286.83885696949</v>
      </c>
      <c r="X28" s="1211">
        <v>-923930.5892738736</v>
      </c>
      <c r="Y28" s="1211">
        <v>-931360.43349289068</v>
      </c>
      <c r="Z28" s="1211">
        <v>-939851.68402891024</v>
      </c>
      <c r="AA28" s="1211">
        <v>-949758.14298759971</v>
      </c>
      <c r="AB28" s="1211">
        <v>-961645.89373802708</v>
      </c>
      <c r="AC28" s="1211">
        <v>-978844.33217606123</v>
      </c>
      <c r="AD28" s="1211">
        <v>-998928.58342677343</v>
      </c>
      <c r="AE28" s="1211">
        <v>-1029461.9603028417</v>
      </c>
      <c r="AF28" s="1211">
        <v>-1151193.962051711</v>
      </c>
      <c r="AG28" s="1217">
        <f t="shared" si="13"/>
        <v>-20536826.720888559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4">D27+D28</f>
        <v>705934.01802130567</v>
      </c>
      <c r="E29" s="1212">
        <f t="shared" si="14"/>
        <v>730061.53907015012</v>
      </c>
      <c r="F29" s="1212">
        <f t="shared" si="14"/>
        <v>842925.06844716414</v>
      </c>
      <c r="G29" s="1212">
        <f t="shared" si="14"/>
        <v>890433.61112205556</v>
      </c>
      <c r="H29" s="1212">
        <f t="shared" si="14"/>
        <v>920801.9788730843</v>
      </c>
      <c r="I29" s="1212">
        <f t="shared" si="14"/>
        <v>1235297.8464172087</v>
      </c>
      <c r="J29" s="1212">
        <f t="shared" si="14"/>
        <v>1374925.8459403405</v>
      </c>
      <c r="K29" s="1212">
        <f t="shared" si="14"/>
        <v>1376616.6838812195</v>
      </c>
      <c r="L29" s="1212">
        <f t="shared" si="14"/>
        <v>1360639.5348221622</v>
      </c>
      <c r="M29" s="1212">
        <f t="shared" si="14"/>
        <v>1481758.6507438379</v>
      </c>
      <c r="N29" s="1212">
        <f t="shared" si="14"/>
        <v>1604955.3176972563</v>
      </c>
      <c r="O29" s="1212">
        <f t="shared" si="14"/>
        <v>1490279.1852204008</v>
      </c>
      <c r="P29" s="1212">
        <f t="shared" si="14"/>
        <v>1491232.2541224463</v>
      </c>
      <c r="Q29" s="1212">
        <f t="shared" si="14"/>
        <v>1492145.9692091895</v>
      </c>
      <c r="R29" s="1212">
        <f t="shared" si="14"/>
        <v>1492424.6736795767</v>
      </c>
      <c r="S29" s="1212">
        <f t="shared" si="14"/>
        <v>1492306.3093995899</v>
      </c>
      <c r="T29" s="1212">
        <f t="shared" si="14"/>
        <v>1491791.3139628093</v>
      </c>
      <c r="U29" s="1212">
        <f t="shared" si="14"/>
        <v>1490773.3605282139</v>
      </c>
      <c r="V29" s="1212">
        <f t="shared" si="14"/>
        <v>1488902.5517300745</v>
      </c>
      <c r="W29" s="1212">
        <f t="shared" si="14"/>
        <v>1487252.1449136441</v>
      </c>
      <c r="X29" s="1212">
        <f t="shared" si="14"/>
        <v>1484503.9241595115</v>
      </c>
      <c r="Y29" s="1212">
        <f t="shared" si="14"/>
        <v>1480591.4381191111</v>
      </c>
      <c r="Z29" s="1212">
        <f t="shared" si="14"/>
        <v>1475532.1687753492</v>
      </c>
      <c r="AA29" s="1212">
        <f t="shared" si="14"/>
        <v>1469057.2885103249</v>
      </c>
      <c r="AB29" s="1212">
        <f t="shared" si="14"/>
        <v>1461284.4445430408</v>
      </c>
      <c r="AC29" s="1212">
        <f t="shared" si="14"/>
        <v>1448505.7013846594</v>
      </c>
      <c r="AD29" s="1212">
        <f t="shared" si="14"/>
        <v>1432342.051443906</v>
      </c>
      <c r="AE29" s="1212">
        <f t="shared" si="14"/>
        <v>1406144.6349938819</v>
      </c>
      <c r="AF29" s="1212">
        <f t="shared" si="14"/>
        <v>1287604.8267389014</v>
      </c>
      <c r="AG29" s="1213">
        <f t="shared" si="13"/>
        <v>39231476.795966528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5">D31+D32</f>
        <v>-216017.56612724392</v>
      </c>
      <c r="E30" s="1212">
        <f t="shared" si="15"/>
        <v>-224220.92328385104</v>
      </c>
      <c r="F30" s="1212">
        <f t="shared" si="15"/>
        <v>-262594.52327203582</v>
      </c>
      <c r="G30" s="1212">
        <f t="shared" si="15"/>
        <v>-278747.42778149887</v>
      </c>
      <c r="H30" s="1212">
        <f t="shared" si="15"/>
        <v>-289072.67281684867</v>
      </c>
      <c r="I30" s="1212">
        <f t="shared" si="15"/>
        <v>-396001.26778185094</v>
      </c>
      <c r="J30" s="1212">
        <f t="shared" si="15"/>
        <v>-443474.78761971579</v>
      </c>
      <c r="K30" s="1212">
        <f t="shared" si="15"/>
        <v>-444049.67251961463</v>
      </c>
      <c r="L30" s="1212">
        <f t="shared" si="15"/>
        <v>-438617.44183953514</v>
      </c>
      <c r="M30" s="1212">
        <f t="shared" si="15"/>
        <v>-479797.94125290489</v>
      </c>
      <c r="N30" s="1212">
        <f t="shared" si="15"/>
        <v>-521684.80801706715</v>
      </c>
      <c r="O30" s="1212">
        <f t="shared" si="15"/>
        <v>-482694.92297493626</v>
      </c>
      <c r="P30" s="1212">
        <f t="shared" si="15"/>
        <v>-483018.96640163171</v>
      </c>
      <c r="Q30" s="1212">
        <f t="shared" si="15"/>
        <v>-483329.62953112443</v>
      </c>
      <c r="R30" s="1212">
        <f t="shared" si="15"/>
        <v>-483424.38905105612</v>
      </c>
      <c r="S30" s="1212">
        <f t="shared" si="15"/>
        <v>-483384.14519586053</v>
      </c>
      <c r="T30" s="1212">
        <f t="shared" si="15"/>
        <v>-483209.04674735514</v>
      </c>
      <c r="U30" s="1212">
        <f t="shared" si="15"/>
        <v>-482862.94257959269</v>
      </c>
      <c r="V30" s="1212">
        <f t="shared" si="15"/>
        <v>-482226.86758822529</v>
      </c>
      <c r="W30" s="1212">
        <f t="shared" si="15"/>
        <v>-481665.72927063901</v>
      </c>
      <c r="X30" s="1212">
        <f t="shared" si="15"/>
        <v>-480731.33421423391</v>
      </c>
      <c r="Y30" s="1212">
        <f t="shared" si="15"/>
        <v>-479401.08896049776</v>
      </c>
      <c r="Z30" s="1212">
        <f t="shared" si="15"/>
        <v>-477680.93738361867</v>
      </c>
      <c r="AA30" s="1212">
        <f t="shared" si="15"/>
        <v>-475479.47809351049</v>
      </c>
      <c r="AB30" s="1212">
        <f t="shared" si="15"/>
        <v>-472836.71114463388</v>
      </c>
      <c r="AC30" s="1212">
        <f t="shared" si="15"/>
        <v>-468491.93847078417</v>
      </c>
      <c r="AD30" s="1212">
        <f t="shared" si="15"/>
        <v>-462996.29749092803</v>
      </c>
      <c r="AE30" s="1212">
        <f t="shared" si="15"/>
        <v>-454089.17589791986</v>
      </c>
      <c r="AF30" s="1212">
        <f t="shared" si="15"/>
        <v>-413785.64109122648</v>
      </c>
      <c r="AG30" s="1213">
        <f t="shared" si="13"/>
        <v>-12525588.274399944</v>
      </c>
    </row>
    <row r="31" spans="1:36" s="89" customFormat="1" ht="20.25" customHeight="1">
      <c r="B31" s="477" t="s">
        <v>224</v>
      </c>
      <c r="C31" s="1214"/>
      <c r="D31" s="1214">
        <f t="shared" ref="D31:AF31" si="16">-((D29*0.15)+((D29-240000)*0.1))</f>
        <v>-152483.50450532642</v>
      </c>
      <c r="E31" s="1214">
        <f t="shared" si="16"/>
        <v>-158515.38476753753</v>
      </c>
      <c r="F31" s="1214">
        <f t="shared" si="16"/>
        <v>-186731.26711179104</v>
      </c>
      <c r="G31" s="1214">
        <f t="shared" si="16"/>
        <v>-198608.40278051386</v>
      </c>
      <c r="H31" s="1214">
        <f t="shared" si="16"/>
        <v>-206200.49471827107</v>
      </c>
      <c r="I31" s="1214">
        <f t="shared" si="16"/>
        <v>-284824.46160430217</v>
      </c>
      <c r="J31" s="1214">
        <f t="shared" si="16"/>
        <v>-319731.46148508514</v>
      </c>
      <c r="K31" s="1214">
        <f t="shared" si="16"/>
        <v>-320154.17097030487</v>
      </c>
      <c r="L31" s="1214">
        <f t="shared" si="16"/>
        <v>-316159.88370554056</v>
      </c>
      <c r="M31" s="1214">
        <f t="shared" si="16"/>
        <v>-346439.66268595948</v>
      </c>
      <c r="N31" s="1214">
        <f t="shared" si="16"/>
        <v>-377238.82942431408</v>
      </c>
      <c r="O31" s="1214">
        <f t="shared" si="16"/>
        <v>-348569.7963051002</v>
      </c>
      <c r="P31" s="1214">
        <f t="shared" si="16"/>
        <v>-348808.06353061157</v>
      </c>
      <c r="Q31" s="1214">
        <f t="shared" si="16"/>
        <v>-349036.49230229738</v>
      </c>
      <c r="R31" s="1214">
        <f t="shared" si="16"/>
        <v>-349106.16841989418</v>
      </c>
      <c r="S31" s="1214">
        <f t="shared" si="16"/>
        <v>-349076.57734989747</v>
      </c>
      <c r="T31" s="1214">
        <f t="shared" si="16"/>
        <v>-348947.82849070232</v>
      </c>
      <c r="U31" s="1214">
        <f t="shared" si="16"/>
        <v>-348693.34013205348</v>
      </c>
      <c r="V31" s="1214">
        <f t="shared" si="16"/>
        <v>-348225.63793251861</v>
      </c>
      <c r="W31" s="1214">
        <f t="shared" si="16"/>
        <v>-347813.03622841102</v>
      </c>
      <c r="X31" s="1214">
        <f t="shared" si="16"/>
        <v>-347125.98103987786</v>
      </c>
      <c r="Y31" s="1214">
        <f t="shared" si="16"/>
        <v>-346147.85952977778</v>
      </c>
      <c r="Z31" s="1214">
        <f t="shared" si="16"/>
        <v>-344883.04219383729</v>
      </c>
      <c r="AA31" s="1214">
        <f t="shared" si="16"/>
        <v>-343264.32212758122</v>
      </c>
      <c r="AB31" s="1214">
        <f t="shared" si="16"/>
        <v>-341321.11113576021</v>
      </c>
      <c r="AC31" s="1214">
        <f t="shared" si="16"/>
        <v>-338126.42534616485</v>
      </c>
      <c r="AD31" s="1214">
        <f t="shared" si="16"/>
        <v>-334085.51286097651</v>
      </c>
      <c r="AE31" s="1214">
        <f t="shared" si="16"/>
        <v>-327536.15874847048</v>
      </c>
      <c r="AF31" s="1214">
        <f t="shared" si="16"/>
        <v>-297901.20668472536</v>
      </c>
      <c r="AG31" s="1213">
        <f t="shared" si="13"/>
        <v>-9025756.0841176044</v>
      </c>
    </row>
    <row r="32" spans="1:36" s="89" customFormat="1" ht="20.25" customHeight="1">
      <c r="B32" s="477" t="s">
        <v>225</v>
      </c>
      <c r="C32" s="1214"/>
      <c r="D32" s="1214">
        <f t="shared" ref="D32:AF32" si="17">-(D29*0.09)</f>
        <v>-63534.061621917506</v>
      </c>
      <c r="E32" s="1214">
        <f t="shared" si="17"/>
        <v>-65705.538516313507</v>
      </c>
      <c r="F32" s="1214">
        <f t="shared" si="17"/>
        <v>-75863.256160244768</v>
      </c>
      <c r="G32" s="1214">
        <f t="shared" si="17"/>
        <v>-80139.025000984999</v>
      </c>
      <c r="H32" s="1214">
        <f t="shared" si="17"/>
        <v>-82872.178098577584</v>
      </c>
      <c r="I32" s="1214">
        <f t="shared" si="17"/>
        <v>-111176.80617754877</v>
      </c>
      <c r="J32" s="1214">
        <f t="shared" si="17"/>
        <v>-123743.32613463064</v>
      </c>
      <c r="K32" s="1214">
        <f t="shared" si="17"/>
        <v>-123895.50154930975</v>
      </c>
      <c r="L32" s="1214">
        <f t="shared" si="17"/>
        <v>-122457.55813399459</v>
      </c>
      <c r="M32" s="1214">
        <f t="shared" si="17"/>
        <v>-133358.2785669454</v>
      </c>
      <c r="N32" s="1214">
        <f t="shared" si="17"/>
        <v>-144445.97859275306</v>
      </c>
      <c r="O32" s="1214">
        <f t="shared" si="17"/>
        <v>-134125.12666983606</v>
      </c>
      <c r="P32" s="1214">
        <f t="shared" si="17"/>
        <v>-134210.90287102017</v>
      </c>
      <c r="Q32" s="1214">
        <f t="shared" si="17"/>
        <v>-134293.13722882705</v>
      </c>
      <c r="R32" s="1214">
        <f t="shared" si="17"/>
        <v>-134318.22063116191</v>
      </c>
      <c r="S32" s="1214">
        <f t="shared" si="17"/>
        <v>-134307.56784596309</v>
      </c>
      <c r="T32" s="1214">
        <f t="shared" si="17"/>
        <v>-134261.21825665282</v>
      </c>
      <c r="U32" s="1214">
        <f t="shared" si="17"/>
        <v>-134169.60244753925</v>
      </c>
      <c r="V32" s="1214">
        <f t="shared" si="17"/>
        <v>-134001.2296557067</v>
      </c>
      <c r="W32" s="1214">
        <f t="shared" si="17"/>
        <v>-133852.69304222797</v>
      </c>
      <c r="X32" s="1214">
        <f t="shared" si="17"/>
        <v>-133605.35317435602</v>
      </c>
      <c r="Y32" s="1214">
        <f t="shared" si="17"/>
        <v>-133253.22943072001</v>
      </c>
      <c r="Z32" s="1214">
        <f t="shared" si="17"/>
        <v>-132797.89518978141</v>
      </c>
      <c r="AA32" s="1214">
        <f t="shared" si="17"/>
        <v>-132215.15596592924</v>
      </c>
      <c r="AB32" s="1214">
        <f t="shared" si="17"/>
        <v>-131515.60000887368</v>
      </c>
      <c r="AC32" s="1214">
        <f t="shared" si="17"/>
        <v>-130365.51312461933</v>
      </c>
      <c r="AD32" s="1214">
        <f t="shared" si="17"/>
        <v>-128910.78462995154</v>
      </c>
      <c r="AE32" s="1214">
        <f t="shared" si="17"/>
        <v>-126553.01714944937</v>
      </c>
      <c r="AF32" s="1214">
        <f t="shared" si="17"/>
        <v>-115884.43440650112</v>
      </c>
      <c r="AG32" s="1213">
        <f t="shared" si="13"/>
        <v>-3499832.1902823374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8">D29+D30</f>
        <v>489916.45189406176</v>
      </c>
      <c r="E33" s="1219">
        <f t="shared" si="18"/>
        <v>505840.61578629911</v>
      </c>
      <c r="F33" s="1219">
        <f t="shared" si="18"/>
        <v>580330.54517512838</v>
      </c>
      <c r="G33" s="1219">
        <f t="shared" si="18"/>
        <v>611686.18334055669</v>
      </c>
      <c r="H33" s="1219">
        <f t="shared" si="18"/>
        <v>631729.30605623568</v>
      </c>
      <c r="I33" s="1219">
        <f t="shared" si="18"/>
        <v>839296.57863535779</v>
      </c>
      <c r="J33" s="1219">
        <f t="shared" si="18"/>
        <v>931451.05832062475</v>
      </c>
      <c r="K33" s="1219">
        <f t="shared" si="18"/>
        <v>932567.01136160479</v>
      </c>
      <c r="L33" s="1219">
        <f t="shared" si="18"/>
        <v>922022.0929826271</v>
      </c>
      <c r="M33" s="1219">
        <f t="shared" si="18"/>
        <v>1001960.709490933</v>
      </c>
      <c r="N33" s="1219">
        <f t="shared" si="18"/>
        <v>1083270.5096801892</v>
      </c>
      <c r="O33" s="1219">
        <f t="shared" si="18"/>
        <v>1007584.2622454646</v>
      </c>
      <c r="P33" s="1219">
        <f t="shared" si="18"/>
        <v>1008213.2877208146</v>
      </c>
      <c r="Q33" s="1219">
        <f t="shared" si="18"/>
        <v>1008816.3396780652</v>
      </c>
      <c r="R33" s="1219">
        <f t="shared" si="18"/>
        <v>1009000.2846285206</v>
      </c>
      <c r="S33" s="1219">
        <f t="shared" si="18"/>
        <v>1008922.1642037294</v>
      </c>
      <c r="T33" s="1219">
        <f t="shared" si="18"/>
        <v>1008582.2672154541</v>
      </c>
      <c r="U33" s="1219">
        <f t="shared" si="18"/>
        <v>1007910.4179486212</v>
      </c>
      <c r="V33" s="1219">
        <f t="shared" si="18"/>
        <v>1006675.6841418492</v>
      </c>
      <c r="W33" s="1219">
        <f t="shared" si="18"/>
        <v>1005586.415643005</v>
      </c>
      <c r="X33" s="1219">
        <f t="shared" si="18"/>
        <v>1003772.5899452775</v>
      </c>
      <c r="Y33" s="1219">
        <f t="shared" si="18"/>
        <v>1001190.3491586134</v>
      </c>
      <c r="Z33" s="1219">
        <f t="shared" si="18"/>
        <v>997851.23139173049</v>
      </c>
      <c r="AA33" s="1219">
        <f t="shared" si="18"/>
        <v>993577.81041681441</v>
      </c>
      <c r="AB33" s="1219">
        <f t="shared" si="18"/>
        <v>988447.733398407</v>
      </c>
      <c r="AC33" s="1219">
        <f t="shared" si="18"/>
        <v>980013.76291387528</v>
      </c>
      <c r="AD33" s="1219">
        <f t="shared" si="18"/>
        <v>969345.75395297795</v>
      </c>
      <c r="AE33" s="1219">
        <f t="shared" si="18"/>
        <v>952055.45909596211</v>
      </c>
      <c r="AF33" s="1219">
        <f t="shared" si="18"/>
        <v>873819.18564767495</v>
      </c>
      <c r="AG33" s="1220">
        <f t="shared" si="13"/>
        <v>26705888.521566596</v>
      </c>
      <c r="AH33" s="136"/>
    </row>
    <row r="35" spans="2:34" s="135" customFormat="1">
      <c r="C35" s="135">
        <f>C29*0.15</f>
        <v>51667.868924417729</v>
      </c>
      <c r="D35" s="135">
        <f t="shared" ref="D35:AF35" si="19">D29*0.15</f>
        <v>105890.10270319585</v>
      </c>
      <c r="E35" s="135">
        <f t="shared" si="19"/>
        <v>109509.23086052251</v>
      </c>
      <c r="F35" s="135">
        <f t="shared" si="19"/>
        <v>126438.76026707461</v>
      </c>
      <c r="G35" s="135">
        <f t="shared" si="19"/>
        <v>133565.04166830832</v>
      </c>
      <c r="H35" s="135">
        <f t="shared" si="19"/>
        <v>138120.29683096264</v>
      </c>
      <c r="I35" s="135">
        <f t="shared" si="19"/>
        <v>185294.67696258129</v>
      </c>
      <c r="J35" s="135">
        <f t="shared" si="19"/>
        <v>206238.87689105107</v>
      </c>
      <c r="K35" s="135">
        <f t="shared" si="19"/>
        <v>206492.5025821829</v>
      </c>
      <c r="L35" s="135">
        <f t="shared" si="19"/>
        <v>204095.93022332434</v>
      </c>
      <c r="M35" s="135">
        <f t="shared" si="19"/>
        <v>222263.79761157569</v>
      </c>
      <c r="N35" s="135">
        <f t="shared" si="19"/>
        <v>240743.29765458844</v>
      </c>
      <c r="O35" s="135">
        <f t="shared" si="19"/>
        <v>223541.8777830601</v>
      </c>
      <c r="P35" s="135">
        <f t="shared" si="19"/>
        <v>223684.83811836693</v>
      </c>
      <c r="Q35" s="135">
        <f t="shared" si="19"/>
        <v>223821.89538137842</v>
      </c>
      <c r="R35" s="135">
        <f t="shared" si="19"/>
        <v>223863.70105193651</v>
      </c>
      <c r="S35" s="135">
        <f t="shared" si="19"/>
        <v>223845.94640993848</v>
      </c>
      <c r="T35" s="135">
        <f t="shared" si="19"/>
        <v>223768.6970944214</v>
      </c>
      <c r="U35" s="135">
        <f t="shared" si="19"/>
        <v>223616.00407923208</v>
      </c>
      <c r="V35" s="135">
        <f t="shared" si="19"/>
        <v>223335.38275951115</v>
      </c>
      <c r="W35" s="135">
        <f t="shared" si="19"/>
        <v>223087.82173704662</v>
      </c>
      <c r="X35" s="135">
        <f t="shared" si="19"/>
        <v>222675.58862392671</v>
      </c>
      <c r="Y35" s="135">
        <f t="shared" si="19"/>
        <v>222088.71571786667</v>
      </c>
      <c r="Z35" s="135">
        <f t="shared" si="19"/>
        <v>221329.82531630236</v>
      </c>
      <c r="AA35" s="135">
        <f t="shared" si="19"/>
        <v>220358.59327654872</v>
      </c>
      <c r="AB35" s="135">
        <f t="shared" si="19"/>
        <v>219192.66668145612</v>
      </c>
      <c r="AC35" s="135">
        <f t="shared" si="19"/>
        <v>217275.85520769891</v>
      </c>
      <c r="AD35" s="135">
        <f t="shared" si="19"/>
        <v>214851.3077165859</v>
      </c>
      <c r="AE35" s="135">
        <f t="shared" si="19"/>
        <v>210921.69524908229</v>
      </c>
      <c r="AF35" s="135">
        <f t="shared" si="19"/>
        <v>193140.7240108352</v>
      </c>
    </row>
    <row r="36" spans="2:34" s="135" customFormat="1">
      <c r="C36" s="135">
        <f>(C29-240000)*0.1</f>
        <v>10445.245949611819</v>
      </c>
      <c r="D36" s="135">
        <f t="shared" ref="D36:AF36" si="20">(D29-240000)*0.1</f>
        <v>46593.401802130567</v>
      </c>
      <c r="E36" s="135">
        <f t="shared" si="20"/>
        <v>49006.153907015017</v>
      </c>
      <c r="F36" s="135">
        <f t="shared" si="20"/>
        <v>60292.506844716416</v>
      </c>
      <c r="G36" s="135">
        <f t="shared" si="20"/>
        <v>65043.361112205559</v>
      </c>
      <c r="H36" s="135">
        <f t="shared" si="20"/>
        <v>68080.19788730843</v>
      </c>
      <c r="I36" s="135">
        <f t="shared" si="20"/>
        <v>99529.784641720878</v>
      </c>
      <c r="J36" s="135">
        <f t="shared" si="20"/>
        <v>113492.58459403407</v>
      </c>
      <c r="K36" s="135">
        <f t="shared" si="20"/>
        <v>113661.66838812195</v>
      </c>
      <c r="L36" s="135">
        <f t="shared" si="20"/>
        <v>112063.95348221622</v>
      </c>
      <c r="M36" s="135">
        <f t="shared" si="20"/>
        <v>124175.86507438379</v>
      </c>
      <c r="N36" s="135">
        <f t="shared" si="20"/>
        <v>136495.53176972564</v>
      </c>
      <c r="O36" s="135">
        <f t="shared" si="20"/>
        <v>125027.91852204008</v>
      </c>
      <c r="P36" s="135">
        <f t="shared" si="20"/>
        <v>125123.22541224463</v>
      </c>
      <c r="Q36" s="135">
        <f t="shared" si="20"/>
        <v>125214.59692091896</v>
      </c>
      <c r="R36" s="135">
        <f t="shared" si="20"/>
        <v>125242.46736795768</v>
      </c>
      <c r="S36" s="135">
        <f t="shared" si="20"/>
        <v>125230.630939959</v>
      </c>
      <c r="T36" s="135">
        <f t="shared" si="20"/>
        <v>125179.13139628094</v>
      </c>
      <c r="U36" s="135">
        <f t="shared" si="20"/>
        <v>125077.3360528214</v>
      </c>
      <c r="V36" s="135">
        <f t="shared" si="20"/>
        <v>124890.25517300745</v>
      </c>
      <c r="W36" s="135">
        <f t="shared" si="20"/>
        <v>124725.21449136442</v>
      </c>
      <c r="X36" s="135">
        <f t="shared" si="20"/>
        <v>124450.39241595115</v>
      </c>
      <c r="Y36" s="135">
        <f t="shared" si="20"/>
        <v>124059.14381191111</v>
      </c>
      <c r="Z36" s="135">
        <f t="shared" si="20"/>
        <v>123553.21687753493</v>
      </c>
      <c r="AA36" s="135">
        <f t="shared" si="20"/>
        <v>122905.7288510325</v>
      </c>
      <c r="AB36" s="135">
        <f t="shared" si="20"/>
        <v>122128.44445430409</v>
      </c>
      <c r="AC36" s="135">
        <f t="shared" si="20"/>
        <v>120850.57013846595</v>
      </c>
      <c r="AD36" s="135">
        <f t="shared" si="20"/>
        <v>119234.20514439061</v>
      </c>
      <c r="AE36" s="135">
        <f t="shared" si="20"/>
        <v>116614.46349938819</v>
      </c>
      <c r="AF36" s="135">
        <f t="shared" si="20"/>
        <v>104760.48267389015</v>
      </c>
    </row>
    <row r="37" spans="2:34" s="135" customFormat="1">
      <c r="C37" s="135">
        <f>C35+C36</f>
        <v>62113.114874029547</v>
      </c>
      <c r="D37" s="135">
        <f t="shared" ref="D37:AF37" si="21">D35+D36</f>
        <v>152483.50450532642</v>
      </c>
      <c r="E37" s="135">
        <f t="shared" si="21"/>
        <v>158515.38476753753</v>
      </c>
      <c r="F37" s="135">
        <f t="shared" si="21"/>
        <v>186731.26711179104</v>
      </c>
      <c r="G37" s="135">
        <f t="shared" si="21"/>
        <v>198608.40278051386</v>
      </c>
      <c r="H37" s="135">
        <f t="shared" si="21"/>
        <v>206200.49471827107</v>
      </c>
      <c r="I37" s="135">
        <f t="shared" si="21"/>
        <v>284824.46160430217</v>
      </c>
      <c r="J37" s="135">
        <f t="shared" si="21"/>
        <v>319731.46148508514</v>
      </c>
      <c r="K37" s="135">
        <f t="shared" si="21"/>
        <v>320154.17097030487</v>
      </c>
      <c r="L37" s="135">
        <f t="shared" si="21"/>
        <v>316159.88370554056</v>
      </c>
      <c r="M37" s="135">
        <f t="shared" si="21"/>
        <v>346439.66268595948</v>
      </c>
      <c r="N37" s="135">
        <f t="shared" si="21"/>
        <v>377238.82942431408</v>
      </c>
      <c r="O37" s="135">
        <f t="shared" si="21"/>
        <v>348569.7963051002</v>
      </c>
      <c r="P37" s="135">
        <f t="shared" si="21"/>
        <v>348808.06353061157</v>
      </c>
      <c r="Q37" s="135">
        <f t="shared" si="21"/>
        <v>349036.49230229738</v>
      </c>
      <c r="R37" s="135">
        <f t="shared" si="21"/>
        <v>349106.16841989418</v>
      </c>
      <c r="S37" s="135">
        <f t="shared" si="21"/>
        <v>349076.57734989747</v>
      </c>
      <c r="T37" s="135">
        <f t="shared" si="21"/>
        <v>348947.82849070232</v>
      </c>
      <c r="U37" s="135">
        <f t="shared" si="21"/>
        <v>348693.34013205348</v>
      </c>
      <c r="V37" s="135">
        <f t="shared" si="21"/>
        <v>348225.63793251861</v>
      </c>
      <c r="W37" s="135">
        <f t="shared" si="21"/>
        <v>347813.03622841102</v>
      </c>
      <c r="X37" s="135">
        <f t="shared" si="21"/>
        <v>347125.98103987786</v>
      </c>
      <c r="Y37" s="135">
        <f t="shared" si="21"/>
        <v>346147.85952977778</v>
      </c>
      <c r="Z37" s="135">
        <f t="shared" si="21"/>
        <v>344883.04219383729</v>
      </c>
      <c r="AA37" s="135">
        <f t="shared" si="21"/>
        <v>343264.32212758122</v>
      </c>
      <c r="AB37" s="135">
        <f t="shared" si="21"/>
        <v>341321.11113576021</v>
      </c>
      <c r="AC37" s="135">
        <f t="shared" si="21"/>
        <v>338126.42534616485</v>
      </c>
      <c r="AD37" s="135">
        <f t="shared" si="21"/>
        <v>334085.51286097651</v>
      </c>
      <c r="AE37" s="135">
        <f t="shared" si="21"/>
        <v>327536.15874847048</v>
      </c>
      <c r="AF37" s="135">
        <f t="shared" si="21"/>
        <v>297901.20668472536</v>
      </c>
    </row>
    <row r="39" spans="2:34">
      <c r="B39" s="41" t="str">
        <f>IF(SUM(C39:AF39)&gt;=1,"CHECK","OK")</f>
        <v>OK</v>
      </c>
      <c r="C39" s="41">
        <f t="shared" ref="C39:AF39" si="22">IF(C29&lt;=240000,1,0)</f>
        <v>0</v>
      </c>
      <c r="D39" s="41">
        <f t="shared" si="22"/>
        <v>0</v>
      </c>
      <c r="E39" s="41">
        <f t="shared" si="22"/>
        <v>0</v>
      </c>
      <c r="F39" s="41">
        <f t="shared" si="22"/>
        <v>0</v>
      </c>
      <c r="G39" s="41">
        <f t="shared" si="22"/>
        <v>0</v>
      </c>
      <c r="H39" s="41">
        <f t="shared" si="22"/>
        <v>0</v>
      </c>
      <c r="I39" s="41">
        <f t="shared" si="22"/>
        <v>0</v>
      </c>
      <c r="J39" s="41">
        <f t="shared" si="22"/>
        <v>0</v>
      </c>
      <c r="K39" s="41">
        <f t="shared" si="22"/>
        <v>0</v>
      </c>
      <c r="L39" s="41">
        <f t="shared" si="22"/>
        <v>0</v>
      </c>
      <c r="M39" s="41">
        <f t="shared" si="22"/>
        <v>0</v>
      </c>
      <c r="N39" s="41">
        <f t="shared" si="22"/>
        <v>0</v>
      </c>
      <c r="O39" s="41">
        <f t="shared" si="22"/>
        <v>0</v>
      </c>
      <c r="P39" s="41">
        <f t="shared" si="22"/>
        <v>0</v>
      </c>
      <c r="Q39" s="41">
        <f t="shared" si="22"/>
        <v>0</v>
      </c>
      <c r="R39" s="41">
        <f t="shared" si="22"/>
        <v>0</v>
      </c>
      <c r="S39" s="41">
        <f t="shared" si="22"/>
        <v>0</v>
      </c>
      <c r="T39" s="41">
        <f t="shared" si="22"/>
        <v>0</v>
      </c>
      <c r="U39" s="41">
        <f t="shared" si="22"/>
        <v>0</v>
      </c>
      <c r="V39" s="41">
        <f t="shared" si="22"/>
        <v>0</v>
      </c>
      <c r="W39" s="41">
        <f t="shared" si="22"/>
        <v>0</v>
      </c>
      <c r="X39" s="41">
        <f t="shared" si="22"/>
        <v>0</v>
      </c>
      <c r="Y39" s="41">
        <f t="shared" si="22"/>
        <v>0</v>
      </c>
      <c r="Z39" s="41">
        <f t="shared" si="22"/>
        <v>0</v>
      </c>
      <c r="AA39" s="41">
        <f t="shared" si="22"/>
        <v>0</v>
      </c>
      <c r="AB39" s="41">
        <f t="shared" si="22"/>
        <v>0</v>
      </c>
      <c r="AC39" s="41">
        <f t="shared" si="22"/>
        <v>0</v>
      </c>
      <c r="AD39" s="41">
        <f t="shared" si="22"/>
        <v>0</v>
      </c>
      <c r="AE39" s="41">
        <f t="shared" si="22"/>
        <v>0</v>
      </c>
      <c r="AF39" s="41">
        <f t="shared" si="22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3">D27</f>
        <v>725356.85352382285</v>
      </c>
      <c r="E45" s="1227">
        <f t="shared" si="23"/>
        <v>761828.63043885329</v>
      </c>
      <c r="F45" s="1227">
        <f t="shared" si="23"/>
        <v>885889.84541072126</v>
      </c>
      <c r="G45" s="1227">
        <f t="shared" si="23"/>
        <v>987003.66554251267</v>
      </c>
      <c r="H45" s="1227">
        <f t="shared" si="23"/>
        <v>1225767.6383017648</v>
      </c>
      <c r="I45" s="1227">
        <f t="shared" si="23"/>
        <v>1571413.730370044</v>
      </c>
      <c r="J45" s="1227">
        <f t="shared" si="23"/>
        <v>1785524.5788743247</v>
      </c>
      <c r="K45" s="1227">
        <f t="shared" si="23"/>
        <v>1841385.4997913546</v>
      </c>
      <c r="L45" s="1227">
        <f t="shared" si="23"/>
        <v>1917035.2992484486</v>
      </c>
      <c r="M45" s="1227">
        <f t="shared" si="23"/>
        <v>2088143.3186981122</v>
      </c>
      <c r="N45" s="1227">
        <f t="shared" si="23"/>
        <v>2350998.1687895129</v>
      </c>
      <c r="O45" s="1227">
        <f t="shared" si="23"/>
        <v>2367044.8255066127</v>
      </c>
      <c r="P45" s="1227">
        <f t="shared" si="23"/>
        <v>2372020.6446293723</v>
      </c>
      <c r="Q45" s="1227">
        <f t="shared" si="23"/>
        <v>2377208.5318256239</v>
      </c>
      <c r="R45" s="1227">
        <f t="shared" si="23"/>
        <v>2382046.3532128204</v>
      </c>
      <c r="S45" s="1227">
        <f t="shared" si="23"/>
        <v>2386435.0427722717</v>
      </c>
      <c r="T45" s="1227">
        <f t="shared" si="23"/>
        <v>2390773.7976241172</v>
      </c>
      <c r="U45" s="1227">
        <f t="shared" si="23"/>
        <v>2395014.0736688664</v>
      </c>
      <c r="V45" s="1227">
        <f t="shared" si="23"/>
        <v>2398879.5152118304</v>
      </c>
      <c r="W45" s="1227">
        <f t="shared" si="23"/>
        <v>2403538.9837706136</v>
      </c>
      <c r="X45" s="1227">
        <f t="shared" si="23"/>
        <v>2408434.5134333852</v>
      </c>
      <c r="Y45" s="1227">
        <f t="shared" si="23"/>
        <v>2411951.8716120017</v>
      </c>
      <c r="Z45" s="1227">
        <f t="shared" si="23"/>
        <v>2415383.8528042594</v>
      </c>
      <c r="AA45" s="1227">
        <f t="shared" si="23"/>
        <v>2418815.4314979245</v>
      </c>
      <c r="AB45" s="1227">
        <f t="shared" si="23"/>
        <v>2422930.338281068</v>
      </c>
      <c r="AC45" s="1227">
        <f t="shared" si="23"/>
        <v>2427350.0335607207</v>
      </c>
      <c r="AD45" s="1227">
        <f t="shared" si="23"/>
        <v>2431270.6348706796</v>
      </c>
      <c r="AE45" s="1227">
        <f t="shared" si="23"/>
        <v>2435606.5952967238</v>
      </c>
      <c r="AF45" s="1227">
        <f t="shared" si="23"/>
        <v>2438798.7887906125</v>
      </c>
      <c r="AG45" s="1229">
        <f>SUM(C45:AF45)</f>
        <v>59768303.516855091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1" si="24">SUM(C46:AF46)</f>
        <v>0</v>
      </c>
    </row>
    <row r="47" spans="2:34" s="205" customFormat="1" ht="21" customHeight="1">
      <c r="B47" s="468" t="s">
        <v>229</v>
      </c>
      <c r="C47" s="1212">
        <f t="shared" ref="C47:AF47" si="25">C48+C53</f>
        <v>-563262.22957299976</v>
      </c>
      <c r="D47" s="1212">
        <f t="shared" si="25"/>
        <v>-561656.73038045038</v>
      </c>
      <c r="E47" s="1212">
        <f t="shared" si="25"/>
        <v>-526558.43434490811</v>
      </c>
      <c r="F47" s="1212">
        <f t="shared" si="25"/>
        <v>-1656331.7371514337</v>
      </c>
      <c r="G47" s="1212">
        <f t="shared" si="25"/>
        <v>-5488637.5529870847</v>
      </c>
      <c r="H47" s="1212">
        <f t="shared" si="25"/>
        <v>-1036678.0613965648</v>
      </c>
      <c r="I47" s="1212">
        <f t="shared" si="25"/>
        <v>-2109106.7943482725</v>
      </c>
      <c r="J47" s="1212">
        <f t="shared" si="25"/>
        <v>-1635216.61309504</v>
      </c>
      <c r="K47" s="1212">
        <f t="shared" si="25"/>
        <v>-2368215.5913587897</v>
      </c>
      <c r="L47" s="1212">
        <f t="shared" si="25"/>
        <v>-1438395.5123992958</v>
      </c>
      <c r="M47" s="1212">
        <f t="shared" si="25"/>
        <v>-3133303.4208745705</v>
      </c>
      <c r="N47" s="1212">
        <f t="shared" si="25"/>
        <v>-2874695.0135082616</v>
      </c>
      <c r="O47" s="1212">
        <f t="shared" si="25"/>
        <v>-551081.6767270728</v>
      </c>
      <c r="P47" s="1212">
        <f t="shared" si="25"/>
        <v>-551405.72015376831</v>
      </c>
      <c r="Q47" s="1212">
        <f t="shared" si="25"/>
        <v>-551716.38328326098</v>
      </c>
      <c r="R47" s="1212">
        <f t="shared" si="25"/>
        <v>-546523.14280319272</v>
      </c>
      <c r="S47" s="1212">
        <f t="shared" si="25"/>
        <v>-546482.89894799714</v>
      </c>
      <c r="T47" s="1212">
        <f t="shared" si="25"/>
        <v>-546307.80049949174</v>
      </c>
      <c r="U47" s="1212">
        <f t="shared" si="25"/>
        <v>-545961.6963317293</v>
      </c>
      <c r="V47" s="1212">
        <f t="shared" si="25"/>
        <v>-545325.62134036189</v>
      </c>
      <c r="W47" s="1212">
        <f t="shared" si="25"/>
        <v>-550459.48302277562</v>
      </c>
      <c r="X47" s="1212">
        <f t="shared" si="25"/>
        <v>-540170.08796637051</v>
      </c>
      <c r="Y47" s="1212">
        <f t="shared" si="25"/>
        <v>-538839.84271263436</v>
      </c>
      <c r="Z47" s="1212">
        <f t="shared" si="25"/>
        <v>-537119.69113575527</v>
      </c>
      <c r="AA47" s="1212">
        <f t="shared" si="25"/>
        <v>-534918.2318456471</v>
      </c>
      <c r="AB47" s="1212">
        <f t="shared" si="25"/>
        <v>-541630.46489677043</v>
      </c>
      <c r="AC47" s="1212">
        <f t="shared" si="25"/>
        <v>-528744.69222292071</v>
      </c>
      <c r="AD47" s="1212">
        <f t="shared" si="25"/>
        <v>-524063.05124306458</v>
      </c>
      <c r="AE47" s="1212">
        <f t="shared" si="25"/>
        <v>-516373.92965005641</v>
      </c>
      <c r="AF47" s="1228">
        <f t="shared" si="25"/>
        <v>-473232.88908795943</v>
      </c>
      <c r="AG47" s="1231">
        <f t="shared" si="24"/>
        <v>-33062414.995288499</v>
      </c>
    </row>
    <row r="48" spans="2:34" s="206" customFormat="1" ht="21" customHeight="1">
      <c r="B48" s="468" t="s">
        <v>230</v>
      </c>
      <c r="C48" s="1212">
        <f t="shared" ref="C48:AF48" si="26">SUM(C49:C52)</f>
        <v>-563262.22957299976</v>
      </c>
      <c r="D48" s="1212">
        <f t="shared" si="26"/>
        <v>-345639.16425320646</v>
      </c>
      <c r="E48" s="1212">
        <f t="shared" si="26"/>
        <v>-302337.51106105704</v>
      </c>
      <c r="F48" s="1212">
        <f t="shared" si="26"/>
        <v>-1393737.2138793978</v>
      </c>
      <c r="G48" s="1211">
        <f t="shared" si="26"/>
        <v>-5209890.1252055857</v>
      </c>
      <c r="H48" s="1211">
        <f t="shared" si="26"/>
        <v>-747605.38857971609</v>
      </c>
      <c r="I48" s="1211">
        <f t="shared" si="26"/>
        <v>-1713105.5265664214</v>
      </c>
      <c r="J48" s="1211">
        <f t="shared" si="26"/>
        <v>-1191741.8254753242</v>
      </c>
      <c r="K48" s="1211">
        <f t="shared" si="26"/>
        <v>-1924165.9188391753</v>
      </c>
      <c r="L48" s="1211">
        <f t="shared" si="26"/>
        <v>-999778.07055976056</v>
      </c>
      <c r="M48" s="1211">
        <f t="shared" si="26"/>
        <v>-2653505.4796216656</v>
      </c>
      <c r="N48" s="1211">
        <f t="shared" si="26"/>
        <v>-2353010.2054911945</v>
      </c>
      <c r="O48" s="1211">
        <f t="shared" si="26"/>
        <v>-68386.753752136574</v>
      </c>
      <c r="P48" s="1211">
        <f t="shared" si="26"/>
        <v>-68386.753752136574</v>
      </c>
      <c r="Q48" s="1211">
        <f t="shared" si="26"/>
        <v>-68386.753752136574</v>
      </c>
      <c r="R48" s="1211">
        <f t="shared" si="26"/>
        <v>-63098.753752136574</v>
      </c>
      <c r="S48" s="1211">
        <f t="shared" si="26"/>
        <v>-63098.753752136574</v>
      </c>
      <c r="T48" s="1211">
        <f t="shared" si="26"/>
        <v>-63098.753752136574</v>
      </c>
      <c r="U48" s="1211">
        <f t="shared" si="26"/>
        <v>-63098.753752136574</v>
      </c>
      <c r="V48" s="1211">
        <f t="shared" si="26"/>
        <v>-63098.753752136574</v>
      </c>
      <c r="W48" s="1211">
        <f t="shared" si="26"/>
        <v>-68793.753752136574</v>
      </c>
      <c r="X48" s="1211">
        <f t="shared" si="26"/>
        <v>-59438.753752136574</v>
      </c>
      <c r="Y48" s="1211">
        <f t="shared" si="26"/>
        <v>-59438.753752136574</v>
      </c>
      <c r="Z48" s="1211">
        <f t="shared" si="26"/>
        <v>-59438.753752136574</v>
      </c>
      <c r="AA48" s="1211">
        <f t="shared" si="26"/>
        <v>-59438.753752136574</v>
      </c>
      <c r="AB48" s="1211">
        <f t="shared" si="26"/>
        <v>-68793.753752136574</v>
      </c>
      <c r="AC48" s="1211">
        <f t="shared" si="26"/>
        <v>-60252.753752136574</v>
      </c>
      <c r="AD48" s="1211">
        <f t="shared" si="26"/>
        <v>-61066.753752136574</v>
      </c>
      <c r="AE48" s="1211">
        <f t="shared" si="26"/>
        <v>-62284.753752136574</v>
      </c>
      <c r="AF48" s="1211">
        <f t="shared" si="26"/>
        <v>-59447.247996732927</v>
      </c>
      <c r="AG48" s="1231">
        <f t="shared" si="24"/>
        <v>-20536826.720888525</v>
      </c>
      <c r="AH48" s="207"/>
    </row>
    <row r="49" spans="2:34" s="206" customFormat="1" ht="21" customHeight="1">
      <c r="B49" s="1258" t="s">
        <v>231</v>
      </c>
      <c r="C49" s="1214">
        <f t="array" ref="C49:AF49">-TRANSPOSE('18 R1 Invest Total'!C4:C33)</f>
        <v>-408428.3754822117</v>
      </c>
      <c r="D49" s="1214">
        <v>-329783.01199834509</v>
      </c>
      <c r="E49" s="1214">
        <v>-226602.31678867349</v>
      </c>
      <c r="F49" s="1214">
        <v>-1359859.3479073208</v>
      </c>
      <c r="G49" s="1214">
        <v>-423362.0777800596</v>
      </c>
      <c r="H49" s="1214">
        <v>-99278.617780059591</v>
      </c>
      <c r="I49" s="1214">
        <v>-14581.887780059598</v>
      </c>
      <c r="J49" s="1214">
        <v>-14581.887780059598</v>
      </c>
      <c r="K49" s="1214">
        <v>-14581.887780059598</v>
      </c>
      <c r="L49" s="1214">
        <v>-15189.887780059598</v>
      </c>
      <c r="M49" s="1214">
        <v>-14785.887780059598</v>
      </c>
      <c r="N49" s="1214">
        <v>-14275.887780059598</v>
      </c>
      <c r="O49" s="1214">
        <v>-14275.887780059598</v>
      </c>
      <c r="P49" s="1214">
        <v>-14275.887780059598</v>
      </c>
      <c r="Q49" s="1214">
        <v>-14275.887780059598</v>
      </c>
      <c r="R49" s="1214">
        <v>-12851.887780059598</v>
      </c>
      <c r="S49" s="1214">
        <v>-12851.887780059598</v>
      </c>
      <c r="T49" s="1214">
        <v>-12851.887780059598</v>
      </c>
      <c r="U49" s="1214">
        <v>-12851.887780059598</v>
      </c>
      <c r="V49" s="1214">
        <v>-12851.887780059598</v>
      </c>
      <c r="W49" s="1214">
        <v>-14377.887780059598</v>
      </c>
      <c r="X49" s="1214">
        <v>-11835.887780059598</v>
      </c>
      <c r="Y49" s="1214">
        <v>-11835.887780059598</v>
      </c>
      <c r="Z49" s="1214">
        <v>-11835.887780059598</v>
      </c>
      <c r="AA49" s="1214">
        <v>-11835.887780059598</v>
      </c>
      <c r="AB49" s="1214">
        <v>-14377.887780059598</v>
      </c>
      <c r="AC49" s="1214">
        <v>-12039.887780059598</v>
      </c>
      <c r="AD49" s="1214">
        <v>-12243.887780059598</v>
      </c>
      <c r="AE49" s="1214">
        <v>-12647.887780059598</v>
      </c>
      <c r="AF49" s="1230">
        <v>-9773.2620246559418</v>
      </c>
      <c r="AG49" s="1231">
        <f t="shared" si="24"/>
        <v>-3165202.4287026967</v>
      </c>
    </row>
    <row r="50" spans="2:34" s="206" customFormat="1" ht="21" customHeight="1">
      <c r="B50" s="1259" t="s">
        <v>789</v>
      </c>
      <c r="C50" s="1214"/>
      <c r="D50" s="1214"/>
      <c r="E50" s="1214"/>
      <c r="F50" s="1214"/>
      <c r="G50" s="1222">
        <f>-'E4 CLORO'!B37</f>
        <v>0</v>
      </c>
      <c r="H50" s="1222">
        <f>-'E4 CLORO'!C37</f>
        <v>-19707.057260463262</v>
      </c>
      <c r="I50" s="1222">
        <f>-'E4 CLORO'!D37</f>
        <v>0</v>
      </c>
      <c r="J50" s="1222">
        <f>-'E4 CLORO'!E37</f>
        <v>0</v>
      </c>
      <c r="K50" s="1222">
        <f>-'E4 CLORO'!F37</f>
        <v>0</v>
      </c>
      <c r="L50" s="1222">
        <f>-'E4 CLORO'!G37</f>
        <v>0</v>
      </c>
      <c r="M50" s="1222">
        <f>-'E4 CLORO'!H37</f>
        <v>0</v>
      </c>
      <c r="N50" s="1222">
        <f>-'E4 CLORO'!I37</f>
        <v>0</v>
      </c>
      <c r="O50" s="1222">
        <f>-'E4 CLORO'!J37</f>
        <v>0</v>
      </c>
      <c r="P50" s="1222">
        <f>-'E4 CLORO'!K37</f>
        <v>0</v>
      </c>
      <c r="Q50" s="1222">
        <f>-'E4 CLORO'!L37</f>
        <v>0</v>
      </c>
      <c r="R50" s="1222">
        <f>-'E4 CLORO'!M37</f>
        <v>0</v>
      </c>
      <c r="S50" s="1222">
        <f>-'E4 CLORO'!N37</f>
        <v>0</v>
      </c>
      <c r="T50" s="1222">
        <f>-'E4 CLORO'!O37</f>
        <v>0</v>
      </c>
      <c r="U50" s="1222">
        <f>-'E4 CLORO'!P37</f>
        <v>0</v>
      </c>
      <c r="V50" s="1222">
        <f>-'E4 CLORO'!Q37</f>
        <v>0</v>
      </c>
      <c r="W50" s="1222">
        <f>-'E4 CLORO'!R37</f>
        <v>0</v>
      </c>
      <c r="X50" s="1222">
        <f>-'E4 CLORO'!S37</f>
        <v>0</v>
      </c>
      <c r="Y50" s="1222">
        <f>-'E4 CLORO'!T37</f>
        <v>0</v>
      </c>
      <c r="Z50" s="1222">
        <f>-'E4 CLORO'!U37</f>
        <v>0</v>
      </c>
      <c r="AA50" s="1222">
        <f>-'E4 CLORO'!V37</f>
        <v>0</v>
      </c>
      <c r="AB50" s="1222">
        <f>-'E4 CLORO'!W37</f>
        <v>0</v>
      </c>
      <c r="AC50" s="1222">
        <f>-'E4 CLORO'!X37</f>
        <v>0</v>
      </c>
      <c r="AD50" s="1222">
        <f>-'E4 CLORO'!Y37</f>
        <v>0</v>
      </c>
      <c r="AE50" s="1222">
        <f>-'E4 CLORO'!Z37</f>
        <v>0</v>
      </c>
      <c r="AF50" s="1222">
        <f>-'E4 CLORO'!AA37</f>
        <v>0</v>
      </c>
      <c r="AG50" s="1231">
        <f t="shared" si="24"/>
        <v>-19707.057260463262</v>
      </c>
    </row>
    <row r="51" spans="2:34" s="206" customFormat="1" ht="21" customHeight="1">
      <c r="B51" s="470" t="s">
        <v>232</v>
      </c>
      <c r="C51" s="1214">
        <f t="array" ref="C51:AF51">-TRANSPOSE('18 R1 Invest Total'!D4:D33)</f>
        <v>-37879.125589369905</v>
      </c>
      <c r="D51" s="1214">
        <v>-571.94869673148537</v>
      </c>
      <c r="E51" s="1214">
        <v>-9420.8028316306008</v>
      </c>
      <c r="F51" s="1214">
        <v>-816</v>
      </c>
      <c r="G51" s="1214">
        <v>-4753466.1814534497</v>
      </c>
      <c r="H51" s="1214">
        <v>-595557.84756711626</v>
      </c>
      <c r="I51" s="1214">
        <v>-1665461.7728142848</v>
      </c>
      <c r="J51" s="1214">
        <v>-1144098.0717231876</v>
      </c>
      <c r="K51" s="1214">
        <v>-1876522.1650870387</v>
      </c>
      <c r="L51" s="1214">
        <v>-951526.31680762395</v>
      </c>
      <c r="M51" s="1214">
        <v>-2605657.7258695289</v>
      </c>
      <c r="N51" s="1214">
        <v>-2305672.4517390579</v>
      </c>
      <c r="O51" s="1214">
        <v>-21049</v>
      </c>
      <c r="P51" s="1214">
        <v>-21049</v>
      </c>
      <c r="Q51" s="1214">
        <v>-21049</v>
      </c>
      <c r="R51" s="1214">
        <v>-17185</v>
      </c>
      <c r="S51" s="1214">
        <v>-17185</v>
      </c>
      <c r="T51" s="1214">
        <v>-17185</v>
      </c>
      <c r="U51" s="1214">
        <v>-17185</v>
      </c>
      <c r="V51" s="1214">
        <v>-17185</v>
      </c>
      <c r="W51" s="1214">
        <v>-21354</v>
      </c>
      <c r="X51" s="1214">
        <v>-14541</v>
      </c>
      <c r="Y51" s="1214">
        <v>-14541</v>
      </c>
      <c r="Z51" s="1214">
        <v>-14541</v>
      </c>
      <c r="AA51" s="1214">
        <v>-14541</v>
      </c>
      <c r="AB51" s="1214">
        <v>-21354</v>
      </c>
      <c r="AC51" s="1214">
        <v>-15151</v>
      </c>
      <c r="AD51" s="1214">
        <v>-15761</v>
      </c>
      <c r="AE51" s="1214">
        <v>-16575</v>
      </c>
      <c r="AF51" s="1230">
        <v>-16612.120000000003</v>
      </c>
      <c r="AG51" s="1231">
        <f t="shared" si="24"/>
        <v>-16260693.530179018</v>
      </c>
    </row>
    <row r="52" spans="2:34" s="206" customFormat="1" ht="21" customHeight="1">
      <c r="B52" s="470" t="s">
        <v>233</v>
      </c>
      <c r="C52" s="1214">
        <f t="array" ref="C52:AF52">-TRANSPOSE('18 R1 Invest Total'!E4:E33)</f>
        <v>-116954.72850141811</v>
      </c>
      <c r="D52" s="1214">
        <v>-15284.203558129915</v>
      </c>
      <c r="E52" s="1214">
        <v>-66314.391440752952</v>
      </c>
      <c r="F52" s="1214">
        <v>-33061.865972076979</v>
      </c>
      <c r="G52" s="1214">
        <v>-33061.865972076979</v>
      </c>
      <c r="H52" s="1214">
        <v>-33061.865972076979</v>
      </c>
      <c r="I52" s="1214">
        <v>-33061.865972076979</v>
      </c>
      <c r="J52" s="1214">
        <v>-33061.865972076979</v>
      </c>
      <c r="K52" s="1214">
        <v>-33061.865972076979</v>
      </c>
      <c r="L52" s="1214">
        <v>-33061.865972076979</v>
      </c>
      <c r="M52" s="1214">
        <v>-33061.865972076979</v>
      </c>
      <c r="N52" s="1214">
        <v>-33061.865972076979</v>
      </c>
      <c r="O52" s="1214">
        <v>-33061.865972076979</v>
      </c>
      <c r="P52" s="1214">
        <v>-33061.865972076979</v>
      </c>
      <c r="Q52" s="1214">
        <v>-33061.865972076979</v>
      </c>
      <c r="R52" s="1214">
        <v>-33061.865972076979</v>
      </c>
      <c r="S52" s="1214">
        <v>-33061.865972076979</v>
      </c>
      <c r="T52" s="1214">
        <v>-33061.865972076979</v>
      </c>
      <c r="U52" s="1214">
        <v>-33061.865972076979</v>
      </c>
      <c r="V52" s="1214">
        <v>-33061.865972076979</v>
      </c>
      <c r="W52" s="1214">
        <v>-33061.865972076979</v>
      </c>
      <c r="X52" s="1214">
        <v>-33061.865972076979</v>
      </c>
      <c r="Y52" s="1214">
        <v>-33061.865972076979</v>
      </c>
      <c r="Z52" s="1214">
        <v>-33061.865972076979</v>
      </c>
      <c r="AA52" s="1214">
        <v>-33061.865972076979</v>
      </c>
      <c r="AB52" s="1214">
        <v>-33061.865972076979</v>
      </c>
      <c r="AC52" s="1214">
        <v>-33061.865972076979</v>
      </c>
      <c r="AD52" s="1214">
        <v>-33061.865972076979</v>
      </c>
      <c r="AE52" s="1214">
        <v>-33061.865972076979</v>
      </c>
      <c r="AF52" s="1230">
        <v>-33061.865972076979</v>
      </c>
      <c r="AG52" s="1231">
        <f t="shared" ref="AG52:AG56" si="27">SUM(C52:AF52)</f>
        <v>-1091223.70474638</v>
      </c>
    </row>
    <row r="53" spans="2:34" s="206" customFormat="1" ht="21" customHeight="1">
      <c r="B53" s="468" t="s">
        <v>234</v>
      </c>
      <c r="C53" s="1212">
        <f>C54+C55</f>
        <v>0</v>
      </c>
      <c r="D53" s="1212">
        <f t="shared" ref="D53:AF53" si="28">D54+D55</f>
        <v>-216017.56612724392</v>
      </c>
      <c r="E53" s="1212">
        <f t="shared" si="28"/>
        <v>-224220.92328385104</v>
      </c>
      <c r="F53" s="1212">
        <f t="shared" si="28"/>
        <v>-262594.52327203582</v>
      </c>
      <c r="G53" s="1212">
        <f t="shared" si="28"/>
        <v>-278747.42778149887</v>
      </c>
      <c r="H53" s="1212">
        <f t="shared" si="28"/>
        <v>-289072.67281684867</v>
      </c>
      <c r="I53" s="1212">
        <f t="shared" si="28"/>
        <v>-396001.26778185094</v>
      </c>
      <c r="J53" s="1212">
        <f t="shared" si="28"/>
        <v>-443474.78761971579</v>
      </c>
      <c r="K53" s="1212">
        <f t="shared" si="28"/>
        <v>-444049.67251961463</v>
      </c>
      <c r="L53" s="1212">
        <f t="shared" si="28"/>
        <v>-438617.44183953514</v>
      </c>
      <c r="M53" s="1212">
        <f t="shared" si="28"/>
        <v>-479797.94125290489</v>
      </c>
      <c r="N53" s="1212">
        <f t="shared" si="28"/>
        <v>-521684.80801706715</v>
      </c>
      <c r="O53" s="1212">
        <f t="shared" si="28"/>
        <v>-482694.92297493626</v>
      </c>
      <c r="P53" s="1212">
        <f t="shared" si="28"/>
        <v>-483018.96640163171</v>
      </c>
      <c r="Q53" s="1212">
        <f t="shared" si="28"/>
        <v>-483329.62953112443</v>
      </c>
      <c r="R53" s="1212">
        <f t="shared" si="28"/>
        <v>-483424.38905105612</v>
      </c>
      <c r="S53" s="1212">
        <f t="shared" si="28"/>
        <v>-483384.14519586053</v>
      </c>
      <c r="T53" s="1212">
        <f t="shared" si="28"/>
        <v>-483209.04674735514</v>
      </c>
      <c r="U53" s="1212">
        <f t="shared" si="28"/>
        <v>-482862.94257959269</v>
      </c>
      <c r="V53" s="1212">
        <f t="shared" si="28"/>
        <v>-482226.86758822529</v>
      </c>
      <c r="W53" s="1212">
        <f t="shared" si="28"/>
        <v>-481665.72927063901</v>
      </c>
      <c r="X53" s="1212">
        <f t="shared" si="28"/>
        <v>-480731.33421423391</v>
      </c>
      <c r="Y53" s="1212">
        <f t="shared" si="28"/>
        <v>-479401.08896049776</v>
      </c>
      <c r="Z53" s="1212">
        <f t="shared" si="28"/>
        <v>-477680.93738361867</v>
      </c>
      <c r="AA53" s="1212">
        <f t="shared" si="28"/>
        <v>-475479.47809351049</v>
      </c>
      <c r="AB53" s="1212">
        <f t="shared" si="28"/>
        <v>-472836.71114463388</v>
      </c>
      <c r="AC53" s="1212">
        <f t="shared" si="28"/>
        <v>-468491.93847078417</v>
      </c>
      <c r="AD53" s="1212">
        <f t="shared" si="28"/>
        <v>-462996.29749092803</v>
      </c>
      <c r="AE53" s="1212">
        <f t="shared" si="28"/>
        <v>-454089.17589791986</v>
      </c>
      <c r="AF53" s="1228">
        <f t="shared" si="28"/>
        <v>-413785.64109122648</v>
      </c>
      <c r="AG53" s="1231">
        <f t="shared" si="27"/>
        <v>-12525588.274399944</v>
      </c>
    </row>
    <row r="54" spans="2:34" s="206" customFormat="1" ht="21" customHeight="1">
      <c r="B54" s="469" t="s">
        <v>235</v>
      </c>
      <c r="C54" s="1214">
        <f>C31</f>
        <v>0</v>
      </c>
      <c r="D54" s="1214">
        <f t="shared" ref="D54:AF55" si="29">D31</f>
        <v>-152483.50450532642</v>
      </c>
      <c r="E54" s="1214">
        <f t="shared" si="29"/>
        <v>-158515.38476753753</v>
      </c>
      <c r="F54" s="1214">
        <f t="shared" si="29"/>
        <v>-186731.26711179104</v>
      </c>
      <c r="G54" s="1214">
        <f t="shared" si="29"/>
        <v>-198608.40278051386</v>
      </c>
      <c r="H54" s="1214">
        <f t="shared" si="29"/>
        <v>-206200.49471827107</v>
      </c>
      <c r="I54" s="1214">
        <f t="shared" si="29"/>
        <v>-284824.46160430217</v>
      </c>
      <c r="J54" s="1214">
        <f t="shared" si="29"/>
        <v>-319731.46148508514</v>
      </c>
      <c r="K54" s="1214">
        <f t="shared" si="29"/>
        <v>-320154.17097030487</v>
      </c>
      <c r="L54" s="1214">
        <f t="shared" si="29"/>
        <v>-316159.88370554056</v>
      </c>
      <c r="M54" s="1214">
        <f t="shared" si="29"/>
        <v>-346439.66268595948</v>
      </c>
      <c r="N54" s="1214">
        <f t="shared" si="29"/>
        <v>-377238.82942431408</v>
      </c>
      <c r="O54" s="1214">
        <f t="shared" si="29"/>
        <v>-348569.7963051002</v>
      </c>
      <c r="P54" s="1214">
        <f t="shared" si="29"/>
        <v>-348808.06353061157</v>
      </c>
      <c r="Q54" s="1214">
        <f t="shared" si="29"/>
        <v>-349036.49230229738</v>
      </c>
      <c r="R54" s="1214">
        <f t="shared" si="29"/>
        <v>-349106.16841989418</v>
      </c>
      <c r="S54" s="1214">
        <f t="shared" si="29"/>
        <v>-349076.57734989747</v>
      </c>
      <c r="T54" s="1214">
        <f t="shared" si="29"/>
        <v>-348947.82849070232</v>
      </c>
      <c r="U54" s="1214">
        <f t="shared" si="29"/>
        <v>-348693.34013205348</v>
      </c>
      <c r="V54" s="1214">
        <f t="shared" si="29"/>
        <v>-348225.63793251861</v>
      </c>
      <c r="W54" s="1214">
        <f t="shared" si="29"/>
        <v>-347813.03622841102</v>
      </c>
      <c r="X54" s="1214">
        <f t="shared" si="29"/>
        <v>-347125.98103987786</v>
      </c>
      <c r="Y54" s="1214">
        <f t="shared" si="29"/>
        <v>-346147.85952977778</v>
      </c>
      <c r="Z54" s="1214">
        <f t="shared" si="29"/>
        <v>-344883.04219383729</v>
      </c>
      <c r="AA54" s="1214">
        <f t="shared" si="29"/>
        <v>-343264.32212758122</v>
      </c>
      <c r="AB54" s="1214">
        <f t="shared" si="29"/>
        <v>-341321.11113576021</v>
      </c>
      <c r="AC54" s="1214">
        <f t="shared" si="29"/>
        <v>-338126.42534616485</v>
      </c>
      <c r="AD54" s="1214">
        <f t="shared" si="29"/>
        <v>-334085.51286097651</v>
      </c>
      <c r="AE54" s="1214">
        <f t="shared" si="29"/>
        <v>-327536.15874847048</v>
      </c>
      <c r="AF54" s="1214">
        <f t="shared" si="29"/>
        <v>-297901.20668472536</v>
      </c>
      <c r="AG54" s="1231">
        <f t="shared" si="27"/>
        <v>-9025756.0841176044</v>
      </c>
    </row>
    <row r="55" spans="2:34" s="206" customFormat="1" ht="21" customHeight="1" thickBot="1">
      <c r="B55" s="476" t="s">
        <v>236</v>
      </c>
      <c r="C55" s="1214">
        <f>C32</f>
        <v>0</v>
      </c>
      <c r="D55" s="1214">
        <f t="shared" si="29"/>
        <v>-63534.061621917506</v>
      </c>
      <c r="E55" s="1214">
        <f t="shared" si="29"/>
        <v>-65705.538516313507</v>
      </c>
      <c r="F55" s="1214">
        <f t="shared" si="29"/>
        <v>-75863.256160244768</v>
      </c>
      <c r="G55" s="1214">
        <f t="shared" si="29"/>
        <v>-80139.025000984999</v>
      </c>
      <c r="H55" s="1214">
        <f t="shared" si="29"/>
        <v>-82872.178098577584</v>
      </c>
      <c r="I55" s="1214">
        <f t="shared" si="29"/>
        <v>-111176.80617754877</v>
      </c>
      <c r="J55" s="1214">
        <f t="shared" si="29"/>
        <v>-123743.32613463064</v>
      </c>
      <c r="K55" s="1214">
        <f t="shared" si="29"/>
        <v>-123895.50154930975</v>
      </c>
      <c r="L55" s="1214">
        <f t="shared" si="29"/>
        <v>-122457.55813399459</v>
      </c>
      <c r="M55" s="1214">
        <f t="shared" si="29"/>
        <v>-133358.2785669454</v>
      </c>
      <c r="N55" s="1214">
        <f t="shared" si="29"/>
        <v>-144445.97859275306</v>
      </c>
      <c r="O55" s="1214">
        <f t="shared" si="29"/>
        <v>-134125.12666983606</v>
      </c>
      <c r="P55" s="1214">
        <f t="shared" si="29"/>
        <v>-134210.90287102017</v>
      </c>
      <c r="Q55" s="1214">
        <f t="shared" si="29"/>
        <v>-134293.13722882705</v>
      </c>
      <c r="R55" s="1214">
        <f t="shared" si="29"/>
        <v>-134318.22063116191</v>
      </c>
      <c r="S55" s="1214">
        <f t="shared" si="29"/>
        <v>-134307.56784596309</v>
      </c>
      <c r="T55" s="1214">
        <f t="shared" si="29"/>
        <v>-134261.21825665282</v>
      </c>
      <c r="U55" s="1214">
        <f t="shared" si="29"/>
        <v>-134169.60244753925</v>
      </c>
      <c r="V55" s="1214">
        <f t="shared" si="29"/>
        <v>-134001.2296557067</v>
      </c>
      <c r="W55" s="1214">
        <f t="shared" si="29"/>
        <v>-133852.69304222797</v>
      </c>
      <c r="X55" s="1214">
        <f t="shared" si="29"/>
        <v>-133605.35317435602</v>
      </c>
      <c r="Y55" s="1214">
        <f t="shared" si="29"/>
        <v>-133253.22943072001</v>
      </c>
      <c r="Z55" s="1214">
        <f t="shared" si="29"/>
        <v>-132797.89518978141</v>
      </c>
      <c r="AA55" s="1214">
        <f t="shared" si="29"/>
        <v>-132215.15596592924</v>
      </c>
      <c r="AB55" s="1214">
        <f t="shared" si="29"/>
        <v>-131515.60000887368</v>
      </c>
      <c r="AC55" s="1214">
        <f t="shared" si="29"/>
        <v>-130365.51312461933</v>
      </c>
      <c r="AD55" s="1214">
        <f t="shared" si="29"/>
        <v>-128910.78462995154</v>
      </c>
      <c r="AE55" s="1214">
        <f t="shared" si="29"/>
        <v>-126553.01714944937</v>
      </c>
      <c r="AF55" s="1214">
        <f t="shared" si="29"/>
        <v>-115884.43440650112</v>
      </c>
      <c r="AG55" s="1232">
        <f t="shared" si="27"/>
        <v>-3499832.1902823374</v>
      </c>
    </row>
    <row r="56" spans="2:34" s="206" customFormat="1" ht="21" customHeight="1" thickBot="1">
      <c r="B56" s="472" t="s">
        <v>237</v>
      </c>
      <c r="C56" s="1233">
        <f>C45+C47</f>
        <v>-218809.77007688157</v>
      </c>
      <c r="D56" s="1233">
        <f t="shared" ref="D56:AF56" si="30">D45+D47</f>
        <v>163700.12314337248</v>
      </c>
      <c r="E56" s="1233">
        <f t="shared" si="30"/>
        <v>235270.19609394518</v>
      </c>
      <c r="F56" s="1233">
        <f t="shared" si="30"/>
        <v>-770441.89174071245</v>
      </c>
      <c r="G56" s="1233">
        <f t="shared" si="30"/>
        <v>-4501633.8874445725</v>
      </c>
      <c r="H56" s="1233">
        <f t="shared" si="30"/>
        <v>189089.57690520003</v>
      </c>
      <c r="I56" s="1233">
        <f t="shared" si="30"/>
        <v>-537693.06397822849</v>
      </c>
      <c r="J56" s="1233">
        <f t="shared" si="30"/>
        <v>150307.96577928471</v>
      </c>
      <c r="K56" s="1233">
        <f t="shared" si="30"/>
        <v>-526830.09156743507</v>
      </c>
      <c r="L56" s="1233">
        <f t="shared" si="30"/>
        <v>478639.78684915276</v>
      </c>
      <c r="M56" s="1233">
        <f t="shared" si="30"/>
        <v>-1045160.1021764583</v>
      </c>
      <c r="N56" s="1233">
        <f t="shared" si="30"/>
        <v>-523696.8447187487</v>
      </c>
      <c r="O56" s="1233">
        <f t="shared" si="30"/>
        <v>1815963.1487795399</v>
      </c>
      <c r="P56" s="1233">
        <f t="shared" si="30"/>
        <v>1820614.924475604</v>
      </c>
      <c r="Q56" s="1233">
        <f t="shared" si="30"/>
        <v>1825492.148542363</v>
      </c>
      <c r="R56" s="1233">
        <f t="shared" si="30"/>
        <v>1835523.2104096278</v>
      </c>
      <c r="S56" s="1233">
        <f t="shared" si="30"/>
        <v>1839952.1438242747</v>
      </c>
      <c r="T56" s="1233">
        <f t="shared" si="30"/>
        <v>1844465.9971246254</v>
      </c>
      <c r="U56" s="1233">
        <f t="shared" si="30"/>
        <v>1849052.3773371372</v>
      </c>
      <c r="V56" s="1233">
        <f t="shared" si="30"/>
        <v>1853553.8938714685</v>
      </c>
      <c r="W56" s="1233">
        <f t="shared" si="30"/>
        <v>1853079.5007478381</v>
      </c>
      <c r="X56" s="1233">
        <f t="shared" si="30"/>
        <v>1868264.4254670148</v>
      </c>
      <c r="Y56" s="1233">
        <f t="shared" si="30"/>
        <v>1873112.0288993674</v>
      </c>
      <c r="Z56" s="1233">
        <f t="shared" si="30"/>
        <v>1878264.1616685041</v>
      </c>
      <c r="AA56" s="1233">
        <f t="shared" si="30"/>
        <v>1883897.1996522774</v>
      </c>
      <c r="AB56" s="1233">
        <f t="shared" si="30"/>
        <v>1881299.8733842976</v>
      </c>
      <c r="AC56" s="1233">
        <f t="shared" si="30"/>
        <v>1898605.3413378</v>
      </c>
      <c r="AD56" s="1233">
        <f t="shared" si="30"/>
        <v>1907207.5836276151</v>
      </c>
      <c r="AE56" s="1233">
        <f t="shared" si="30"/>
        <v>1919232.6656466674</v>
      </c>
      <c r="AF56" s="1234">
        <f t="shared" si="30"/>
        <v>1965565.8997026531</v>
      </c>
      <c r="AG56" s="1235">
        <f t="shared" si="27"/>
        <v>26705888.521566596</v>
      </c>
      <c r="AH56" s="207"/>
    </row>
    <row r="57" spans="2:34" s="206" customFormat="1" ht="21" customHeight="1" thickBot="1">
      <c r="B57" s="472" t="s">
        <v>238</v>
      </c>
      <c r="C57" s="886">
        <f>IRR(C56:AF56)</f>
        <v>0.11854545654127868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36"/>
    </row>
    <row r="58" spans="2:34" ht="15" thickBot="1"/>
    <row r="59" spans="2:34" ht="15.75" thickBot="1">
      <c r="B59" s="472" t="s">
        <v>714</v>
      </c>
      <c r="C59" s="886">
        <v>0.1203</v>
      </c>
    </row>
    <row r="60" spans="2:34" ht="15" thickBot="1"/>
    <row r="61" spans="2:34" ht="15.75" thickBot="1">
      <c r="B61" s="472" t="s">
        <v>659</v>
      </c>
      <c r="C61" s="886">
        <f>C57-C59</f>
        <v>-1.7545434587213221E-3</v>
      </c>
    </row>
    <row r="64" spans="2:34">
      <c r="AF64" s="41">
        <v>567.50879541981226</v>
      </c>
    </row>
    <row r="67" spans="32:32">
      <c r="AF67" s="41">
        <f>AF64*35%</f>
        <v>198.62807839693428</v>
      </c>
    </row>
  </sheetData>
  <mergeCells count="1">
    <mergeCell ref="AC42:AG42"/>
  </mergeCells>
  <conditionalFormatting sqref="B39">
    <cfRule type="cellIs" dxfId="24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420A-8B27-4F91-93DC-324B4D7273C4}">
  <sheetPr>
    <tabColor theme="6"/>
  </sheetPr>
  <dimension ref="A2:AJ67"/>
  <sheetViews>
    <sheetView showGridLines="0" zoomScale="70" zoomScaleNormal="70" workbookViewId="0"/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766</v>
      </c>
      <c r="D2" s="1238" t="s">
        <v>713</v>
      </c>
    </row>
    <row r="3" spans="1:33" ht="23.25">
      <c r="B3" s="1236" t="s">
        <v>767</v>
      </c>
      <c r="D3" s="1239">
        <v>8.6999999999999994E-3</v>
      </c>
      <c r="F3" s="1237"/>
    </row>
    <row r="5" spans="1:33">
      <c r="D5" s="1237">
        <f>C57</f>
        <v>0.12034035902966589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46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2">
        <f t="shared" si="0"/>
        <v>4109141.1446816493</v>
      </c>
      <c r="L9" s="1212">
        <f t="shared" si="0"/>
        <v>4204797.1492430577</v>
      </c>
      <c r="M9" s="1212">
        <f t="shared" si="0"/>
        <v>4402975.332984251</v>
      </c>
      <c r="N9" s="1212">
        <f t="shared" si="0"/>
        <v>4703669.1740226401</v>
      </c>
      <c r="O9" s="1212">
        <f t="shared" si="0"/>
        <v>4706132.8854510356</v>
      </c>
      <c r="P9" s="1212">
        <f t="shared" si="0"/>
        <v>4712897.8105379315</v>
      </c>
      <c r="Q9" s="1212">
        <f t="shared" si="0"/>
        <v>4719662.7356248293</v>
      </c>
      <c r="R9" s="1212">
        <f t="shared" si="0"/>
        <v>4725863.9169544829</v>
      </c>
      <c r="S9" s="1212">
        <f t="shared" si="0"/>
        <v>4731501.3545268979</v>
      </c>
      <c r="T9" s="1212">
        <f t="shared" si="0"/>
        <v>4737138.792099311</v>
      </c>
      <c r="U9" s="1212">
        <f t="shared" si="0"/>
        <v>4742776.2296717241</v>
      </c>
      <c r="V9" s="1212">
        <f t="shared" si="0"/>
        <v>4747849.9234868977</v>
      </c>
      <c r="W9" s="1212">
        <f t="shared" si="0"/>
        <v>4754051.1048165541</v>
      </c>
      <c r="X9" s="1212">
        <f t="shared" si="0"/>
        <v>4760252.2861462086</v>
      </c>
      <c r="Y9" s="1212">
        <f t="shared" si="0"/>
        <v>4764762.236204139</v>
      </c>
      <c r="Z9" s="1212">
        <f t="shared" si="0"/>
        <v>4769272.1862620702</v>
      </c>
      <c r="AA9" s="1212">
        <f t="shared" si="0"/>
        <v>4773782.1363200005</v>
      </c>
      <c r="AB9" s="1212">
        <f t="shared" si="0"/>
        <v>4779419.5738924155</v>
      </c>
      <c r="AC9" s="1212">
        <f t="shared" si="0"/>
        <v>4785057.0114648268</v>
      </c>
      <c r="AD9" s="1212">
        <f t="shared" si="0"/>
        <v>4790130.7052800013</v>
      </c>
      <c r="AE9" s="1212">
        <f t="shared" si="0"/>
        <v>4795768.1428524153</v>
      </c>
      <c r="AF9" s="1212">
        <f t="shared" si="0"/>
        <v>4799714.3491531052</v>
      </c>
      <c r="AG9" s="1213">
        <f t="shared" ref="AG9:AG17" si="1">SUM(C9:AF9)</f>
        <v>127661812.92984988</v>
      </c>
    </row>
    <row r="10" spans="1:33" ht="20.25" customHeight="1">
      <c r="B10" s="469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14">
        <f>(1+$D$3)*'R1 DRE'!K5</f>
        <v>2255793.6986270007</v>
      </c>
      <c r="L10" s="1214">
        <f>(1+$D$3)*'R1 DRE'!L5</f>
        <v>2250836.0098729911</v>
      </c>
      <c r="M10" s="1214">
        <f>(1+$D$3)*'R1 DRE'!M5</f>
        <v>2250104.2527079764</v>
      </c>
      <c r="N10" s="1214">
        <f>(1+$D$3)*'R1 DRE'!N5</f>
        <v>2251218.7221766892</v>
      </c>
      <c r="O10" s="1214">
        <f>(1+$D$3)*'R1 DRE'!O5</f>
        <v>2250194.6822605454</v>
      </c>
      <c r="P10" s="1214">
        <f>(1+$D$3)*'R1 DRE'!P5</f>
        <v>2253429.2697290559</v>
      </c>
      <c r="Q10" s="1214">
        <f>(1+$D$3)*'R1 DRE'!Q5</f>
        <v>2256663.8571975669</v>
      </c>
      <c r="R10" s="1214">
        <f>(1+$D$3)*'R1 DRE'!R5</f>
        <v>2259628.8957103677</v>
      </c>
      <c r="S10" s="1214">
        <f>(1+$D$3)*'R1 DRE'!S5</f>
        <v>2262324.3852674603</v>
      </c>
      <c r="T10" s="1214">
        <f>(1+$D$3)*'R1 DRE'!T5</f>
        <v>2265019.8748245523</v>
      </c>
      <c r="U10" s="1214">
        <f>(1+$D$3)*'R1 DRE'!U5</f>
        <v>2267715.3643816435</v>
      </c>
      <c r="V10" s="1214">
        <f>(1+$D$3)*'R1 DRE'!V5</f>
        <v>2270141.3049830277</v>
      </c>
      <c r="W10" s="1214">
        <f>(1+$D$3)*'R1 DRE'!W5</f>
        <v>2273106.3434958295</v>
      </c>
      <c r="X10" s="1214">
        <f>(1+$D$3)*'R1 DRE'!X5</f>
        <v>2276071.3820086299</v>
      </c>
      <c r="Y10" s="1214">
        <f>(1+$D$3)*'R1 DRE'!Y5</f>
        <v>2278227.773654304</v>
      </c>
      <c r="Z10" s="1214">
        <f>(1+$D$3)*'R1 DRE'!Z5</f>
        <v>2280384.1652999781</v>
      </c>
      <c r="AA10" s="1214">
        <f>(1+$D$3)*'R1 DRE'!AA5</f>
        <v>2282540.5569456518</v>
      </c>
      <c r="AB10" s="1214">
        <f>(1+$D$3)*'R1 DRE'!AB5</f>
        <v>2285236.0465027438</v>
      </c>
      <c r="AC10" s="1214">
        <f>(1+$D$3)*'R1 DRE'!AC5</f>
        <v>2287931.5360598355</v>
      </c>
      <c r="AD10" s="1214">
        <f>(1+$D$3)*'R1 DRE'!AD5</f>
        <v>2290357.4766612188</v>
      </c>
      <c r="AE10" s="1214">
        <f>(1+$D$3)*'R1 DRE'!AE5</f>
        <v>2293052.9662183109</v>
      </c>
      <c r="AF10" s="1214">
        <f>(1+$D$3)*'R1 DRE'!AF5</f>
        <v>2294939.8089082758</v>
      </c>
      <c r="AG10" s="1213">
        <f t="shared" si="1"/>
        <v>65322816.216453962</v>
      </c>
    </row>
    <row r="11" spans="1:33" ht="20.25" customHeight="1">
      <c r="B11" s="469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14">
        <f>(1+$D$3)*'R1 DRE'!K6</f>
        <v>1812662.8802657216</v>
      </c>
      <c r="L11" s="1214">
        <f>(1+$D$3)*'R1 DRE'!L6</f>
        <v>1912329.4844270661</v>
      </c>
      <c r="M11" s="1214">
        <f>(1+$D$3)*'R1 DRE'!M6</f>
        <v>2109277.2650982123</v>
      </c>
      <c r="N11" s="1214">
        <f>(1+$D$3)*'R1 DRE'!N6</f>
        <v>2405879.4699249347</v>
      </c>
      <c r="O11" s="1214">
        <f>(1+$D$3)*'R1 DRE'!O6</f>
        <v>2409342.8280870141</v>
      </c>
      <c r="P11" s="1214">
        <f>(1+$D$3)*'R1 DRE'!P6</f>
        <v>2412806.1862490941</v>
      </c>
      <c r="Q11" s="1214">
        <f>(1+$D$3)*'R1 DRE'!Q6</f>
        <v>2416269.544411175</v>
      </c>
      <c r="R11" s="1214">
        <f>(1+$D$3)*'R1 DRE'!R6</f>
        <v>2419444.2893930809</v>
      </c>
      <c r="S11" s="1214">
        <f>(1+$D$3)*'R1 DRE'!S6</f>
        <v>2422330.4211948141</v>
      </c>
      <c r="T11" s="1214">
        <f>(1+$D$3)*'R1 DRE'!T6</f>
        <v>2425216.5529965474</v>
      </c>
      <c r="U11" s="1214">
        <f>(1+$D$3)*'R1 DRE'!U6</f>
        <v>2428102.6847982807</v>
      </c>
      <c r="V11" s="1214">
        <f>(1+$D$3)*'R1 DRE'!V6</f>
        <v>2430700.2034198409</v>
      </c>
      <c r="W11" s="1214">
        <f>(1+$D$3)*'R1 DRE'!W6</f>
        <v>2433874.9484017487</v>
      </c>
      <c r="X11" s="1214">
        <f>(1+$D$3)*'R1 DRE'!X6</f>
        <v>2437049.693383655</v>
      </c>
      <c r="Y11" s="1214">
        <f>(1+$D$3)*'R1 DRE'!Y6</f>
        <v>2439358.5988250417</v>
      </c>
      <c r="Z11" s="1214">
        <f>(1+$D$3)*'R1 DRE'!Z6</f>
        <v>2441667.5042664283</v>
      </c>
      <c r="AA11" s="1214">
        <f>(1+$D$3)*'R1 DRE'!AA6</f>
        <v>2443976.4097078145</v>
      </c>
      <c r="AB11" s="1214">
        <f>(1+$D$3)*'R1 DRE'!AB6</f>
        <v>2446862.5415095487</v>
      </c>
      <c r="AC11" s="1214">
        <f>(1+$D$3)*'R1 DRE'!AC6</f>
        <v>2449748.673311281</v>
      </c>
      <c r="AD11" s="1214">
        <f>(1+$D$3)*'R1 DRE'!AD6</f>
        <v>2452346.1919328412</v>
      </c>
      <c r="AE11" s="1214">
        <f>(1+$D$3)*'R1 DRE'!AE6</f>
        <v>2455232.3237345754</v>
      </c>
      <c r="AF11" s="1214">
        <f>(1+$D$3)*'R1 DRE'!AF6</f>
        <v>2457252.6159957885</v>
      </c>
      <c r="AG11" s="1213">
        <f t="shared" si="1"/>
        <v>61026221.746758036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14">
        <f>(1+$D$3)*'R1 DRE'!K7</f>
        <v>40684.565788927226</v>
      </c>
      <c r="L12" s="1214">
        <f>(1+$D$3)*'R1 DRE'!L7</f>
        <v>41631.654943000569</v>
      </c>
      <c r="M12" s="1214">
        <f>(1+$D$3)*'R1 DRE'!M7</f>
        <v>43593.815178061886</v>
      </c>
      <c r="N12" s="1214">
        <f>(1+$D$3)*'R1 DRE'!N7</f>
        <v>46570.981921016239</v>
      </c>
      <c r="O12" s="1214">
        <f>(1+$D$3)*'R1 DRE'!O7</f>
        <v>46595.375103475584</v>
      </c>
      <c r="P12" s="1214">
        <f>(1+$D$3)*'R1 DRE'!P7</f>
        <v>46662.354559781503</v>
      </c>
      <c r="Q12" s="1214">
        <f>(1+$D$3)*'R1 DRE'!Q7</f>
        <v>46729.334016087421</v>
      </c>
      <c r="R12" s="1214">
        <f>(1+$D$3)*'R1 DRE'!R7</f>
        <v>46790.731851034478</v>
      </c>
      <c r="S12" s="1214">
        <f>(1+$D$3)*'R1 DRE'!S7</f>
        <v>46846.548064622744</v>
      </c>
      <c r="T12" s="1214">
        <f>(1+$D$3)*'R1 DRE'!T7</f>
        <v>46902.364278210996</v>
      </c>
      <c r="U12" s="1214">
        <f>(1+$D$3)*'R1 DRE'!U7</f>
        <v>46958.180491799234</v>
      </c>
      <c r="V12" s="1214">
        <f>(1+$D$3)*'R1 DRE'!V7</f>
        <v>47008.415084028682</v>
      </c>
      <c r="W12" s="1214">
        <f>(1+$D$3)*'R1 DRE'!W7</f>
        <v>47069.812918975782</v>
      </c>
      <c r="X12" s="1214">
        <f>(1+$D$3)*'R1 DRE'!X7</f>
        <v>47131.210753922845</v>
      </c>
      <c r="Y12" s="1214">
        <f>(1+$D$3)*'R1 DRE'!Y7</f>
        <v>47175.86372479346</v>
      </c>
      <c r="Z12" s="1214">
        <f>(1+$D$3)*'R1 DRE'!Z7</f>
        <v>47220.516695664061</v>
      </c>
      <c r="AA12" s="1214">
        <f>(1+$D$3)*'R1 DRE'!AA7</f>
        <v>47265.169666534668</v>
      </c>
      <c r="AB12" s="1214">
        <f>(1+$D$3)*'R1 DRE'!AB7</f>
        <v>47320.98588012292</v>
      </c>
      <c r="AC12" s="1214">
        <f>(1+$D$3)*'R1 DRE'!AC7</f>
        <v>47376.802093711158</v>
      </c>
      <c r="AD12" s="1214">
        <f>(1+$D$3)*'R1 DRE'!AD7</f>
        <v>47427.036685940599</v>
      </c>
      <c r="AE12" s="1214">
        <f>(1+$D$3)*'R1 DRE'!AE7</f>
        <v>47482.852899528873</v>
      </c>
      <c r="AF12" s="1214">
        <f>(1+$D$3)*'R1 DRE'!AF7</f>
        <v>47521.924249040654</v>
      </c>
      <c r="AG12" s="1213">
        <f t="shared" si="1"/>
        <v>1312774.9666378819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2">-SUM(D14:D15)</f>
        <v>-234617.19486967311</v>
      </c>
      <c r="E13" s="1212">
        <f t="shared" si="2"/>
        <v>-255067.11447188459</v>
      </c>
      <c r="F13" s="1212">
        <f t="shared" si="2"/>
        <v>-266470.53804765607</v>
      </c>
      <c r="G13" s="1212">
        <f t="shared" si="2"/>
        <v>-277240.35544356558</v>
      </c>
      <c r="H13" s="1212">
        <f t="shared" si="2"/>
        <v>-305292.86829691898</v>
      </c>
      <c r="I13" s="1212">
        <f t="shared" si="2"/>
        <v>-343021.62437981495</v>
      </c>
      <c r="J13" s="1212">
        <f t="shared" si="2"/>
        <v>-370742.7283114891</v>
      </c>
      <c r="K13" s="1212">
        <f t="shared" si="2"/>
        <v>-380095.55588305253</v>
      </c>
      <c r="L13" s="1212">
        <f t="shared" si="2"/>
        <v>-388943.73630498286</v>
      </c>
      <c r="M13" s="1212">
        <f t="shared" si="2"/>
        <v>-407275.21830104326</v>
      </c>
      <c r="N13" s="1212">
        <f t="shared" si="2"/>
        <v>-435089.39859709423</v>
      </c>
      <c r="O13" s="1212">
        <f t="shared" si="2"/>
        <v>-435317.29190422082</v>
      </c>
      <c r="P13" s="1212">
        <f t="shared" si="2"/>
        <v>-435943.0474747587</v>
      </c>
      <c r="Q13" s="1212">
        <f t="shared" si="2"/>
        <v>-436568.80304529669</v>
      </c>
      <c r="R13" s="1212">
        <f t="shared" si="2"/>
        <v>-437142.41231828969</v>
      </c>
      <c r="S13" s="1212">
        <f t="shared" si="2"/>
        <v>-437663.87529373803</v>
      </c>
      <c r="T13" s="1212">
        <f t="shared" si="2"/>
        <v>-438185.33826918626</v>
      </c>
      <c r="U13" s="1212">
        <f t="shared" si="2"/>
        <v>-438706.80124463449</v>
      </c>
      <c r="V13" s="1212">
        <f t="shared" si="2"/>
        <v>-439176.11792253808</v>
      </c>
      <c r="W13" s="1212">
        <f t="shared" si="2"/>
        <v>-439749.72719553125</v>
      </c>
      <c r="X13" s="1212">
        <f t="shared" si="2"/>
        <v>-440323.3364685243</v>
      </c>
      <c r="Y13" s="1212">
        <f t="shared" si="2"/>
        <v>-440740.50684888283</v>
      </c>
      <c r="Z13" s="1212">
        <f t="shared" si="2"/>
        <v>-441157.67722924147</v>
      </c>
      <c r="AA13" s="1212">
        <f t="shared" si="2"/>
        <v>-441574.84760960005</v>
      </c>
      <c r="AB13" s="1212">
        <f t="shared" si="2"/>
        <v>-442096.31058504846</v>
      </c>
      <c r="AC13" s="1212">
        <f t="shared" si="2"/>
        <v>-442617.77356049645</v>
      </c>
      <c r="AD13" s="1212">
        <f t="shared" si="2"/>
        <v>-443087.09023840015</v>
      </c>
      <c r="AE13" s="1212">
        <f t="shared" si="2"/>
        <v>-443608.55321384838</v>
      </c>
      <c r="AF13" s="1212">
        <f t="shared" si="2"/>
        <v>-443973.5772966622</v>
      </c>
      <c r="AG13" s="1213">
        <f t="shared" si="1"/>
        <v>-11760911.385666793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3">0.076*G9</f>
        <v>227786.67041849715</v>
      </c>
      <c r="H14" s="1214">
        <f t="shared" si="3"/>
        <v>250835.22151963072</v>
      </c>
      <c r="I14" s="1214">
        <f t="shared" si="3"/>
        <v>281833.98327422631</v>
      </c>
      <c r="J14" s="1214">
        <f t="shared" si="3"/>
        <v>304610.24163970997</v>
      </c>
      <c r="K14" s="1214">
        <f t="shared" si="3"/>
        <v>312294.72699580534</v>
      </c>
      <c r="L14" s="1214">
        <f t="shared" si="3"/>
        <v>319564.58334247238</v>
      </c>
      <c r="M14" s="1214">
        <f t="shared" si="3"/>
        <v>334626.12530680309</v>
      </c>
      <c r="N14" s="1214">
        <f t="shared" si="3"/>
        <v>357478.85722572065</v>
      </c>
      <c r="O14" s="1214">
        <f t="shared" si="3"/>
        <v>357666.09929427871</v>
      </c>
      <c r="P14" s="1214">
        <f t="shared" si="3"/>
        <v>358180.23360088281</v>
      </c>
      <c r="Q14" s="1214">
        <f t="shared" si="3"/>
        <v>358694.36790748703</v>
      </c>
      <c r="R14" s="1214">
        <f t="shared" si="3"/>
        <v>359165.6576885407</v>
      </c>
      <c r="S14" s="1214">
        <f t="shared" si="3"/>
        <v>359594.10294404422</v>
      </c>
      <c r="T14" s="1214">
        <f t="shared" si="3"/>
        <v>360022.54819954763</v>
      </c>
      <c r="U14" s="1214">
        <f t="shared" si="3"/>
        <v>360450.99345505104</v>
      </c>
      <c r="V14" s="1214">
        <f t="shared" si="3"/>
        <v>360836.59418500424</v>
      </c>
      <c r="W14" s="1214">
        <f t="shared" si="3"/>
        <v>361307.88396605809</v>
      </c>
      <c r="X14" s="1214">
        <f t="shared" si="3"/>
        <v>361779.17374711187</v>
      </c>
      <c r="Y14" s="1214">
        <f t="shared" si="3"/>
        <v>362121.92995151452</v>
      </c>
      <c r="Z14" s="1214">
        <f t="shared" si="3"/>
        <v>362464.6861559173</v>
      </c>
      <c r="AA14" s="1214">
        <f t="shared" si="3"/>
        <v>362807.44236032001</v>
      </c>
      <c r="AB14" s="1214">
        <f t="shared" si="3"/>
        <v>363235.88761582359</v>
      </c>
      <c r="AC14" s="1214">
        <f t="shared" si="3"/>
        <v>363664.33287132683</v>
      </c>
      <c r="AD14" s="1214">
        <f t="shared" si="3"/>
        <v>364049.93360128009</v>
      </c>
      <c r="AE14" s="1214">
        <f t="shared" si="3"/>
        <v>364478.37885678356</v>
      </c>
      <c r="AF14" s="1214">
        <f t="shared" si="3"/>
        <v>364778.29053563596</v>
      </c>
      <c r="AG14" s="1213">
        <f t="shared" si="1"/>
        <v>9663027.1633319892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4">0.0165*G9</f>
        <v>49453.685025068458</v>
      </c>
      <c r="H15" s="1214">
        <f t="shared" si="4"/>
        <v>54457.646777288253</v>
      </c>
      <c r="I15" s="1214">
        <f t="shared" si="4"/>
        <v>61187.641105588613</v>
      </c>
      <c r="J15" s="1214">
        <f t="shared" si="4"/>
        <v>66132.486671779145</v>
      </c>
      <c r="K15" s="1214">
        <f t="shared" si="4"/>
        <v>67800.828887247219</v>
      </c>
      <c r="L15" s="1214">
        <f t="shared" si="4"/>
        <v>69379.152962510459</v>
      </c>
      <c r="M15" s="1214">
        <f t="shared" si="4"/>
        <v>72649.092994240142</v>
      </c>
      <c r="N15" s="1214">
        <f t="shared" si="4"/>
        <v>77610.541371373562</v>
      </c>
      <c r="O15" s="1214">
        <f t="shared" si="4"/>
        <v>77651.192609942096</v>
      </c>
      <c r="P15" s="1214">
        <f t="shared" si="4"/>
        <v>77762.813873875872</v>
      </c>
      <c r="Q15" s="1214">
        <f t="shared" si="4"/>
        <v>77874.435137809691</v>
      </c>
      <c r="R15" s="1214">
        <f t="shared" si="4"/>
        <v>77976.754629748975</v>
      </c>
      <c r="S15" s="1214">
        <f t="shared" si="4"/>
        <v>78069.772349693812</v>
      </c>
      <c r="T15" s="1214">
        <f t="shared" si="4"/>
        <v>78162.790069638635</v>
      </c>
      <c r="U15" s="1214">
        <f t="shared" si="4"/>
        <v>78255.807789583458</v>
      </c>
      <c r="V15" s="1214">
        <f t="shared" si="4"/>
        <v>78339.523737533818</v>
      </c>
      <c r="W15" s="1214">
        <f t="shared" si="4"/>
        <v>78441.843229473146</v>
      </c>
      <c r="X15" s="1214">
        <f t="shared" si="4"/>
        <v>78544.162721412446</v>
      </c>
      <c r="Y15" s="1214">
        <f t="shared" si="4"/>
        <v>78618.576897368301</v>
      </c>
      <c r="Z15" s="1214">
        <f t="shared" si="4"/>
        <v>78692.991073324156</v>
      </c>
      <c r="AA15" s="1214">
        <f t="shared" si="4"/>
        <v>78767.405249280011</v>
      </c>
      <c r="AB15" s="1214">
        <f t="shared" si="4"/>
        <v>78860.422969224863</v>
      </c>
      <c r="AC15" s="1214">
        <f t="shared" si="4"/>
        <v>78953.440689169642</v>
      </c>
      <c r="AD15" s="1214">
        <f t="shared" si="4"/>
        <v>79037.156637120032</v>
      </c>
      <c r="AE15" s="1214">
        <f t="shared" si="4"/>
        <v>79130.174357064854</v>
      </c>
      <c r="AF15" s="1214">
        <f t="shared" si="4"/>
        <v>79195.286761026233</v>
      </c>
      <c r="AG15" s="1213">
        <f t="shared" si="1"/>
        <v>2097884.2223348054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1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5">D9+D13+D16</f>
        <v>2348736.4306745757</v>
      </c>
      <c r="E17" s="1212">
        <f t="shared" si="5"/>
        <v>2607846.6711710477</v>
      </c>
      <c r="F17" s="1212">
        <f t="shared" si="5"/>
        <v>2673176.6493209945</v>
      </c>
      <c r="G17" s="1212">
        <f t="shared" si="5"/>
        <v>2744549.5840927921</v>
      </c>
      <c r="H17" s="1212">
        <f t="shared" si="5"/>
        <v>3009978.9826078052</v>
      </c>
      <c r="I17" s="1212">
        <f t="shared" si="5"/>
        <v>3344926.3386004027</v>
      </c>
      <c r="J17" s="1212">
        <f t="shared" si="5"/>
        <v>3622302.386444245</v>
      </c>
      <c r="K17" s="1212">
        <f t="shared" si="5"/>
        <v>3725762.0658079372</v>
      </c>
      <c r="L17" s="1212">
        <f t="shared" si="5"/>
        <v>3811111.8641841635</v>
      </c>
      <c r="M17" s="1212">
        <f t="shared" si="5"/>
        <v>3985876.6694695069</v>
      </c>
      <c r="N17" s="1212">
        <f t="shared" si="5"/>
        <v>4253674.7570336359</v>
      </c>
      <c r="O17" s="1212">
        <f t="shared" si="5"/>
        <v>4270693.4704463696</v>
      </c>
      <c r="P17" s="1212">
        <f t="shared" si="5"/>
        <v>4276619.4341701968</v>
      </c>
      <c r="Q17" s="1212">
        <f t="shared" si="5"/>
        <v>4282758.6036865562</v>
      </c>
      <c r="R17" s="1212">
        <f t="shared" si="5"/>
        <v>4288414.1198176332</v>
      </c>
      <c r="S17" s="1212">
        <f t="shared" si="5"/>
        <v>4293558.038489013</v>
      </c>
      <c r="T17" s="1212">
        <f t="shared" si="5"/>
        <v>4298674.0130859781</v>
      </c>
      <c r="U17" s="1212">
        <f t="shared" si="5"/>
        <v>4303789.9876829432</v>
      </c>
      <c r="V17" s="1212">
        <f t="shared" si="5"/>
        <v>4308422.3088946277</v>
      </c>
      <c r="W17" s="1212">
        <f t="shared" si="5"/>
        <v>4313993.9928024616</v>
      </c>
      <c r="X17" s="1212">
        <f t="shared" si="5"/>
        <v>4319621.564859123</v>
      </c>
      <c r="Y17" s="1212">
        <f t="shared" si="5"/>
        <v>4323798.1767599387</v>
      </c>
      <c r="Z17" s="1212">
        <f t="shared" si="5"/>
        <v>4327890.9564375114</v>
      </c>
      <c r="AA17" s="1212">
        <f t="shared" si="5"/>
        <v>4331983.7361150831</v>
      </c>
      <c r="AB17" s="1212">
        <f t="shared" si="5"/>
        <v>4337043.8225632207</v>
      </c>
      <c r="AC17" s="1212">
        <f t="shared" si="5"/>
        <v>4342159.7971601849</v>
      </c>
      <c r="AD17" s="1212">
        <f t="shared" si="5"/>
        <v>4346792.1183718694</v>
      </c>
      <c r="AE17" s="1212">
        <f t="shared" si="5"/>
        <v>4351880.1488944199</v>
      </c>
      <c r="AF17" s="1212">
        <f t="shared" si="5"/>
        <v>4355545.1633355403</v>
      </c>
      <c r="AG17" s="1213">
        <f t="shared" si="1"/>
        <v>115684653.07220188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6">D19+D20</f>
        <v>-369565.70052795502</v>
      </c>
      <c r="E18" s="1212">
        <f t="shared" si="6"/>
        <v>-372990.80023137957</v>
      </c>
      <c r="F18" s="1212">
        <f t="shared" si="6"/>
        <v>-365825.26800000004</v>
      </c>
      <c r="G18" s="1212">
        <f t="shared" si="6"/>
        <v>-364530.62316929037</v>
      </c>
      <c r="H18" s="1212">
        <f t="shared" si="6"/>
        <v>-386664.99739602057</v>
      </c>
      <c r="I18" s="1212">
        <f t="shared" si="6"/>
        <v>-368051.52738592168</v>
      </c>
      <c r="J18" s="1212">
        <f t="shared" si="6"/>
        <v>-369563.79094887548</v>
      </c>
      <c r="K18" s="1212">
        <f t="shared" si="6"/>
        <v>-374710.74257447</v>
      </c>
      <c r="L18" s="1212">
        <f t="shared" si="6"/>
        <v>-362395.04255699547</v>
      </c>
      <c r="M18" s="1212">
        <f t="shared" si="6"/>
        <v>-362481.33999999997</v>
      </c>
      <c r="N18" s="1212">
        <f t="shared" si="6"/>
        <v>-362490.34070234851</v>
      </c>
      <c r="O18" s="1212">
        <f t="shared" si="6"/>
        <v>-362536.99326174881</v>
      </c>
      <c r="P18" s="1212">
        <f t="shared" si="6"/>
        <v>-362583.70954566193</v>
      </c>
      <c r="Q18" s="1212">
        <f t="shared" si="6"/>
        <v>-362630.4975196523</v>
      </c>
      <c r="R18" s="1212">
        <f t="shared" si="6"/>
        <v>-362696.54000000004</v>
      </c>
      <c r="S18" s="1212">
        <f t="shared" si="6"/>
        <v>-362712.66594447545</v>
      </c>
      <c r="T18" s="1212">
        <f t="shared" si="6"/>
        <v>-362751.99800359353</v>
      </c>
      <c r="U18" s="1212">
        <f t="shared" si="6"/>
        <v>-362789.80886980717</v>
      </c>
      <c r="V18" s="1212">
        <f t="shared" si="6"/>
        <v>-362825.60956597811</v>
      </c>
      <c r="W18" s="1212">
        <f t="shared" si="6"/>
        <v>-362857.98</v>
      </c>
      <c r="X18" s="1212">
        <f t="shared" si="6"/>
        <v>-362911.24421609647</v>
      </c>
      <c r="Y18" s="1212">
        <f t="shared" si="6"/>
        <v>-362943.6906476072</v>
      </c>
      <c r="Z18" s="1212">
        <f t="shared" si="6"/>
        <v>-362978.11100334622</v>
      </c>
      <c r="AA18" s="1212">
        <f t="shared" si="6"/>
        <v>-363012.92385767959</v>
      </c>
      <c r="AB18" s="1212">
        <f t="shared" si="6"/>
        <v>-363097.00400000002</v>
      </c>
      <c r="AC18" s="1212">
        <f t="shared" si="6"/>
        <v>-363097.00762754027</v>
      </c>
      <c r="AD18" s="1212">
        <f t="shared" si="6"/>
        <v>-363135.18987865513</v>
      </c>
      <c r="AE18" s="1212">
        <f t="shared" si="6"/>
        <v>-363180.18092086643</v>
      </c>
      <c r="AF18" s="1212">
        <f t="shared" si="6"/>
        <v>-363220.56991323736</v>
      </c>
      <c r="AG18" s="1213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14">
        <f>'R1 DRE'!K14</f>
        <v>-222919.5</v>
      </c>
      <c r="L19" s="1214">
        <f>'R1 DRE'!L14</f>
        <v>-222919.5</v>
      </c>
      <c r="M19" s="1214">
        <f>'R1 DRE'!M14</f>
        <v>-222919.5</v>
      </c>
      <c r="N19" s="1214">
        <f>'R1 DRE'!N14</f>
        <v>-222919.5</v>
      </c>
      <c r="O19" s="1214">
        <f>'R1 DRE'!O14</f>
        <v>-222919.5</v>
      </c>
      <c r="P19" s="1214">
        <f>'R1 DRE'!P14</f>
        <v>-222919.5</v>
      </c>
      <c r="Q19" s="1214">
        <f>'R1 DRE'!Q14</f>
        <v>-222919.5</v>
      </c>
      <c r="R19" s="1214">
        <f>'R1 DRE'!R14</f>
        <v>-222919.5</v>
      </c>
      <c r="S19" s="1214">
        <f>'R1 DRE'!S14</f>
        <v>-222919.5</v>
      </c>
      <c r="T19" s="1214">
        <f>'R1 DRE'!T14</f>
        <v>-222919.5</v>
      </c>
      <c r="U19" s="1214">
        <f>'R1 DRE'!U14</f>
        <v>-222919.5</v>
      </c>
      <c r="V19" s="1214">
        <f>'R1 DRE'!V14</f>
        <v>-222919.5</v>
      </c>
      <c r="W19" s="1214">
        <f>'R1 DRE'!W14</f>
        <v>-222919.5</v>
      </c>
      <c r="X19" s="1214">
        <f>'R1 DRE'!X14</f>
        <v>-222919.5</v>
      </c>
      <c r="Y19" s="1214">
        <f>'R1 DRE'!Y14</f>
        <v>-222919.5</v>
      </c>
      <c r="Z19" s="1214">
        <f>'R1 DRE'!Z14</f>
        <v>-222919.5</v>
      </c>
      <c r="AA19" s="1214">
        <f>'R1 DRE'!AA14</f>
        <v>-222919.5</v>
      </c>
      <c r="AB19" s="1214">
        <f>'R1 DRE'!AB14</f>
        <v>-222919.5</v>
      </c>
      <c r="AC19" s="1214">
        <f>'R1 DRE'!AC14</f>
        <v>-222919.5</v>
      </c>
      <c r="AD19" s="1214">
        <f>'R1 DRE'!AD14</f>
        <v>-222919.5</v>
      </c>
      <c r="AE19" s="1214">
        <f>'R1 DRE'!AE14</f>
        <v>-222919.5</v>
      </c>
      <c r="AF19" s="1214">
        <f>'R1 DRE'!AF14</f>
        <v>-222919.5</v>
      </c>
      <c r="AG19" s="1215">
        <f t="shared" si="7"/>
        <v>-6687585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14">
        <f>'R1 DRE'!K15</f>
        <v>-151791.24257447</v>
      </c>
      <c r="L20" s="1214">
        <f>'R1 DRE'!L15</f>
        <v>-139475.54255699547</v>
      </c>
      <c r="M20" s="1214">
        <f>'R1 DRE'!M15</f>
        <v>-139561.84</v>
      </c>
      <c r="N20" s="1214">
        <f>'R1 DRE'!N15</f>
        <v>-139570.84070234848</v>
      </c>
      <c r="O20" s="1214">
        <f>'R1 DRE'!O15</f>
        <v>-139617.49326174878</v>
      </c>
      <c r="P20" s="1214">
        <f>'R1 DRE'!P15</f>
        <v>-139664.20954566196</v>
      </c>
      <c r="Q20" s="1214">
        <f>'R1 DRE'!Q15</f>
        <v>-139710.9975196523</v>
      </c>
      <c r="R20" s="1214">
        <f>'R1 DRE'!R15</f>
        <v>-139777.04</v>
      </c>
      <c r="S20" s="1214">
        <f>'R1 DRE'!S15</f>
        <v>-139793.16594447548</v>
      </c>
      <c r="T20" s="1214">
        <f>'R1 DRE'!T15</f>
        <v>-139832.49800359353</v>
      </c>
      <c r="U20" s="1214">
        <f>'R1 DRE'!U15</f>
        <v>-139870.30886980714</v>
      </c>
      <c r="V20" s="1214">
        <f>'R1 DRE'!V15</f>
        <v>-139906.10956597811</v>
      </c>
      <c r="W20" s="1214">
        <f>'R1 DRE'!W15</f>
        <v>-139938.48000000001</v>
      </c>
      <c r="X20" s="1214">
        <f>'R1 DRE'!X15</f>
        <v>-139991.74421609644</v>
      </c>
      <c r="Y20" s="1214">
        <f>'R1 DRE'!Y15</f>
        <v>-140024.19064760717</v>
      </c>
      <c r="Z20" s="1214">
        <f>'R1 DRE'!Z15</f>
        <v>-140058.61100334622</v>
      </c>
      <c r="AA20" s="1214">
        <f>'R1 DRE'!AA15</f>
        <v>-140093.42385767962</v>
      </c>
      <c r="AB20" s="1214">
        <f>'R1 DRE'!AB15</f>
        <v>-140177.50400000002</v>
      </c>
      <c r="AC20" s="1214">
        <f>'R1 DRE'!AC15</f>
        <v>-140177.5076275403</v>
      </c>
      <c r="AD20" s="1214">
        <f>'R1 DRE'!AD15</f>
        <v>-140215.68987865516</v>
      </c>
      <c r="AE20" s="1214">
        <f>'R1 DRE'!AE15</f>
        <v>-140260.68092086641</v>
      </c>
      <c r="AF20" s="1214">
        <f>'R1 DRE'!AF15</f>
        <v>-140301.06991323733</v>
      </c>
      <c r="AG20" s="1215">
        <f t="shared" si="7"/>
        <v>-4365715.761531245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8">D22+D23+D24+D25</f>
        <v>-1230326.5123160521</v>
      </c>
      <c r="E21" s="1212">
        <f t="shared" si="8"/>
        <v>-1446948.7737891045</v>
      </c>
      <c r="F21" s="1212">
        <f t="shared" si="8"/>
        <v>-1394729.7694170631</v>
      </c>
      <c r="G21" s="1212">
        <f t="shared" si="8"/>
        <v>-1372431.1735002932</v>
      </c>
      <c r="H21" s="1212">
        <f t="shared" si="8"/>
        <v>-1382496.4519969807</v>
      </c>
      <c r="I21" s="1212">
        <f t="shared" si="8"/>
        <v>-1388736.4491514349</v>
      </c>
      <c r="J21" s="1212">
        <f t="shared" si="8"/>
        <v>-1449102.5046888234</v>
      </c>
      <c r="K21" s="1212">
        <f t="shared" si="8"/>
        <v>-1459034.9479406383</v>
      </c>
      <c r="L21" s="1212">
        <f t="shared" si="8"/>
        <v>-1479878.9272006578</v>
      </c>
      <c r="M21" s="1212">
        <f t="shared" si="8"/>
        <v>-1481032.1763060188</v>
      </c>
      <c r="N21" s="1212">
        <f t="shared" si="8"/>
        <v>-1482285.6135940487</v>
      </c>
      <c r="O21" s="1212">
        <f t="shared" si="8"/>
        <v>-1483106.7367342836</v>
      </c>
      <c r="P21" s="1212">
        <f t="shared" si="8"/>
        <v>-1483927.8498745186</v>
      </c>
      <c r="Q21" s="1212">
        <f t="shared" si="8"/>
        <v>-1484748.9630147535</v>
      </c>
      <c r="R21" s="1212">
        <f t="shared" si="8"/>
        <v>-1485424.0427858538</v>
      </c>
      <c r="S21" s="1212">
        <f t="shared" si="8"/>
        <v>-1486093.5218946983</v>
      </c>
      <c r="T21" s="1212">
        <f t="shared" si="8"/>
        <v>-1486761.9252424648</v>
      </c>
      <c r="U21" s="1212">
        <f t="shared" si="8"/>
        <v>-1487530.3285902308</v>
      </c>
      <c r="V21" s="1212">
        <f t="shared" si="8"/>
        <v>-1488198.731937997</v>
      </c>
      <c r="W21" s="1212">
        <f t="shared" si="8"/>
        <v>-1489002.4235217113</v>
      </c>
      <c r="X21" s="1212">
        <f t="shared" si="8"/>
        <v>-1489604.7689274428</v>
      </c>
      <c r="Y21" s="1212">
        <f t="shared" si="8"/>
        <v>-1490175.5695864293</v>
      </c>
      <c r="Z21" s="1212">
        <f t="shared" si="8"/>
        <v>-1490746.3602454155</v>
      </c>
      <c r="AA21" s="1212">
        <f t="shared" si="8"/>
        <v>-1491317.1609044017</v>
      </c>
      <c r="AB21" s="1212">
        <f t="shared" si="8"/>
        <v>-1492109.0555295818</v>
      </c>
      <c r="AC21" s="1212">
        <f t="shared" si="8"/>
        <v>-1492735.8468811174</v>
      </c>
      <c r="AD21" s="1212">
        <f t="shared" si="8"/>
        <v>-1493346.708906943</v>
      </c>
      <c r="AE21" s="1212">
        <f t="shared" si="8"/>
        <v>-1493984.4433433763</v>
      </c>
      <c r="AF21" s="1212">
        <f t="shared" si="8"/>
        <v>-1494367.8171003559</v>
      </c>
      <c r="AG21" s="1213">
        <f t="shared" si="7"/>
        <v>-43427904.739194401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14">
        <f>'R1 DRE'!K17</f>
        <v>-483412.18706838228</v>
      </c>
      <c r="L22" s="1214">
        <f>'R1 DRE'!L17</f>
        <v>-489442.6019993478</v>
      </c>
      <c r="M22" s="1214">
        <f>'R1 DRE'!M17</f>
        <v>-490208.95603734476</v>
      </c>
      <c r="N22" s="1214">
        <f>'R1 DRE'!N17</f>
        <v>-490920.5570620927</v>
      </c>
      <c r="O22" s="1214">
        <f>'R1 DRE'!O17</f>
        <v>-491624.76348001952</v>
      </c>
      <c r="P22" s="1214">
        <f>'R1 DRE'!P17</f>
        <v>-492328.96989794611</v>
      </c>
      <c r="Q22" s="1214">
        <f>'R1 DRE'!Q17</f>
        <v>-493033.1763158727</v>
      </c>
      <c r="R22" s="1214">
        <f>'R1 DRE'!R17</f>
        <v>-493612.01936735166</v>
      </c>
      <c r="S22" s="1214">
        <f>'R1 DRE'!S17</f>
        <v>-494186.17130256217</v>
      </c>
      <c r="T22" s="1214">
        <f>'R1 DRE'!T17</f>
        <v>-494759.40497506119</v>
      </c>
      <c r="U22" s="1214">
        <f>'R1 DRE'!U17</f>
        <v>-495332.63864756015</v>
      </c>
      <c r="V22" s="1214">
        <f>'R1 DRE'!V17</f>
        <v>-495905.87232005922</v>
      </c>
      <c r="W22" s="1214">
        <f>'R1 DRE'!W17</f>
        <v>-496595.18385540805</v>
      </c>
      <c r="X22" s="1214">
        <f>'R1 DRE'!X17</f>
        <v>-497111.64190462325</v>
      </c>
      <c r="Y22" s="1214">
        <f>'R1 DRE'!Y17</f>
        <v>-497601.16502573498</v>
      </c>
      <c r="Z22" s="1214">
        <f>'R1 DRE'!Z17</f>
        <v>-498090.68814684672</v>
      </c>
      <c r="AA22" s="1214">
        <f>'R1 DRE'!AA17</f>
        <v>-498580.2112679584</v>
      </c>
      <c r="AB22" s="1214">
        <f>'R1 DRE'!AB17</f>
        <v>-499259.46152948157</v>
      </c>
      <c r="AC22" s="1214">
        <f>'R1 DRE'!AC17</f>
        <v>-499796.89372358366</v>
      </c>
      <c r="AD22" s="1214">
        <f>'R1 DRE'!AD17</f>
        <v>-500320.77892254677</v>
      </c>
      <c r="AE22" s="1214">
        <f>'R1 DRE'!AE17</f>
        <v>-500867.7180223316</v>
      </c>
      <c r="AF22" s="1214">
        <f>'R1 DRE'!AF17</f>
        <v>-501196.36969936022</v>
      </c>
      <c r="AG22" s="1215">
        <f t="shared" si="7"/>
        <v>-14615965.937531687</v>
      </c>
      <c r="AI22" s="1216"/>
    </row>
    <row r="23" spans="1:36" ht="20.25" customHeight="1">
      <c r="B23" s="1221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22">
        <f>'R1 DRE'!G18-'E4 CLORO'!B38</f>
        <v>-14599.065768930037</v>
      </c>
      <c r="H23" s="1222">
        <f>'R1 DRE'!H18-'E4 CLORO'!C38</f>
        <v>-25388.155749727612</v>
      </c>
      <c r="I23" s="1222">
        <f>'R1 DRE'!I18-'E4 CLORO'!D38</f>
        <v>-37464.35237651589</v>
      </c>
      <c r="J23" s="1222">
        <f>'R1 DRE'!J18-'E4 CLORO'!E38</f>
        <v>-48407.242113114808</v>
      </c>
      <c r="K23" s="1222">
        <f>'R1 DRE'!K18-'E4 CLORO'!F38</f>
        <v>-35340.116253067266</v>
      </c>
      <c r="L23" s="1222">
        <f>'R1 DRE'!L18-'E4 CLORO'!G38</f>
        <v>-35526.422255394675</v>
      </c>
      <c r="M23" s="1222">
        <f>'R1 DRE'!M18-'E4 CLORO'!H38</f>
        <v>-35842.605172996446</v>
      </c>
      <c r="N23" s="1222">
        <f>'R1 DRE'!N18-'E4 CLORO'!I38</f>
        <v>-36318.367646812112</v>
      </c>
      <c r="O23" s="1222">
        <f>'R1 DRE'!O18-'E4 CLORO'!J38</f>
        <v>-36370.478886081648</v>
      </c>
      <c r="P23" s="1222">
        <f>'R1 DRE'!P18-'E4 CLORO'!K38</f>
        <v>-36422.580125351204</v>
      </c>
      <c r="Q23" s="1222">
        <f>'R1 DRE'!Q18-'E4 CLORO'!L38</f>
        <v>-36474.681364620752</v>
      </c>
      <c r="R23" s="1222">
        <f>'R1 DRE'!R18-'E4 CLORO'!M38</f>
        <v>-36516.303434356836</v>
      </c>
      <c r="S23" s="1222">
        <f>'R1 DRE'!S18-'E4 CLORO'!N38</f>
        <v>-36558.701737817843</v>
      </c>
      <c r="T23" s="1222">
        <f>'R1 DRE'!T18-'E4 CLORO'!O38</f>
        <v>-36601.100041278864</v>
      </c>
      <c r="U23" s="1222">
        <f>'R1 DRE'!U18-'E4 CLORO'!P38</f>
        <v>-36643.49834473987</v>
      </c>
      <c r="V23" s="1222">
        <f>'R1 DRE'!V18-'E4 CLORO'!Q38</f>
        <v>-36685.896648200884</v>
      </c>
      <c r="W23" s="1222">
        <f>'R1 DRE'!W18-'E4 CLORO'!R38</f>
        <v>-36738.069313534354</v>
      </c>
      <c r="X23" s="1222">
        <f>'R1 DRE'!X18-'E4 CLORO'!S38</f>
        <v>-36774.27814305808</v>
      </c>
      <c r="Y23" s="1222">
        <f>'R1 DRE'!Y18-'E4 CLORO'!T38</f>
        <v>-36810.496972581808</v>
      </c>
      <c r="Z23" s="1222">
        <f>'R1 DRE'!Z18-'E4 CLORO'!U38</f>
        <v>-36846.705802105542</v>
      </c>
      <c r="AA23" s="1222">
        <f>'R1 DRE'!AA18-'E4 CLORO'!V38</f>
        <v>-36882.924631629263</v>
      </c>
      <c r="AB23" s="1222">
        <f>'R1 DRE'!AB18-'E4 CLORO'!W38</f>
        <v>-36935.087299443752</v>
      </c>
      <c r="AC23" s="1222">
        <f>'R1 DRE'!AC18-'E4 CLORO'!X38</f>
        <v>-36973.062920484837</v>
      </c>
      <c r="AD23" s="1222">
        <f>'R1 DRE'!AD18-'E4 CLORO'!Y38</f>
        <v>-37011.947657312652</v>
      </c>
      <c r="AE23" s="1222">
        <f>'R1 DRE'!AE18-'E4 CLORO'!Z38</f>
        <v>-37052.589179438917</v>
      </c>
      <c r="AF23" s="1222">
        <f>'R1 DRE'!AF18-'E4 CLORO'!AA38</f>
        <v>-37074.662066103119</v>
      </c>
      <c r="AG23" s="1215">
        <f t="shared" si="7"/>
        <v>-993273.00982948544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14">
        <f>'R1 DRE'!K19</f>
        <v>-553251.9</v>
      </c>
      <c r="L24" s="1214">
        <f>'R1 DRE'!L19</f>
        <v>-553251.9</v>
      </c>
      <c r="M24" s="1214">
        <f>'R1 DRE'!M19</f>
        <v>-553251.9</v>
      </c>
      <c r="N24" s="1214">
        <f>'R1 DRE'!N19</f>
        <v>-553251.9</v>
      </c>
      <c r="O24" s="1214">
        <f>'R1 DRE'!O19</f>
        <v>-553251.9</v>
      </c>
      <c r="P24" s="1214">
        <f>'R1 DRE'!P19</f>
        <v>-553251.9</v>
      </c>
      <c r="Q24" s="1214">
        <f>'R1 DRE'!Q19</f>
        <v>-553251.9</v>
      </c>
      <c r="R24" s="1214">
        <f>'R1 DRE'!R19</f>
        <v>-553251.9</v>
      </c>
      <c r="S24" s="1214">
        <f>'R1 DRE'!S19</f>
        <v>-553251.9</v>
      </c>
      <c r="T24" s="1214">
        <f>'R1 DRE'!T19</f>
        <v>-553251.9</v>
      </c>
      <c r="U24" s="1214">
        <f>'R1 DRE'!U19</f>
        <v>-553251.9</v>
      </c>
      <c r="V24" s="1214">
        <f>'R1 DRE'!V19</f>
        <v>-553251.9</v>
      </c>
      <c r="W24" s="1214">
        <f>'R1 DRE'!W19</f>
        <v>-553251.9</v>
      </c>
      <c r="X24" s="1214">
        <f>'R1 DRE'!X19</f>
        <v>-553251.9</v>
      </c>
      <c r="Y24" s="1214">
        <f>'R1 DRE'!Y19</f>
        <v>-553251.9</v>
      </c>
      <c r="Z24" s="1214">
        <f>'R1 DRE'!Z19</f>
        <v>-553251.9</v>
      </c>
      <c r="AA24" s="1214">
        <f>'R1 DRE'!AA19</f>
        <v>-553251.9</v>
      </c>
      <c r="AB24" s="1214">
        <f>'R1 DRE'!AB19</f>
        <v>-553251.9</v>
      </c>
      <c r="AC24" s="1214">
        <f>'R1 DRE'!AC19</f>
        <v>-553251.9</v>
      </c>
      <c r="AD24" s="1214">
        <f>'R1 DRE'!AD19</f>
        <v>-553251.9</v>
      </c>
      <c r="AE24" s="1214">
        <f>'R1 DRE'!AE19</f>
        <v>-553251.9</v>
      </c>
      <c r="AF24" s="1214">
        <f>'R1 DRE'!AF19</f>
        <v>-553251.9</v>
      </c>
      <c r="AG24" s="1215">
        <f t="shared" si="7"/>
        <v>-16472445.540000008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14">
        <f>'R1 DRE'!K20</f>
        <v>-387030.74461918877</v>
      </c>
      <c r="L25" s="1214">
        <f>'R1 DRE'!L20</f>
        <v>-401658.00294591533</v>
      </c>
      <c r="M25" s="1214">
        <f>'R1 DRE'!M20</f>
        <v>-401728.7150956777</v>
      </c>
      <c r="N25" s="1214">
        <f>'R1 DRE'!N20</f>
        <v>-401794.78888514388</v>
      </c>
      <c r="O25" s="1214">
        <f>'R1 DRE'!O20</f>
        <v>-401859.59436818259</v>
      </c>
      <c r="P25" s="1214">
        <f>'R1 DRE'!P20</f>
        <v>-401924.39985122136</v>
      </c>
      <c r="Q25" s="1214">
        <f>'R1 DRE'!Q20</f>
        <v>-401989.20533426024</v>
      </c>
      <c r="R25" s="1214">
        <f>'R1 DRE'!R20</f>
        <v>-402043.81998414529</v>
      </c>
      <c r="S25" s="1214">
        <f>'R1 DRE'!S20</f>
        <v>-402096.74885431846</v>
      </c>
      <c r="T25" s="1214">
        <f>'R1 DRE'!T20</f>
        <v>-402149.52022612467</v>
      </c>
      <c r="U25" s="1214">
        <f>'R1 DRE'!U20</f>
        <v>-402302.29159793071</v>
      </c>
      <c r="V25" s="1214">
        <f>'R1 DRE'!V20</f>
        <v>-402355.06296973687</v>
      </c>
      <c r="W25" s="1214">
        <f>'R1 DRE'!W20</f>
        <v>-402417.270352769</v>
      </c>
      <c r="X25" s="1214">
        <f>'R1 DRE'!X20</f>
        <v>-402466.94887976174</v>
      </c>
      <c r="Y25" s="1214">
        <f>'R1 DRE'!Y20</f>
        <v>-402512.00758811249</v>
      </c>
      <c r="Z25" s="1214">
        <f>'R1 DRE'!Z20</f>
        <v>-402557.06629646337</v>
      </c>
      <c r="AA25" s="1214">
        <f>'R1 DRE'!AA20</f>
        <v>-402602.12500481395</v>
      </c>
      <c r="AB25" s="1214">
        <f>'R1 DRE'!AB20</f>
        <v>-402662.60670065647</v>
      </c>
      <c r="AC25" s="1214">
        <f>'R1 DRE'!AC20</f>
        <v>-402713.99023704906</v>
      </c>
      <c r="AD25" s="1214">
        <f>'R1 DRE'!AD20</f>
        <v>-402762.08232708368</v>
      </c>
      <c r="AE25" s="1214">
        <f>'R1 DRE'!AE20</f>
        <v>-402812.23614160577</v>
      </c>
      <c r="AF25" s="1214">
        <f>'R1 DRE'!AF20</f>
        <v>-402844.88533489278</v>
      </c>
      <c r="AG25" s="1215">
        <f t="shared" si="7"/>
        <v>-11346220.251833245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9">-D17*0.01</f>
        <v>-23487.364306745756</v>
      </c>
      <c r="E26" s="1212">
        <f t="shared" si="9"/>
        <v>-26078.466711710476</v>
      </c>
      <c r="F26" s="1212">
        <f t="shared" si="9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0">-I17*0.005</f>
        <v>-16724.631693002015</v>
      </c>
      <c r="J26" s="1212">
        <f t="shared" si="10"/>
        <v>-18111.511932221227</v>
      </c>
      <c r="K26" s="1212">
        <f t="shared" si="10"/>
        <v>-18628.810329039687</v>
      </c>
      <c r="L26" s="1212">
        <f t="shared" si="10"/>
        <v>-19055.559320920816</v>
      </c>
      <c r="M26" s="1212">
        <f t="shared" si="10"/>
        <v>-19929.383347347535</v>
      </c>
      <c r="N26" s="1212">
        <f t="shared" si="10"/>
        <v>-21268.37378516818</v>
      </c>
      <c r="O26" s="1212">
        <f t="shared" si="10"/>
        <v>-21353.467352231848</v>
      </c>
      <c r="P26" s="1212">
        <f t="shared" si="10"/>
        <v>-21383.097170850986</v>
      </c>
      <c r="Q26" s="1212">
        <f t="shared" si="10"/>
        <v>-21413.793018432782</v>
      </c>
      <c r="R26" s="1212">
        <f t="shared" si="10"/>
        <v>-21442.070599088165</v>
      </c>
      <c r="S26" s="1212">
        <f t="shared" si="10"/>
        <v>-21467.790192445067</v>
      </c>
      <c r="T26" s="1212">
        <f t="shared" si="10"/>
        <v>-21493.370065429892</v>
      </c>
      <c r="U26" s="1212">
        <f t="shared" si="10"/>
        <v>-21518.949938414717</v>
      </c>
      <c r="V26" s="1212">
        <f t="shared" si="10"/>
        <v>-21542.11154447314</v>
      </c>
      <c r="W26" s="1212">
        <f t="shared" si="10"/>
        <v>-21569.969964012307</v>
      </c>
      <c r="X26" s="1212">
        <f t="shared" si="10"/>
        <v>-21598.107824295614</v>
      </c>
      <c r="Y26" s="1212">
        <f t="shared" si="10"/>
        <v>-21618.990883799695</v>
      </c>
      <c r="Z26" s="1212">
        <f t="shared" si="10"/>
        <v>-21639.454782187557</v>
      </c>
      <c r="AA26" s="1212">
        <f t="shared" si="10"/>
        <v>-21659.918680575414</v>
      </c>
      <c r="AB26" s="1212">
        <f t="shared" si="10"/>
        <v>-21685.219112816103</v>
      </c>
      <c r="AC26" s="1212">
        <f t="shared" si="10"/>
        <v>-21710.798985800924</v>
      </c>
      <c r="AD26" s="1212">
        <f t="shared" si="10"/>
        <v>-21733.960591859348</v>
      </c>
      <c r="AE26" s="1212">
        <f t="shared" si="10"/>
        <v>-21759.400744472099</v>
      </c>
      <c r="AF26" s="1212">
        <f t="shared" si="10"/>
        <v>-21777.725816677703</v>
      </c>
      <c r="AG26" s="1213">
        <f>SUM(C26:AF26)</f>
        <v>-632848.7941731849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1">D17+D18+D21+D26</f>
        <v>725356.85352382285</v>
      </c>
      <c r="E27" s="1212">
        <f t="shared" si="11"/>
        <v>761828.63043885329</v>
      </c>
      <c r="F27" s="1212">
        <f t="shared" si="11"/>
        <v>885889.84541072126</v>
      </c>
      <c r="G27" s="1212">
        <f t="shared" si="11"/>
        <v>987003.66554251267</v>
      </c>
      <c r="H27" s="1212">
        <f t="shared" si="11"/>
        <v>1225767.6383017648</v>
      </c>
      <c r="I27" s="1212">
        <f t="shared" si="11"/>
        <v>1571413.730370044</v>
      </c>
      <c r="J27" s="1212">
        <f t="shared" si="11"/>
        <v>1785524.5788743247</v>
      </c>
      <c r="K27" s="1212">
        <f t="shared" si="11"/>
        <v>1873387.5649637892</v>
      </c>
      <c r="L27" s="1212">
        <f t="shared" si="11"/>
        <v>1949782.3351055894</v>
      </c>
      <c r="M27" s="1212">
        <f t="shared" si="11"/>
        <v>2122433.7698161406</v>
      </c>
      <c r="N27" s="1212">
        <f t="shared" si="11"/>
        <v>2387630.4289520704</v>
      </c>
      <c r="O27" s="1212">
        <f t="shared" si="11"/>
        <v>2403696.2730981051</v>
      </c>
      <c r="P27" s="1212">
        <f t="shared" si="11"/>
        <v>2408724.7775791651</v>
      </c>
      <c r="Q27" s="1212">
        <f t="shared" si="11"/>
        <v>2413965.3501337175</v>
      </c>
      <c r="R27" s="1212">
        <f t="shared" si="11"/>
        <v>2418851.4664326911</v>
      </c>
      <c r="S27" s="1212">
        <f t="shared" si="11"/>
        <v>2423284.060457394</v>
      </c>
      <c r="T27" s="1212">
        <f t="shared" si="11"/>
        <v>2427666.7197744898</v>
      </c>
      <c r="U27" s="1212">
        <f t="shared" si="11"/>
        <v>2431950.9002844905</v>
      </c>
      <c r="V27" s="1212">
        <f t="shared" si="11"/>
        <v>2435855.8558461796</v>
      </c>
      <c r="W27" s="1212">
        <f t="shared" si="11"/>
        <v>2440563.6193167381</v>
      </c>
      <c r="X27" s="1212">
        <f t="shared" si="11"/>
        <v>2445507.4438912878</v>
      </c>
      <c r="Y27" s="1212">
        <f t="shared" si="11"/>
        <v>2449059.9256421025</v>
      </c>
      <c r="Z27" s="1212">
        <f t="shared" si="11"/>
        <v>2452527.0304065621</v>
      </c>
      <c r="AA27" s="1212">
        <f t="shared" si="11"/>
        <v>2455993.7326724264</v>
      </c>
      <c r="AB27" s="1212">
        <f t="shared" si="11"/>
        <v>2460152.5439208224</v>
      </c>
      <c r="AC27" s="1212">
        <f t="shared" si="11"/>
        <v>2464616.1436657263</v>
      </c>
      <c r="AD27" s="1212">
        <f t="shared" si="11"/>
        <v>2468576.2589944121</v>
      </c>
      <c r="AE27" s="1212">
        <f t="shared" si="11"/>
        <v>2472956.1238857051</v>
      </c>
      <c r="AF27" s="1212">
        <f t="shared" si="11"/>
        <v>2476179.0505052693</v>
      </c>
      <c r="AG27" s="1213">
        <f t="shared" ref="AG27:AG33" si="12">SUM(C27:AF27)</f>
        <v>60570598.777303025</v>
      </c>
    </row>
    <row r="28" spans="1:36" s="1127" customFormat="1" ht="20.25" customHeight="1">
      <c r="B28" s="1128" t="s">
        <v>221</v>
      </c>
      <c r="C28" s="1211">
        <f t="array" ref="C28:AF28">-TRANSPOSE('E4 R2 DEPR'!AH10:AH39)</f>
        <v>0</v>
      </c>
      <c r="D28" s="1211">
        <v>-19422.835502517231</v>
      </c>
      <c r="E28" s="1211">
        <v>-31767.091368703179</v>
      </c>
      <c r="F28" s="1211">
        <v>-42964.776963557146</v>
      </c>
      <c r="G28" s="1211">
        <v>-96570.054420457061</v>
      </c>
      <c r="H28" s="1211">
        <v>-304965.65942868049</v>
      </c>
      <c r="I28" s="1211">
        <v>-336115.88395283534</v>
      </c>
      <c r="J28" s="1211">
        <v>-410598.73293398408</v>
      </c>
      <c r="K28" s="1211">
        <v>-464768.81591013516</v>
      </c>
      <c r="L28" s="1211">
        <v>-556395.76442628633</v>
      </c>
      <c r="M28" s="1211">
        <v>-606384.66795427434</v>
      </c>
      <c r="N28" s="1211">
        <v>-746042.85109225672</v>
      </c>
      <c r="O28" s="1211">
        <v>-876765.64028621197</v>
      </c>
      <c r="P28" s="1211">
        <v>-880788.39050692588</v>
      </c>
      <c r="Q28" s="1211">
        <v>-885062.56261643441</v>
      </c>
      <c r="R28" s="1211">
        <v>-889621.67953324353</v>
      </c>
      <c r="S28" s="1211">
        <v>-894128.73337268189</v>
      </c>
      <c r="T28" s="1211">
        <v>-898982.48366130784</v>
      </c>
      <c r="U28" s="1211">
        <v>-904240.71314065251</v>
      </c>
      <c r="V28" s="1211">
        <v>-909976.96348175581</v>
      </c>
      <c r="W28" s="1211">
        <v>-916286.83885696949</v>
      </c>
      <c r="X28" s="1211">
        <v>-923930.5892738736</v>
      </c>
      <c r="Y28" s="1211">
        <v>-931360.43349289068</v>
      </c>
      <c r="Z28" s="1211">
        <v>-939851.68402891024</v>
      </c>
      <c r="AA28" s="1211">
        <v>-949758.14298759971</v>
      </c>
      <c r="AB28" s="1211">
        <v>-961645.89373802708</v>
      </c>
      <c r="AC28" s="1211">
        <v>-978844.33217606123</v>
      </c>
      <c r="AD28" s="1211">
        <v>-998928.58342677343</v>
      </c>
      <c r="AE28" s="1211">
        <v>-1029461.9603028417</v>
      </c>
      <c r="AF28" s="1211">
        <v>-1151193.962051711</v>
      </c>
      <c r="AG28" s="1217">
        <f t="shared" si="12"/>
        <v>-20536826.720888559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3">D27+D28</f>
        <v>705934.01802130567</v>
      </c>
      <c r="E29" s="1212">
        <f t="shared" si="13"/>
        <v>730061.53907015012</v>
      </c>
      <c r="F29" s="1212">
        <f t="shared" si="13"/>
        <v>842925.06844716414</v>
      </c>
      <c r="G29" s="1212">
        <f t="shared" si="13"/>
        <v>890433.61112205556</v>
      </c>
      <c r="H29" s="1212">
        <f t="shared" si="13"/>
        <v>920801.9788730843</v>
      </c>
      <c r="I29" s="1212">
        <f t="shared" si="13"/>
        <v>1235297.8464172087</v>
      </c>
      <c r="J29" s="1212">
        <f t="shared" si="13"/>
        <v>1374925.8459403405</v>
      </c>
      <c r="K29" s="1212">
        <f t="shared" si="13"/>
        <v>1408618.749053654</v>
      </c>
      <c r="L29" s="1212">
        <f t="shared" si="13"/>
        <v>1393386.570679303</v>
      </c>
      <c r="M29" s="1212">
        <f t="shared" si="13"/>
        <v>1516049.1018618662</v>
      </c>
      <c r="N29" s="1212">
        <f t="shared" si="13"/>
        <v>1641587.5778598138</v>
      </c>
      <c r="O29" s="1212">
        <f t="shared" si="13"/>
        <v>1526930.6328118932</v>
      </c>
      <c r="P29" s="1212">
        <f t="shared" si="13"/>
        <v>1527936.3870722391</v>
      </c>
      <c r="Q29" s="1212">
        <f t="shared" si="13"/>
        <v>1528902.7875172831</v>
      </c>
      <c r="R29" s="1212">
        <f t="shared" si="13"/>
        <v>1529229.7868994474</v>
      </c>
      <c r="S29" s="1212">
        <f t="shared" si="13"/>
        <v>1529155.3270847122</v>
      </c>
      <c r="T29" s="1212">
        <f t="shared" si="13"/>
        <v>1528684.2361131818</v>
      </c>
      <c r="U29" s="1212">
        <f t="shared" si="13"/>
        <v>1527710.187143838</v>
      </c>
      <c r="V29" s="1212">
        <f t="shared" si="13"/>
        <v>1525878.8923644237</v>
      </c>
      <c r="W29" s="1212">
        <f t="shared" si="13"/>
        <v>1524276.7804597686</v>
      </c>
      <c r="X29" s="1212">
        <f t="shared" si="13"/>
        <v>1521576.8546174141</v>
      </c>
      <c r="Y29" s="1212">
        <f t="shared" si="13"/>
        <v>1517699.4921492119</v>
      </c>
      <c r="Z29" s="1212">
        <f t="shared" si="13"/>
        <v>1512675.3463776519</v>
      </c>
      <c r="AA29" s="1212">
        <f t="shared" si="13"/>
        <v>1506235.5896848268</v>
      </c>
      <c r="AB29" s="1212">
        <f t="shared" si="13"/>
        <v>1498506.6501827952</v>
      </c>
      <c r="AC29" s="1212">
        <f t="shared" si="13"/>
        <v>1485771.8114896649</v>
      </c>
      <c r="AD29" s="1212">
        <f t="shared" si="13"/>
        <v>1469647.6755676386</v>
      </c>
      <c r="AE29" s="1212">
        <f t="shared" si="13"/>
        <v>1443494.1635828633</v>
      </c>
      <c r="AF29" s="1212">
        <f t="shared" si="13"/>
        <v>1324985.0884535583</v>
      </c>
      <c r="AG29" s="1213">
        <f t="shared" si="12"/>
        <v>40033772.056414485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4">D31+D32</f>
        <v>-216017.56612724392</v>
      </c>
      <c r="E30" s="1212">
        <f t="shared" si="14"/>
        <v>-224220.92328385104</v>
      </c>
      <c r="F30" s="1212">
        <f t="shared" si="14"/>
        <v>-262594.52327203582</v>
      </c>
      <c r="G30" s="1212">
        <f t="shared" si="14"/>
        <v>-278747.42778149887</v>
      </c>
      <c r="H30" s="1212">
        <f t="shared" si="14"/>
        <v>-289072.67281684867</v>
      </c>
      <c r="I30" s="1212">
        <f t="shared" si="14"/>
        <v>-396001.26778185094</v>
      </c>
      <c r="J30" s="1212">
        <f t="shared" si="14"/>
        <v>-443474.78761971579</v>
      </c>
      <c r="K30" s="1212">
        <f t="shared" si="14"/>
        <v>-454930.37467824237</v>
      </c>
      <c r="L30" s="1212">
        <f t="shared" si="14"/>
        <v>-449751.43403096299</v>
      </c>
      <c r="M30" s="1212">
        <f t="shared" si="14"/>
        <v>-491456.69463303452</v>
      </c>
      <c r="N30" s="1212">
        <f t="shared" si="14"/>
        <v>-534139.77647233673</v>
      </c>
      <c r="O30" s="1212">
        <f t="shared" si="14"/>
        <v>-495156.41515604372</v>
      </c>
      <c r="P30" s="1212">
        <f t="shared" si="14"/>
        <v>-495498.37160456128</v>
      </c>
      <c r="Q30" s="1212">
        <f t="shared" si="14"/>
        <v>-495826.94775587623</v>
      </c>
      <c r="R30" s="1212">
        <f t="shared" si="14"/>
        <v>-495938.12754581217</v>
      </c>
      <c r="S30" s="1212">
        <f t="shared" si="14"/>
        <v>-495912.81120880216</v>
      </c>
      <c r="T30" s="1212">
        <f t="shared" si="14"/>
        <v>-495752.64027848182</v>
      </c>
      <c r="U30" s="1212">
        <f t="shared" si="14"/>
        <v>-495421.46362890489</v>
      </c>
      <c r="V30" s="1212">
        <f t="shared" si="14"/>
        <v>-494798.8234039041</v>
      </c>
      <c r="W30" s="1212">
        <f t="shared" si="14"/>
        <v>-494254.10535632132</v>
      </c>
      <c r="X30" s="1212">
        <f t="shared" si="14"/>
        <v>-493336.13056992076</v>
      </c>
      <c r="Y30" s="1212">
        <f t="shared" si="14"/>
        <v>-492017.82733073202</v>
      </c>
      <c r="Z30" s="1212">
        <f t="shared" si="14"/>
        <v>-490309.61776840163</v>
      </c>
      <c r="AA30" s="1212">
        <f t="shared" si="14"/>
        <v>-488120.1004928411</v>
      </c>
      <c r="AB30" s="1212">
        <f t="shared" si="14"/>
        <v>-485492.26106215036</v>
      </c>
      <c r="AC30" s="1212">
        <f t="shared" si="14"/>
        <v>-481162.4159064861</v>
      </c>
      <c r="AD30" s="1212">
        <f t="shared" si="14"/>
        <v>-475680.20969299716</v>
      </c>
      <c r="AE30" s="1212">
        <f t="shared" si="14"/>
        <v>-466788.01561817352</v>
      </c>
      <c r="AF30" s="1212">
        <f t="shared" si="14"/>
        <v>-426494.93007420981</v>
      </c>
      <c r="AG30" s="1213">
        <f t="shared" si="12"/>
        <v>-12798368.662952242</v>
      </c>
    </row>
    <row r="31" spans="1:36" s="89" customFormat="1" ht="20.25" customHeight="1">
      <c r="B31" s="477" t="s">
        <v>224</v>
      </c>
      <c r="C31" s="1214"/>
      <c r="D31" s="1214">
        <f t="shared" ref="D31:AF31" si="15">-((D29*0.15)+((D29-240000)*0.1))</f>
        <v>-152483.50450532642</v>
      </c>
      <c r="E31" s="1214">
        <f t="shared" si="15"/>
        <v>-158515.38476753753</v>
      </c>
      <c r="F31" s="1214">
        <f t="shared" si="15"/>
        <v>-186731.26711179104</v>
      </c>
      <c r="G31" s="1214">
        <f t="shared" si="15"/>
        <v>-198608.40278051386</v>
      </c>
      <c r="H31" s="1214">
        <f t="shared" si="15"/>
        <v>-206200.49471827107</v>
      </c>
      <c r="I31" s="1214">
        <f t="shared" si="15"/>
        <v>-284824.46160430217</v>
      </c>
      <c r="J31" s="1214">
        <f t="shared" si="15"/>
        <v>-319731.46148508514</v>
      </c>
      <c r="K31" s="1214">
        <f t="shared" si="15"/>
        <v>-328154.68726341351</v>
      </c>
      <c r="L31" s="1214">
        <f t="shared" si="15"/>
        <v>-324346.64266982576</v>
      </c>
      <c r="M31" s="1214">
        <f t="shared" si="15"/>
        <v>-355012.27546546655</v>
      </c>
      <c r="N31" s="1214">
        <f t="shared" si="15"/>
        <v>-386396.89446495345</v>
      </c>
      <c r="O31" s="1214">
        <f t="shared" si="15"/>
        <v>-357732.65820297331</v>
      </c>
      <c r="P31" s="1214">
        <f t="shared" si="15"/>
        <v>-357984.09676805977</v>
      </c>
      <c r="Q31" s="1214">
        <f t="shared" si="15"/>
        <v>-358225.69687932078</v>
      </c>
      <c r="R31" s="1214">
        <f t="shared" si="15"/>
        <v>-358307.44672486186</v>
      </c>
      <c r="S31" s="1214">
        <f t="shared" si="15"/>
        <v>-358288.83177117805</v>
      </c>
      <c r="T31" s="1214">
        <f t="shared" si="15"/>
        <v>-358171.05902829545</v>
      </c>
      <c r="U31" s="1214">
        <f t="shared" si="15"/>
        <v>-357927.54678595951</v>
      </c>
      <c r="V31" s="1214">
        <f t="shared" si="15"/>
        <v>-357469.72309110593</v>
      </c>
      <c r="W31" s="1214">
        <f t="shared" si="15"/>
        <v>-357069.19511494215</v>
      </c>
      <c r="X31" s="1214">
        <f t="shared" si="15"/>
        <v>-356394.21365435352</v>
      </c>
      <c r="Y31" s="1214">
        <f t="shared" si="15"/>
        <v>-355424.87303730298</v>
      </c>
      <c r="Z31" s="1214">
        <f t="shared" si="15"/>
        <v>-354168.83659441298</v>
      </c>
      <c r="AA31" s="1214">
        <f t="shared" si="15"/>
        <v>-352558.8974212067</v>
      </c>
      <c r="AB31" s="1214">
        <f t="shared" si="15"/>
        <v>-350626.66254569881</v>
      </c>
      <c r="AC31" s="1214">
        <f t="shared" si="15"/>
        <v>-347442.95287241624</v>
      </c>
      <c r="AD31" s="1214">
        <f t="shared" si="15"/>
        <v>-343411.91889190965</v>
      </c>
      <c r="AE31" s="1214">
        <f t="shared" si="15"/>
        <v>-336873.54089571582</v>
      </c>
      <c r="AF31" s="1214">
        <f t="shared" si="15"/>
        <v>-307246.27211338957</v>
      </c>
      <c r="AG31" s="1213">
        <f t="shared" si="12"/>
        <v>-9226329.8992295898</v>
      </c>
    </row>
    <row r="32" spans="1:36" s="89" customFormat="1" ht="20.25" customHeight="1">
      <c r="B32" s="477" t="s">
        <v>225</v>
      </c>
      <c r="C32" s="1214"/>
      <c r="D32" s="1214">
        <f t="shared" ref="D32:AF32" si="16">-(D29*0.09)</f>
        <v>-63534.061621917506</v>
      </c>
      <c r="E32" s="1214">
        <f t="shared" si="16"/>
        <v>-65705.538516313507</v>
      </c>
      <c r="F32" s="1214">
        <f t="shared" si="16"/>
        <v>-75863.256160244768</v>
      </c>
      <c r="G32" s="1214">
        <f t="shared" si="16"/>
        <v>-80139.025000984999</v>
      </c>
      <c r="H32" s="1214">
        <f t="shared" si="16"/>
        <v>-82872.178098577584</v>
      </c>
      <c r="I32" s="1214">
        <f t="shared" si="16"/>
        <v>-111176.80617754877</v>
      </c>
      <c r="J32" s="1214">
        <f t="shared" si="16"/>
        <v>-123743.32613463064</v>
      </c>
      <c r="K32" s="1214">
        <f t="shared" si="16"/>
        <v>-126775.68741482886</v>
      </c>
      <c r="L32" s="1214">
        <f t="shared" si="16"/>
        <v>-125404.79136113726</v>
      </c>
      <c r="M32" s="1214">
        <f t="shared" si="16"/>
        <v>-136444.41916756795</v>
      </c>
      <c r="N32" s="1214">
        <f t="shared" si="16"/>
        <v>-147742.88200738325</v>
      </c>
      <c r="O32" s="1214">
        <f t="shared" si="16"/>
        <v>-137423.75695307038</v>
      </c>
      <c r="P32" s="1214">
        <f t="shared" si="16"/>
        <v>-137514.27483650151</v>
      </c>
      <c r="Q32" s="1214">
        <f t="shared" si="16"/>
        <v>-137601.25087655548</v>
      </c>
      <c r="R32" s="1214">
        <f t="shared" si="16"/>
        <v>-137630.68082095028</v>
      </c>
      <c r="S32" s="1214">
        <f t="shared" si="16"/>
        <v>-137623.9794376241</v>
      </c>
      <c r="T32" s="1214">
        <f t="shared" si="16"/>
        <v>-137581.58125018637</v>
      </c>
      <c r="U32" s="1214">
        <f t="shared" si="16"/>
        <v>-137493.91684294541</v>
      </c>
      <c r="V32" s="1214">
        <f t="shared" si="16"/>
        <v>-137329.10031279814</v>
      </c>
      <c r="W32" s="1214">
        <f t="shared" si="16"/>
        <v>-137184.91024137917</v>
      </c>
      <c r="X32" s="1214">
        <f t="shared" si="16"/>
        <v>-136941.91691556727</v>
      </c>
      <c r="Y32" s="1214">
        <f t="shared" si="16"/>
        <v>-136592.95429342907</v>
      </c>
      <c r="Z32" s="1214">
        <f t="shared" si="16"/>
        <v>-136140.78117398865</v>
      </c>
      <c r="AA32" s="1214">
        <f t="shared" si="16"/>
        <v>-135561.2030716344</v>
      </c>
      <c r="AB32" s="1214">
        <f t="shared" si="16"/>
        <v>-134865.59851645157</v>
      </c>
      <c r="AC32" s="1214">
        <f t="shared" si="16"/>
        <v>-133719.46303406983</v>
      </c>
      <c r="AD32" s="1214">
        <f t="shared" si="16"/>
        <v>-132268.29080108748</v>
      </c>
      <c r="AE32" s="1214">
        <f t="shared" si="16"/>
        <v>-129914.47472245769</v>
      </c>
      <c r="AF32" s="1214">
        <f t="shared" si="16"/>
        <v>-119248.65796082024</v>
      </c>
      <c r="AG32" s="1213">
        <f t="shared" si="12"/>
        <v>-3572038.7637226516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7">D29+D30</f>
        <v>489916.45189406176</v>
      </c>
      <c r="E33" s="1219">
        <f t="shared" si="17"/>
        <v>505840.61578629911</v>
      </c>
      <c r="F33" s="1219">
        <f t="shared" si="17"/>
        <v>580330.54517512838</v>
      </c>
      <c r="G33" s="1219">
        <f t="shared" si="17"/>
        <v>611686.18334055669</v>
      </c>
      <c r="H33" s="1219">
        <f t="shared" si="17"/>
        <v>631729.30605623568</v>
      </c>
      <c r="I33" s="1219">
        <f t="shared" si="17"/>
        <v>839296.57863535779</v>
      </c>
      <c r="J33" s="1219">
        <f t="shared" si="17"/>
        <v>931451.05832062475</v>
      </c>
      <c r="K33" s="1219">
        <f t="shared" si="17"/>
        <v>953688.37437541166</v>
      </c>
      <c r="L33" s="1219">
        <f t="shared" si="17"/>
        <v>943635.13664834003</v>
      </c>
      <c r="M33" s="1219">
        <f t="shared" si="17"/>
        <v>1024592.4072288317</v>
      </c>
      <c r="N33" s="1219">
        <f t="shared" si="17"/>
        <v>1107447.8013874772</v>
      </c>
      <c r="O33" s="1219">
        <f t="shared" si="17"/>
        <v>1031774.2176558495</v>
      </c>
      <c r="P33" s="1219">
        <f t="shared" si="17"/>
        <v>1032438.0154676777</v>
      </c>
      <c r="Q33" s="1219">
        <f t="shared" si="17"/>
        <v>1033075.8397614069</v>
      </c>
      <c r="R33" s="1219">
        <f t="shared" si="17"/>
        <v>1033291.6593536353</v>
      </c>
      <c r="S33" s="1219">
        <f t="shared" si="17"/>
        <v>1033242.5158759101</v>
      </c>
      <c r="T33" s="1219">
        <f t="shared" si="17"/>
        <v>1032931.5958346999</v>
      </c>
      <c r="U33" s="1219">
        <f t="shared" si="17"/>
        <v>1032288.7235149331</v>
      </c>
      <c r="V33" s="1219">
        <f t="shared" si="17"/>
        <v>1031080.0689605196</v>
      </c>
      <c r="W33" s="1219">
        <f t="shared" si="17"/>
        <v>1030022.6751034473</v>
      </c>
      <c r="X33" s="1219">
        <f t="shared" si="17"/>
        <v>1028240.7240474933</v>
      </c>
      <c r="Y33" s="1219">
        <f t="shared" si="17"/>
        <v>1025681.6648184799</v>
      </c>
      <c r="Z33" s="1219">
        <f t="shared" si="17"/>
        <v>1022365.7286092503</v>
      </c>
      <c r="AA33" s="1219">
        <f t="shared" si="17"/>
        <v>1018115.4891919857</v>
      </c>
      <c r="AB33" s="1219">
        <f t="shared" si="17"/>
        <v>1013014.3891206449</v>
      </c>
      <c r="AC33" s="1219">
        <f t="shared" si="17"/>
        <v>1004609.3955831788</v>
      </c>
      <c r="AD33" s="1219">
        <f t="shared" si="17"/>
        <v>993967.46587464144</v>
      </c>
      <c r="AE33" s="1219">
        <f t="shared" si="17"/>
        <v>976706.14796468976</v>
      </c>
      <c r="AF33" s="1219">
        <f t="shared" si="17"/>
        <v>898490.15837934846</v>
      </c>
      <c r="AG33" s="1220">
        <f t="shared" si="12"/>
        <v>27235403.393462237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138120.29683096264</v>
      </c>
      <c r="I35" s="135">
        <f t="shared" si="18"/>
        <v>185294.67696258129</v>
      </c>
      <c r="J35" s="135">
        <f t="shared" si="18"/>
        <v>206238.87689105107</v>
      </c>
      <c r="K35" s="135">
        <f t="shared" si="18"/>
        <v>211292.8123580481</v>
      </c>
      <c r="L35" s="135">
        <f t="shared" si="18"/>
        <v>209007.98560189546</v>
      </c>
      <c r="M35" s="135">
        <f t="shared" si="18"/>
        <v>227407.36527927991</v>
      </c>
      <c r="N35" s="135">
        <f t="shared" si="18"/>
        <v>246238.13667897205</v>
      </c>
      <c r="O35" s="135">
        <f t="shared" si="18"/>
        <v>229039.59492178398</v>
      </c>
      <c r="P35" s="135">
        <f t="shared" si="18"/>
        <v>229190.45806083587</v>
      </c>
      <c r="Q35" s="135">
        <f t="shared" si="18"/>
        <v>229335.41812759245</v>
      </c>
      <c r="R35" s="135">
        <f t="shared" si="18"/>
        <v>229384.46803491711</v>
      </c>
      <c r="S35" s="135">
        <f t="shared" si="18"/>
        <v>229373.29906270682</v>
      </c>
      <c r="T35" s="135">
        <f t="shared" si="18"/>
        <v>229302.63541697725</v>
      </c>
      <c r="U35" s="135">
        <f t="shared" si="18"/>
        <v>229156.52807157571</v>
      </c>
      <c r="V35" s="135">
        <f t="shared" si="18"/>
        <v>228881.83385466356</v>
      </c>
      <c r="W35" s="135">
        <f t="shared" si="18"/>
        <v>228641.51706896527</v>
      </c>
      <c r="X35" s="135">
        <f t="shared" si="18"/>
        <v>228236.52819261211</v>
      </c>
      <c r="Y35" s="135">
        <f t="shared" si="18"/>
        <v>227654.9238223818</v>
      </c>
      <c r="Z35" s="135">
        <f t="shared" si="18"/>
        <v>226901.30195664777</v>
      </c>
      <c r="AA35" s="135">
        <f t="shared" si="18"/>
        <v>225935.33845272401</v>
      </c>
      <c r="AB35" s="135">
        <f t="shared" si="18"/>
        <v>224775.99752741927</v>
      </c>
      <c r="AC35" s="135">
        <f t="shared" si="18"/>
        <v>222865.77172344972</v>
      </c>
      <c r="AD35" s="135">
        <f t="shared" si="18"/>
        <v>220447.15133514578</v>
      </c>
      <c r="AE35" s="135">
        <f t="shared" si="18"/>
        <v>216524.12453742948</v>
      </c>
      <c r="AF35" s="135">
        <f t="shared" si="18"/>
        <v>198747.76326803374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68080.19788730843</v>
      </c>
      <c r="I36" s="135">
        <f t="shared" si="19"/>
        <v>99529.784641720878</v>
      </c>
      <c r="J36" s="135">
        <f t="shared" si="19"/>
        <v>113492.58459403407</v>
      </c>
      <c r="K36" s="135">
        <f t="shared" si="19"/>
        <v>116861.8749053654</v>
      </c>
      <c r="L36" s="135">
        <f t="shared" si="19"/>
        <v>115338.65706793031</v>
      </c>
      <c r="M36" s="135">
        <f t="shared" si="19"/>
        <v>127604.91018618662</v>
      </c>
      <c r="N36" s="135">
        <f t="shared" si="19"/>
        <v>140158.75778598138</v>
      </c>
      <c r="O36" s="135">
        <f t="shared" si="19"/>
        <v>128693.06328118933</v>
      </c>
      <c r="P36" s="135">
        <f t="shared" si="19"/>
        <v>128793.63870722392</v>
      </c>
      <c r="Q36" s="135">
        <f t="shared" si="19"/>
        <v>128890.27875172831</v>
      </c>
      <c r="R36" s="135">
        <f t="shared" si="19"/>
        <v>128922.97868994475</v>
      </c>
      <c r="S36" s="135">
        <f t="shared" si="19"/>
        <v>128915.53270847123</v>
      </c>
      <c r="T36" s="135">
        <f t="shared" si="19"/>
        <v>128868.42361131818</v>
      </c>
      <c r="U36" s="135">
        <f t="shared" si="19"/>
        <v>128771.01871438381</v>
      </c>
      <c r="V36" s="135">
        <f t="shared" si="19"/>
        <v>128587.88923644238</v>
      </c>
      <c r="W36" s="135">
        <f t="shared" si="19"/>
        <v>128427.67804597686</v>
      </c>
      <c r="X36" s="135">
        <f t="shared" si="19"/>
        <v>128157.68546174141</v>
      </c>
      <c r="Y36" s="135">
        <f t="shared" si="19"/>
        <v>127769.9492149212</v>
      </c>
      <c r="Z36" s="135">
        <f t="shared" si="19"/>
        <v>127267.5346377652</v>
      </c>
      <c r="AA36" s="135">
        <f t="shared" si="19"/>
        <v>126623.55896848268</v>
      </c>
      <c r="AB36" s="135">
        <f t="shared" si="19"/>
        <v>125850.66501827953</v>
      </c>
      <c r="AC36" s="135">
        <f t="shared" si="19"/>
        <v>124577.1811489665</v>
      </c>
      <c r="AD36" s="135">
        <f t="shared" si="19"/>
        <v>122964.76755676387</v>
      </c>
      <c r="AE36" s="135">
        <f t="shared" si="19"/>
        <v>120349.41635828634</v>
      </c>
      <c r="AF36" s="135">
        <f t="shared" si="19"/>
        <v>108498.50884535583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206200.49471827107</v>
      </c>
      <c r="I37" s="135">
        <f t="shared" si="20"/>
        <v>284824.46160430217</v>
      </c>
      <c r="J37" s="135">
        <f t="shared" si="20"/>
        <v>319731.46148508514</v>
      </c>
      <c r="K37" s="135">
        <f t="shared" si="20"/>
        <v>328154.68726341351</v>
      </c>
      <c r="L37" s="135">
        <f t="shared" si="20"/>
        <v>324346.64266982576</v>
      </c>
      <c r="M37" s="135">
        <f t="shared" si="20"/>
        <v>355012.27546546655</v>
      </c>
      <c r="N37" s="135">
        <f t="shared" si="20"/>
        <v>386396.89446495345</v>
      </c>
      <c r="O37" s="135">
        <f t="shared" si="20"/>
        <v>357732.65820297331</v>
      </c>
      <c r="P37" s="135">
        <f t="shared" si="20"/>
        <v>357984.09676805977</v>
      </c>
      <c r="Q37" s="135">
        <f t="shared" si="20"/>
        <v>358225.69687932078</v>
      </c>
      <c r="R37" s="135">
        <f t="shared" si="20"/>
        <v>358307.44672486186</v>
      </c>
      <c r="S37" s="135">
        <f t="shared" si="20"/>
        <v>358288.83177117805</v>
      </c>
      <c r="T37" s="135">
        <f t="shared" si="20"/>
        <v>358171.05902829545</v>
      </c>
      <c r="U37" s="135">
        <f t="shared" si="20"/>
        <v>357927.54678595951</v>
      </c>
      <c r="V37" s="135">
        <f t="shared" si="20"/>
        <v>357469.72309110593</v>
      </c>
      <c r="W37" s="135">
        <f t="shared" si="20"/>
        <v>357069.19511494215</v>
      </c>
      <c r="X37" s="135">
        <f t="shared" si="20"/>
        <v>356394.21365435352</v>
      </c>
      <c r="Y37" s="135">
        <f t="shared" si="20"/>
        <v>355424.87303730298</v>
      </c>
      <c r="Z37" s="135">
        <f t="shared" si="20"/>
        <v>354168.83659441298</v>
      </c>
      <c r="AA37" s="135">
        <f t="shared" si="20"/>
        <v>352558.8974212067</v>
      </c>
      <c r="AB37" s="135">
        <f t="shared" si="20"/>
        <v>350626.66254569881</v>
      </c>
      <c r="AC37" s="135">
        <f t="shared" si="20"/>
        <v>347442.95287241624</v>
      </c>
      <c r="AD37" s="135">
        <f t="shared" si="20"/>
        <v>343411.91889190965</v>
      </c>
      <c r="AE37" s="135">
        <f t="shared" si="20"/>
        <v>336873.54089571582</v>
      </c>
      <c r="AF37" s="135">
        <f t="shared" si="20"/>
        <v>307246.27211338957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2">D27</f>
        <v>725356.85352382285</v>
      </c>
      <c r="E45" s="1227">
        <f t="shared" si="22"/>
        <v>761828.63043885329</v>
      </c>
      <c r="F45" s="1227">
        <f t="shared" si="22"/>
        <v>885889.84541072126</v>
      </c>
      <c r="G45" s="1227">
        <f t="shared" si="22"/>
        <v>987003.66554251267</v>
      </c>
      <c r="H45" s="1227">
        <f t="shared" si="22"/>
        <v>1225767.6383017648</v>
      </c>
      <c r="I45" s="1227">
        <f t="shared" si="22"/>
        <v>1571413.730370044</v>
      </c>
      <c r="J45" s="1227">
        <f t="shared" si="22"/>
        <v>1785524.5788743247</v>
      </c>
      <c r="K45" s="1227">
        <f t="shared" si="22"/>
        <v>1873387.5649637892</v>
      </c>
      <c r="L45" s="1227">
        <f t="shared" si="22"/>
        <v>1949782.3351055894</v>
      </c>
      <c r="M45" s="1227">
        <f t="shared" si="22"/>
        <v>2122433.7698161406</v>
      </c>
      <c r="N45" s="1227">
        <f t="shared" si="22"/>
        <v>2387630.4289520704</v>
      </c>
      <c r="O45" s="1227">
        <f t="shared" si="22"/>
        <v>2403696.2730981051</v>
      </c>
      <c r="P45" s="1227">
        <f t="shared" si="22"/>
        <v>2408724.7775791651</v>
      </c>
      <c r="Q45" s="1227">
        <f t="shared" si="22"/>
        <v>2413965.3501337175</v>
      </c>
      <c r="R45" s="1227">
        <f t="shared" si="22"/>
        <v>2418851.4664326911</v>
      </c>
      <c r="S45" s="1227">
        <f t="shared" si="22"/>
        <v>2423284.060457394</v>
      </c>
      <c r="T45" s="1227">
        <f t="shared" si="22"/>
        <v>2427666.7197744898</v>
      </c>
      <c r="U45" s="1227">
        <f t="shared" si="22"/>
        <v>2431950.9002844905</v>
      </c>
      <c r="V45" s="1227">
        <f t="shared" si="22"/>
        <v>2435855.8558461796</v>
      </c>
      <c r="W45" s="1227">
        <f t="shared" si="22"/>
        <v>2440563.6193167381</v>
      </c>
      <c r="X45" s="1227">
        <f t="shared" si="22"/>
        <v>2445507.4438912878</v>
      </c>
      <c r="Y45" s="1227">
        <f t="shared" si="22"/>
        <v>2449059.9256421025</v>
      </c>
      <c r="Z45" s="1227">
        <f t="shared" si="22"/>
        <v>2452527.0304065621</v>
      </c>
      <c r="AA45" s="1227">
        <f t="shared" si="22"/>
        <v>2455993.7326724264</v>
      </c>
      <c r="AB45" s="1227">
        <f t="shared" si="22"/>
        <v>2460152.5439208224</v>
      </c>
      <c r="AC45" s="1227">
        <f t="shared" si="22"/>
        <v>2464616.1436657263</v>
      </c>
      <c r="AD45" s="1227">
        <f t="shared" si="22"/>
        <v>2468576.2589944121</v>
      </c>
      <c r="AE45" s="1227">
        <f t="shared" si="22"/>
        <v>2472956.1238857051</v>
      </c>
      <c r="AF45" s="1227">
        <f t="shared" si="22"/>
        <v>2476179.0505052693</v>
      </c>
      <c r="AG45" s="1229">
        <f>SUM(C45:AF45)</f>
        <v>60570598.777303025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6" si="23">SUM(C46:AF46)</f>
        <v>0</v>
      </c>
    </row>
    <row r="47" spans="2:34" s="205" customFormat="1" ht="21" customHeight="1">
      <c r="B47" s="468" t="s">
        <v>229</v>
      </c>
      <c r="C47" s="1212">
        <f t="shared" ref="C47:AF47" si="24">C48+C53</f>
        <v>-563262.22957299976</v>
      </c>
      <c r="D47" s="1212">
        <f t="shared" si="24"/>
        <v>-561656.73038045038</v>
      </c>
      <c r="E47" s="1212">
        <f t="shared" si="24"/>
        <v>-526558.43434490811</v>
      </c>
      <c r="F47" s="1212">
        <f t="shared" si="24"/>
        <v>-1656331.7371514337</v>
      </c>
      <c r="G47" s="1212">
        <f t="shared" si="24"/>
        <v>-5488637.5529870847</v>
      </c>
      <c r="H47" s="1212">
        <f t="shared" si="24"/>
        <v>-1036678.0613965648</v>
      </c>
      <c r="I47" s="1212">
        <f t="shared" si="24"/>
        <v>-2109106.7943482725</v>
      </c>
      <c r="J47" s="1212">
        <f t="shared" si="24"/>
        <v>-1635216.61309504</v>
      </c>
      <c r="K47" s="1212">
        <f t="shared" si="24"/>
        <v>-2379096.2935174177</v>
      </c>
      <c r="L47" s="1212">
        <f t="shared" si="24"/>
        <v>-1449529.5045907237</v>
      </c>
      <c r="M47" s="1212">
        <f t="shared" si="24"/>
        <v>-3144962.1742547001</v>
      </c>
      <c r="N47" s="1212">
        <f t="shared" si="24"/>
        <v>-2887149.9819635311</v>
      </c>
      <c r="O47" s="1212">
        <f t="shared" si="24"/>
        <v>-563543.16890818032</v>
      </c>
      <c r="P47" s="1212">
        <f t="shared" si="24"/>
        <v>-563885.12535669783</v>
      </c>
      <c r="Q47" s="1212">
        <f t="shared" si="24"/>
        <v>-564213.70150801283</v>
      </c>
      <c r="R47" s="1212">
        <f t="shared" si="24"/>
        <v>-559036.88129794877</v>
      </c>
      <c r="S47" s="1212">
        <f t="shared" si="24"/>
        <v>-559011.56496093876</v>
      </c>
      <c r="T47" s="1212">
        <f t="shared" si="24"/>
        <v>-558851.39403061836</v>
      </c>
      <c r="U47" s="1212">
        <f t="shared" si="24"/>
        <v>-558520.2173810415</v>
      </c>
      <c r="V47" s="1212">
        <f t="shared" si="24"/>
        <v>-557897.5771560407</v>
      </c>
      <c r="W47" s="1212">
        <f t="shared" si="24"/>
        <v>-563047.85910845792</v>
      </c>
      <c r="X47" s="1212">
        <f t="shared" si="24"/>
        <v>-552774.88432205736</v>
      </c>
      <c r="Y47" s="1212">
        <f t="shared" si="24"/>
        <v>-551456.58108286862</v>
      </c>
      <c r="Z47" s="1212">
        <f t="shared" si="24"/>
        <v>-549748.37152053823</v>
      </c>
      <c r="AA47" s="1212">
        <f t="shared" si="24"/>
        <v>-547558.8542449777</v>
      </c>
      <c r="AB47" s="1212">
        <f t="shared" si="24"/>
        <v>-554286.01481428696</v>
      </c>
      <c r="AC47" s="1212">
        <f t="shared" si="24"/>
        <v>-541415.1696586227</v>
      </c>
      <c r="AD47" s="1212">
        <f t="shared" si="24"/>
        <v>-536746.96344513376</v>
      </c>
      <c r="AE47" s="1212">
        <f t="shared" si="24"/>
        <v>-529072.76937031012</v>
      </c>
      <c r="AF47" s="1228">
        <f t="shared" si="24"/>
        <v>-485942.17807094275</v>
      </c>
      <c r="AG47" s="1231">
        <f t="shared" si="23"/>
        <v>-33335195.383840803</v>
      </c>
    </row>
    <row r="48" spans="2:34" s="206" customFormat="1" ht="21" customHeight="1">
      <c r="B48" s="468" t="s">
        <v>230</v>
      </c>
      <c r="C48" s="1212">
        <f t="shared" ref="C48:AF48" si="25">SUM(C49:C52)</f>
        <v>-563262.22957299976</v>
      </c>
      <c r="D48" s="1212">
        <f t="shared" si="25"/>
        <v>-345639.16425320646</v>
      </c>
      <c r="E48" s="1212">
        <f t="shared" si="25"/>
        <v>-302337.51106105704</v>
      </c>
      <c r="F48" s="1212">
        <f t="shared" si="25"/>
        <v>-1393737.2138793978</v>
      </c>
      <c r="G48" s="1211">
        <f t="shared" si="25"/>
        <v>-5209890.1252055857</v>
      </c>
      <c r="H48" s="1211">
        <f t="shared" si="25"/>
        <v>-747605.38857971609</v>
      </c>
      <c r="I48" s="1211">
        <f t="shared" si="25"/>
        <v>-1713105.5265664214</v>
      </c>
      <c r="J48" s="1211">
        <f t="shared" si="25"/>
        <v>-1191741.8254753242</v>
      </c>
      <c r="K48" s="1211">
        <f t="shared" si="25"/>
        <v>-1924165.9188391753</v>
      </c>
      <c r="L48" s="1211">
        <f t="shared" si="25"/>
        <v>-999778.07055976056</v>
      </c>
      <c r="M48" s="1211">
        <f t="shared" si="25"/>
        <v>-2653505.4796216656</v>
      </c>
      <c r="N48" s="1211">
        <f t="shared" si="25"/>
        <v>-2353010.2054911945</v>
      </c>
      <c r="O48" s="1211">
        <f t="shared" si="25"/>
        <v>-68386.753752136574</v>
      </c>
      <c r="P48" s="1211">
        <f t="shared" si="25"/>
        <v>-68386.753752136574</v>
      </c>
      <c r="Q48" s="1211">
        <f t="shared" si="25"/>
        <v>-68386.753752136574</v>
      </c>
      <c r="R48" s="1211">
        <f t="shared" si="25"/>
        <v>-63098.753752136574</v>
      </c>
      <c r="S48" s="1211">
        <f t="shared" si="25"/>
        <v>-63098.753752136574</v>
      </c>
      <c r="T48" s="1211">
        <f t="shared" si="25"/>
        <v>-63098.753752136574</v>
      </c>
      <c r="U48" s="1211">
        <f t="shared" si="25"/>
        <v>-63098.753752136574</v>
      </c>
      <c r="V48" s="1211">
        <f t="shared" si="25"/>
        <v>-63098.753752136574</v>
      </c>
      <c r="W48" s="1211">
        <f t="shared" si="25"/>
        <v>-68793.753752136574</v>
      </c>
      <c r="X48" s="1211">
        <f t="shared" si="25"/>
        <v>-59438.753752136574</v>
      </c>
      <c r="Y48" s="1211">
        <f t="shared" si="25"/>
        <v>-59438.753752136574</v>
      </c>
      <c r="Z48" s="1211">
        <f t="shared" si="25"/>
        <v>-59438.753752136574</v>
      </c>
      <c r="AA48" s="1211">
        <f t="shared" si="25"/>
        <v>-59438.753752136574</v>
      </c>
      <c r="AB48" s="1211">
        <f t="shared" si="25"/>
        <v>-68793.753752136574</v>
      </c>
      <c r="AC48" s="1211">
        <f t="shared" si="25"/>
        <v>-60252.753752136574</v>
      </c>
      <c r="AD48" s="1211">
        <f t="shared" si="25"/>
        <v>-61066.753752136574</v>
      </c>
      <c r="AE48" s="1211">
        <f t="shared" si="25"/>
        <v>-62284.753752136574</v>
      </c>
      <c r="AF48" s="1211">
        <f t="shared" si="25"/>
        <v>-59447.247996732927</v>
      </c>
      <c r="AG48" s="1231">
        <f t="shared" si="23"/>
        <v>-20536826.720888525</v>
      </c>
      <c r="AH48" s="207"/>
    </row>
    <row r="49" spans="2:34" s="206" customFormat="1" ht="21" customHeight="1">
      <c r="B49" s="1258" t="s">
        <v>231</v>
      </c>
      <c r="C49" s="1214">
        <f t="array" ref="C49:AF49">-TRANSPOSE('18 R1 Invest Total'!C4:C33)</f>
        <v>-408428.3754822117</v>
      </c>
      <c r="D49" s="1214">
        <v>-329783.01199834509</v>
      </c>
      <c r="E49" s="1214">
        <v>-226602.31678867349</v>
      </c>
      <c r="F49" s="1214">
        <v>-1359859.3479073208</v>
      </c>
      <c r="G49" s="1214">
        <v>-423362.0777800596</v>
      </c>
      <c r="H49" s="1214">
        <v>-99278.617780059591</v>
      </c>
      <c r="I49" s="1214">
        <v>-14581.887780059598</v>
      </c>
      <c r="J49" s="1214">
        <v>-14581.887780059598</v>
      </c>
      <c r="K49" s="1214">
        <v>-14581.887780059598</v>
      </c>
      <c r="L49" s="1214">
        <v>-15189.887780059598</v>
      </c>
      <c r="M49" s="1214">
        <v>-14785.887780059598</v>
      </c>
      <c r="N49" s="1214">
        <v>-14275.887780059598</v>
      </c>
      <c r="O49" s="1214">
        <v>-14275.887780059598</v>
      </c>
      <c r="P49" s="1214">
        <v>-14275.887780059598</v>
      </c>
      <c r="Q49" s="1214">
        <v>-14275.887780059598</v>
      </c>
      <c r="R49" s="1214">
        <v>-12851.887780059598</v>
      </c>
      <c r="S49" s="1214">
        <v>-12851.887780059598</v>
      </c>
      <c r="T49" s="1214">
        <v>-12851.887780059598</v>
      </c>
      <c r="U49" s="1214">
        <v>-12851.887780059598</v>
      </c>
      <c r="V49" s="1214">
        <v>-12851.887780059598</v>
      </c>
      <c r="W49" s="1214">
        <v>-14377.887780059598</v>
      </c>
      <c r="X49" s="1214">
        <v>-11835.887780059598</v>
      </c>
      <c r="Y49" s="1214">
        <v>-11835.887780059598</v>
      </c>
      <c r="Z49" s="1214">
        <v>-11835.887780059598</v>
      </c>
      <c r="AA49" s="1214">
        <v>-11835.887780059598</v>
      </c>
      <c r="AB49" s="1214">
        <v>-14377.887780059598</v>
      </c>
      <c r="AC49" s="1214">
        <v>-12039.887780059598</v>
      </c>
      <c r="AD49" s="1214">
        <v>-12243.887780059598</v>
      </c>
      <c r="AE49" s="1214">
        <v>-12647.887780059598</v>
      </c>
      <c r="AF49" s="1230">
        <v>-9773.2620246559418</v>
      </c>
      <c r="AG49" s="1231">
        <f t="shared" si="23"/>
        <v>-3165202.4287026967</v>
      </c>
    </row>
    <row r="50" spans="2:34" s="206" customFormat="1" ht="21" customHeight="1">
      <c r="B50" s="1259" t="s">
        <v>789</v>
      </c>
      <c r="C50" s="1214"/>
      <c r="D50" s="1214"/>
      <c r="E50" s="1214"/>
      <c r="F50" s="1214"/>
      <c r="G50" s="1222">
        <f>-'E4 CLORO'!B37</f>
        <v>0</v>
      </c>
      <c r="H50" s="1222">
        <f>-'E4 CLORO'!C37</f>
        <v>-19707.057260463262</v>
      </c>
      <c r="I50" s="1222">
        <f>-'E4 CLORO'!D37</f>
        <v>0</v>
      </c>
      <c r="J50" s="1222">
        <f>-'E4 CLORO'!E37</f>
        <v>0</v>
      </c>
      <c r="K50" s="1222">
        <f>-'E4 CLORO'!F37</f>
        <v>0</v>
      </c>
      <c r="L50" s="1222">
        <f>-'E4 CLORO'!G37</f>
        <v>0</v>
      </c>
      <c r="M50" s="1222">
        <f>-'E4 CLORO'!H37</f>
        <v>0</v>
      </c>
      <c r="N50" s="1222">
        <f>-'E4 CLORO'!I37</f>
        <v>0</v>
      </c>
      <c r="O50" s="1222">
        <f>-'E4 CLORO'!J37</f>
        <v>0</v>
      </c>
      <c r="P50" s="1222">
        <f>-'E4 CLORO'!K37</f>
        <v>0</v>
      </c>
      <c r="Q50" s="1222">
        <f>-'E4 CLORO'!L37</f>
        <v>0</v>
      </c>
      <c r="R50" s="1222">
        <f>-'E4 CLORO'!M37</f>
        <v>0</v>
      </c>
      <c r="S50" s="1222">
        <f>-'E4 CLORO'!N37</f>
        <v>0</v>
      </c>
      <c r="T50" s="1222">
        <f>-'E4 CLORO'!O37</f>
        <v>0</v>
      </c>
      <c r="U50" s="1222">
        <f>-'E4 CLORO'!P37</f>
        <v>0</v>
      </c>
      <c r="V50" s="1222">
        <f>-'E4 CLORO'!Q37</f>
        <v>0</v>
      </c>
      <c r="W50" s="1222">
        <f>-'E4 CLORO'!R37</f>
        <v>0</v>
      </c>
      <c r="X50" s="1222">
        <f>-'E4 CLORO'!S37</f>
        <v>0</v>
      </c>
      <c r="Y50" s="1222">
        <f>-'E4 CLORO'!T37</f>
        <v>0</v>
      </c>
      <c r="Z50" s="1222">
        <f>-'E4 CLORO'!U37</f>
        <v>0</v>
      </c>
      <c r="AA50" s="1222">
        <f>-'E4 CLORO'!V37</f>
        <v>0</v>
      </c>
      <c r="AB50" s="1222">
        <f>-'E4 CLORO'!W37</f>
        <v>0</v>
      </c>
      <c r="AC50" s="1222">
        <f>-'E4 CLORO'!X37</f>
        <v>0</v>
      </c>
      <c r="AD50" s="1222">
        <f>-'E4 CLORO'!Y37</f>
        <v>0</v>
      </c>
      <c r="AE50" s="1222">
        <f>-'E4 CLORO'!Z37</f>
        <v>0</v>
      </c>
      <c r="AF50" s="1222">
        <f>-'E4 CLORO'!AA37</f>
        <v>0</v>
      </c>
      <c r="AG50" s="1231">
        <f t="shared" si="23"/>
        <v>-19707.057260463262</v>
      </c>
    </row>
    <row r="51" spans="2:34" s="206" customFormat="1" ht="21" customHeight="1">
      <c r="B51" s="470" t="s">
        <v>232</v>
      </c>
      <c r="C51" s="1214">
        <f t="array" ref="C51:AF51">-TRANSPOSE('18 R1 Invest Total'!D4:D33)</f>
        <v>-37879.125589369905</v>
      </c>
      <c r="D51" s="1214">
        <v>-571.94869673148537</v>
      </c>
      <c r="E51" s="1214">
        <v>-9420.8028316306008</v>
      </c>
      <c r="F51" s="1214">
        <v>-816</v>
      </c>
      <c r="G51" s="1214">
        <v>-4753466.1814534497</v>
      </c>
      <c r="H51" s="1214">
        <v>-595557.84756711626</v>
      </c>
      <c r="I51" s="1214">
        <v>-1665461.7728142848</v>
      </c>
      <c r="J51" s="1214">
        <v>-1144098.0717231876</v>
      </c>
      <c r="K51" s="1214">
        <v>-1876522.1650870387</v>
      </c>
      <c r="L51" s="1214">
        <v>-951526.31680762395</v>
      </c>
      <c r="M51" s="1214">
        <v>-2605657.7258695289</v>
      </c>
      <c r="N51" s="1214">
        <v>-2305672.4517390579</v>
      </c>
      <c r="O51" s="1214">
        <v>-21049</v>
      </c>
      <c r="P51" s="1214">
        <v>-21049</v>
      </c>
      <c r="Q51" s="1214">
        <v>-21049</v>
      </c>
      <c r="R51" s="1214">
        <v>-17185</v>
      </c>
      <c r="S51" s="1214">
        <v>-17185</v>
      </c>
      <c r="T51" s="1214">
        <v>-17185</v>
      </c>
      <c r="U51" s="1214">
        <v>-17185</v>
      </c>
      <c r="V51" s="1214">
        <v>-17185</v>
      </c>
      <c r="W51" s="1214">
        <v>-21354</v>
      </c>
      <c r="X51" s="1214">
        <v>-14541</v>
      </c>
      <c r="Y51" s="1214">
        <v>-14541</v>
      </c>
      <c r="Z51" s="1214">
        <v>-14541</v>
      </c>
      <c r="AA51" s="1214">
        <v>-14541</v>
      </c>
      <c r="AB51" s="1214">
        <v>-21354</v>
      </c>
      <c r="AC51" s="1214">
        <v>-15151</v>
      </c>
      <c r="AD51" s="1214">
        <v>-15761</v>
      </c>
      <c r="AE51" s="1214">
        <v>-16575</v>
      </c>
      <c r="AF51" s="1230">
        <v>-16612.120000000003</v>
      </c>
      <c r="AG51" s="1231">
        <f t="shared" si="23"/>
        <v>-16260693.530179018</v>
      </c>
    </row>
    <row r="52" spans="2:34" s="206" customFormat="1" ht="21" customHeight="1">
      <c r="B52" s="470" t="s">
        <v>233</v>
      </c>
      <c r="C52" s="1214">
        <f t="array" ref="C52:AF52">-TRANSPOSE('18 R1 Invest Total'!E4:E33)</f>
        <v>-116954.72850141811</v>
      </c>
      <c r="D52" s="1214">
        <v>-15284.203558129915</v>
      </c>
      <c r="E52" s="1214">
        <v>-66314.391440752952</v>
      </c>
      <c r="F52" s="1214">
        <v>-33061.865972076979</v>
      </c>
      <c r="G52" s="1214">
        <v>-33061.865972076979</v>
      </c>
      <c r="H52" s="1214">
        <v>-33061.865972076979</v>
      </c>
      <c r="I52" s="1214">
        <v>-33061.865972076979</v>
      </c>
      <c r="J52" s="1214">
        <v>-33061.865972076979</v>
      </c>
      <c r="K52" s="1214">
        <v>-33061.865972076979</v>
      </c>
      <c r="L52" s="1214">
        <v>-33061.865972076979</v>
      </c>
      <c r="M52" s="1214">
        <v>-33061.865972076979</v>
      </c>
      <c r="N52" s="1214">
        <v>-33061.865972076979</v>
      </c>
      <c r="O52" s="1214">
        <v>-33061.865972076979</v>
      </c>
      <c r="P52" s="1214">
        <v>-33061.865972076979</v>
      </c>
      <c r="Q52" s="1214">
        <v>-33061.865972076979</v>
      </c>
      <c r="R52" s="1214">
        <v>-33061.865972076979</v>
      </c>
      <c r="S52" s="1214">
        <v>-33061.865972076979</v>
      </c>
      <c r="T52" s="1214">
        <v>-33061.865972076979</v>
      </c>
      <c r="U52" s="1214">
        <v>-33061.865972076979</v>
      </c>
      <c r="V52" s="1214">
        <v>-33061.865972076979</v>
      </c>
      <c r="W52" s="1214">
        <v>-33061.865972076979</v>
      </c>
      <c r="X52" s="1214">
        <v>-33061.865972076979</v>
      </c>
      <c r="Y52" s="1214">
        <v>-33061.865972076979</v>
      </c>
      <c r="Z52" s="1214">
        <v>-33061.865972076979</v>
      </c>
      <c r="AA52" s="1214">
        <v>-33061.865972076979</v>
      </c>
      <c r="AB52" s="1214">
        <v>-33061.865972076979</v>
      </c>
      <c r="AC52" s="1214">
        <v>-33061.865972076979</v>
      </c>
      <c r="AD52" s="1214">
        <v>-33061.865972076979</v>
      </c>
      <c r="AE52" s="1214">
        <v>-33061.865972076979</v>
      </c>
      <c r="AF52" s="1230">
        <v>-33061.865972076979</v>
      </c>
      <c r="AG52" s="1231">
        <f t="shared" si="23"/>
        <v>-1091223.70474638</v>
      </c>
    </row>
    <row r="53" spans="2:34" s="206" customFormat="1" ht="21" customHeight="1">
      <c r="B53" s="468" t="s">
        <v>234</v>
      </c>
      <c r="C53" s="1212">
        <f>C54+C55</f>
        <v>0</v>
      </c>
      <c r="D53" s="1212">
        <f t="shared" ref="D53:AF53" si="26">D54+D55</f>
        <v>-216017.56612724392</v>
      </c>
      <c r="E53" s="1212">
        <f t="shared" si="26"/>
        <v>-224220.92328385104</v>
      </c>
      <c r="F53" s="1212">
        <f t="shared" si="26"/>
        <v>-262594.52327203582</v>
      </c>
      <c r="G53" s="1212">
        <f t="shared" si="26"/>
        <v>-278747.42778149887</v>
      </c>
      <c r="H53" s="1212">
        <f t="shared" si="26"/>
        <v>-289072.67281684867</v>
      </c>
      <c r="I53" s="1212">
        <f t="shared" si="26"/>
        <v>-396001.26778185094</v>
      </c>
      <c r="J53" s="1212">
        <f t="shared" si="26"/>
        <v>-443474.78761971579</v>
      </c>
      <c r="K53" s="1212">
        <f t="shared" si="26"/>
        <v>-454930.37467824237</v>
      </c>
      <c r="L53" s="1212">
        <f t="shared" si="26"/>
        <v>-449751.43403096299</v>
      </c>
      <c r="M53" s="1212">
        <f t="shared" si="26"/>
        <v>-491456.69463303452</v>
      </c>
      <c r="N53" s="1212">
        <f t="shared" si="26"/>
        <v>-534139.77647233673</v>
      </c>
      <c r="O53" s="1212">
        <f t="shared" si="26"/>
        <v>-495156.41515604372</v>
      </c>
      <c r="P53" s="1212">
        <f t="shared" si="26"/>
        <v>-495498.37160456128</v>
      </c>
      <c r="Q53" s="1212">
        <f t="shared" si="26"/>
        <v>-495826.94775587623</v>
      </c>
      <c r="R53" s="1212">
        <f t="shared" si="26"/>
        <v>-495938.12754581217</v>
      </c>
      <c r="S53" s="1212">
        <f t="shared" si="26"/>
        <v>-495912.81120880216</v>
      </c>
      <c r="T53" s="1212">
        <f t="shared" si="26"/>
        <v>-495752.64027848182</v>
      </c>
      <c r="U53" s="1212">
        <f t="shared" si="26"/>
        <v>-495421.46362890489</v>
      </c>
      <c r="V53" s="1212">
        <f t="shared" si="26"/>
        <v>-494798.8234039041</v>
      </c>
      <c r="W53" s="1212">
        <f t="shared" si="26"/>
        <v>-494254.10535632132</v>
      </c>
      <c r="X53" s="1212">
        <f t="shared" si="26"/>
        <v>-493336.13056992076</v>
      </c>
      <c r="Y53" s="1212">
        <f t="shared" si="26"/>
        <v>-492017.82733073202</v>
      </c>
      <c r="Z53" s="1212">
        <f t="shared" si="26"/>
        <v>-490309.61776840163</v>
      </c>
      <c r="AA53" s="1212">
        <f t="shared" si="26"/>
        <v>-488120.1004928411</v>
      </c>
      <c r="AB53" s="1212">
        <f t="shared" si="26"/>
        <v>-485492.26106215036</v>
      </c>
      <c r="AC53" s="1212">
        <f t="shared" si="26"/>
        <v>-481162.4159064861</v>
      </c>
      <c r="AD53" s="1212">
        <f t="shared" si="26"/>
        <v>-475680.20969299716</v>
      </c>
      <c r="AE53" s="1212">
        <f t="shared" si="26"/>
        <v>-466788.01561817352</v>
      </c>
      <c r="AF53" s="1228">
        <f t="shared" si="26"/>
        <v>-426494.93007420981</v>
      </c>
      <c r="AG53" s="1231">
        <f t="shared" si="23"/>
        <v>-12798368.662952242</v>
      </c>
    </row>
    <row r="54" spans="2:34" s="206" customFormat="1" ht="21" customHeight="1">
      <c r="B54" s="469" t="s">
        <v>235</v>
      </c>
      <c r="C54" s="1214">
        <f>C31</f>
        <v>0</v>
      </c>
      <c r="D54" s="1214">
        <f t="shared" ref="D54:AF55" si="27">D31</f>
        <v>-152483.50450532642</v>
      </c>
      <c r="E54" s="1214">
        <f t="shared" si="27"/>
        <v>-158515.38476753753</v>
      </c>
      <c r="F54" s="1214">
        <f t="shared" si="27"/>
        <v>-186731.26711179104</v>
      </c>
      <c r="G54" s="1214">
        <f t="shared" si="27"/>
        <v>-198608.40278051386</v>
      </c>
      <c r="H54" s="1214">
        <f t="shared" si="27"/>
        <v>-206200.49471827107</v>
      </c>
      <c r="I54" s="1214">
        <f t="shared" si="27"/>
        <v>-284824.46160430217</v>
      </c>
      <c r="J54" s="1214">
        <f t="shared" si="27"/>
        <v>-319731.46148508514</v>
      </c>
      <c r="K54" s="1214">
        <f t="shared" si="27"/>
        <v>-328154.68726341351</v>
      </c>
      <c r="L54" s="1214">
        <f t="shared" si="27"/>
        <v>-324346.64266982576</v>
      </c>
      <c r="M54" s="1214">
        <f t="shared" si="27"/>
        <v>-355012.27546546655</v>
      </c>
      <c r="N54" s="1214">
        <f t="shared" si="27"/>
        <v>-386396.89446495345</v>
      </c>
      <c r="O54" s="1214">
        <f t="shared" si="27"/>
        <v>-357732.65820297331</v>
      </c>
      <c r="P54" s="1214">
        <f t="shared" si="27"/>
        <v>-357984.09676805977</v>
      </c>
      <c r="Q54" s="1214">
        <f t="shared" si="27"/>
        <v>-358225.69687932078</v>
      </c>
      <c r="R54" s="1214">
        <f t="shared" si="27"/>
        <v>-358307.44672486186</v>
      </c>
      <c r="S54" s="1214">
        <f t="shared" si="27"/>
        <v>-358288.83177117805</v>
      </c>
      <c r="T54" s="1214">
        <f t="shared" si="27"/>
        <v>-358171.05902829545</v>
      </c>
      <c r="U54" s="1214">
        <f t="shared" si="27"/>
        <v>-357927.54678595951</v>
      </c>
      <c r="V54" s="1214">
        <f t="shared" si="27"/>
        <v>-357469.72309110593</v>
      </c>
      <c r="W54" s="1214">
        <f t="shared" si="27"/>
        <v>-357069.19511494215</v>
      </c>
      <c r="X54" s="1214">
        <f t="shared" si="27"/>
        <v>-356394.21365435352</v>
      </c>
      <c r="Y54" s="1214">
        <f t="shared" si="27"/>
        <v>-355424.87303730298</v>
      </c>
      <c r="Z54" s="1214">
        <f t="shared" si="27"/>
        <v>-354168.83659441298</v>
      </c>
      <c r="AA54" s="1214">
        <f t="shared" si="27"/>
        <v>-352558.8974212067</v>
      </c>
      <c r="AB54" s="1214">
        <f t="shared" si="27"/>
        <v>-350626.66254569881</v>
      </c>
      <c r="AC54" s="1214">
        <f t="shared" si="27"/>
        <v>-347442.95287241624</v>
      </c>
      <c r="AD54" s="1214">
        <f t="shared" si="27"/>
        <v>-343411.91889190965</v>
      </c>
      <c r="AE54" s="1214">
        <f t="shared" si="27"/>
        <v>-336873.54089571582</v>
      </c>
      <c r="AF54" s="1214">
        <f t="shared" si="27"/>
        <v>-307246.27211338957</v>
      </c>
      <c r="AG54" s="1231">
        <f t="shared" si="23"/>
        <v>-9226329.8992295898</v>
      </c>
    </row>
    <row r="55" spans="2:34" s="206" customFormat="1" ht="21" customHeight="1" thickBot="1">
      <c r="B55" s="476" t="s">
        <v>236</v>
      </c>
      <c r="C55" s="1214">
        <f>C32</f>
        <v>0</v>
      </c>
      <c r="D55" s="1214">
        <f t="shared" si="27"/>
        <v>-63534.061621917506</v>
      </c>
      <c r="E55" s="1214">
        <f t="shared" si="27"/>
        <v>-65705.538516313507</v>
      </c>
      <c r="F55" s="1214">
        <f t="shared" si="27"/>
        <v>-75863.256160244768</v>
      </c>
      <c r="G55" s="1214">
        <f t="shared" si="27"/>
        <v>-80139.025000984999</v>
      </c>
      <c r="H55" s="1214">
        <f t="shared" si="27"/>
        <v>-82872.178098577584</v>
      </c>
      <c r="I55" s="1214">
        <f t="shared" si="27"/>
        <v>-111176.80617754877</v>
      </c>
      <c r="J55" s="1214">
        <f t="shared" si="27"/>
        <v>-123743.32613463064</v>
      </c>
      <c r="K55" s="1214">
        <f t="shared" si="27"/>
        <v>-126775.68741482886</v>
      </c>
      <c r="L55" s="1214">
        <f t="shared" si="27"/>
        <v>-125404.79136113726</v>
      </c>
      <c r="M55" s="1214">
        <f t="shared" si="27"/>
        <v>-136444.41916756795</v>
      </c>
      <c r="N55" s="1214">
        <f t="shared" si="27"/>
        <v>-147742.88200738325</v>
      </c>
      <c r="O55" s="1214">
        <f t="shared" si="27"/>
        <v>-137423.75695307038</v>
      </c>
      <c r="P55" s="1214">
        <f t="shared" si="27"/>
        <v>-137514.27483650151</v>
      </c>
      <c r="Q55" s="1214">
        <f t="shared" si="27"/>
        <v>-137601.25087655548</v>
      </c>
      <c r="R55" s="1214">
        <f t="shared" si="27"/>
        <v>-137630.68082095028</v>
      </c>
      <c r="S55" s="1214">
        <f t="shared" si="27"/>
        <v>-137623.9794376241</v>
      </c>
      <c r="T55" s="1214">
        <f t="shared" si="27"/>
        <v>-137581.58125018637</v>
      </c>
      <c r="U55" s="1214">
        <f t="shared" si="27"/>
        <v>-137493.91684294541</v>
      </c>
      <c r="V55" s="1214">
        <f t="shared" si="27"/>
        <v>-137329.10031279814</v>
      </c>
      <c r="W55" s="1214">
        <f t="shared" si="27"/>
        <v>-137184.91024137917</v>
      </c>
      <c r="X55" s="1214">
        <f t="shared" si="27"/>
        <v>-136941.91691556727</v>
      </c>
      <c r="Y55" s="1214">
        <f t="shared" si="27"/>
        <v>-136592.95429342907</v>
      </c>
      <c r="Z55" s="1214">
        <f t="shared" si="27"/>
        <v>-136140.78117398865</v>
      </c>
      <c r="AA55" s="1214">
        <f t="shared" si="27"/>
        <v>-135561.2030716344</v>
      </c>
      <c r="AB55" s="1214">
        <f t="shared" si="27"/>
        <v>-134865.59851645157</v>
      </c>
      <c r="AC55" s="1214">
        <f t="shared" si="27"/>
        <v>-133719.46303406983</v>
      </c>
      <c r="AD55" s="1214">
        <f t="shared" si="27"/>
        <v>-132268.29080108748</v>
      </c>
      <c r="AE55" s="1214">
        <f t="shared" si="27"/>
        <v>-129914.47472245769</v>
      </c>
      <c r="AF55" s="1214">
        <f t="shared" si="27"/>
        <v>-119248.65796082024</v>
      </c>
      <c r="AG55" s="1232">
        <f t="shared" si="23"/>
        <v>-3572038.7637226516</v>
      </c>
    </row>
    <row r="56" spans="2:34" s="206" customFormat="1" ht="21" customHeight="1" thickBot="1">
      <c r="B56" s="472" t="s">
        <v>237</v>
      </c>
      <c r="C56" s="1233">
        <f>C45+C47</f>
        <v>-218809.77007688157</v>
      </c>
      <c r="D56" s="1233">
        <f t="shared" ref="D56:AF56" si="28">D45+D47</f>
        <v>163700.12314337248</v>
      </c>
      <c r="E56" s="1233">
        <f t="shared" si="28"/>
        <v>235270.19609394518</v>
      </c>
      <c r="F56" s="1233">
        <f t="shared" si="28"/>
        <v>-770441.89174071245</v>
      </c>
      <c r="G56" s="1233">
        <f t="shared" si="28"/>
        <v>-4501633.8874445725</v>
      </c>
      <c r="H56" s="1233">
        <f t="shared" si="28"/>
        <v>189089.57690520003</v>
      </c>
      <c r="I56" s="1233">
        <f t="shared" si="28"/>
        <v>-537693.06397822849</v>
      </c>
      <c r="J56" s="1233">
        <f t="shared" si="28"/>
        <v>150307.96577928471</v>
      </c>
      <c r="K56" s="1233">
        <f t="shared" si="28"/>
        <v>-505708.72855362855</v>
      </c>
      <c r="L56" s="1233">
        <f t="shared" si="28"/>
        <v>500252.83051486569</v>
      </c>
      <c r="M56" s="1233">
        <f t="shared" si="28"/>
        <v>-1022528.4044385594</v>
      </c>
      <c r="N56" s="1233">
        <f t="shared" si="28"/>
        <v>-499519.5530114607</v>
      </c>
      <c r="O56" s="1233">
        <f t="shared" si="28"/>
        <v>1840153.1041899249</v>
      </c>
      <c r="P56" s="1233">
        <f t="shared" si="28"/>
        <v>1844839.6522224671</v>
      </c>
      <c r="Q56" s="1233">
        <f t="shared" si="28"/>
        <v>1849751.6486257047</v>
      </c>
      <c r="R56" s="1233">
        <f t="shared" si="28"/>
        <v>1859814.5851347423</v>
      </c>
      <c r="S56" s="1233">
        <f t="shared" si="28"/>
        <v>1864272.4954964551</v>
      </c>
      <c r="T56" s="1233">
        <f t="shared" si="28"/>
        <v>1868815.3257438713</v>
      </c>
      <c r="U56" s="1233">
        <f t="shared" si="28"/>
        <v>1873430.6829034491</v>
      </c>
      <c r="V56" s="1233">
        <f t="shared" si="28"/>
        <v>1877958.2786901388</v>
      </c>
      <c r="W56" s="1233">
        <f t="shared" si="28"/>
        <v>1877515.7602082803</v>
      </c>
      <c r="X56" s="1233">
        <f t="shared" si="28"/>
        <v>1892732.5595692303</v>
      </c>
      <c r="Y56" s="1233">
        <f t="shared" si="28"/>
        <v>1897603.3445592339</v>
      </c>
      <c r="Z56" s="1233">
        <f t="shared" si="28"/>
        <v>1902778.6588860238</v>
      </c>
      <c r="AA56" s="1233">
        <f t="shared" si="28"/>
        <v>1908434.8784274487</v>
      </c>
      <c r="AB56" s="1233">
        <f t="shared" si="28"/>
        <v>1905866.5291065355</v>
      </c>
      <c r="AC56" s="1233">
        <f t="shared" si="28"/>
        <v>1923200.9740071036</v>
      </c>
      <c r="AD56" s="1233">
        <f t="shared" si="28"/>
        <v>1931829.2955492784</v>
      </c>
      <c r="AE56" s="1233">
        <f t="shared" si="28"/>
        <v>1943883.3545153951</v>
      </c>
      <c r="AF56" s="1234">
        <f t="shared" si="28"/>
        <v>1990236.8724343264</v>
      </c>
      <c r="AG56" s="1235">
        <f t="shared" si="23"/>
        <v>27235403.393462233</v>
      </c>
      <c r="AH56" s="207"/>
    </row>
    <row r="57" spans="2:34" s="206" customFormat="1" ht="21" customHeight="1" thickBot="1">
      <c r="B57" s="472" t="s">
        <v>238</v>
      </c>
      <c r="C57" s="886">
        <f>IRR(C56:AF56)</f>
        <v>0.12034035902966589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36"/>
    </row>
    <row r="58" spans="2:34" ht="15" thickBot="1"/>
    <row r="59" spans="2:34" ht="15.75" thickBot="1">
      <c r="B59" s="472" t="s">
        <v>714</v>
      </c>
      <c r="C59" s="886">
        <v>0.1203</v>
      </c>
    </row>
    <row r="60" spans="2:34" ht="15" thickBot="1"/>
    <row r="61" spans="2:34" ht="15.75" thickBot="1">
      <c r="B61" s="472" t="s">
        <v>659</v>
      </c>
      <c r="C61" s="886">
        <f>C57-C59</f>
        <v>4.035902966588456E-5</v>
      </c>
    </row>
    <row r="64" spans="2:34">
      <c r="AF64" s="41">
        <v>567.50879541981226</v>
      </c>
    </row>
    <row r="67" spans="32:32">
      <c r="AF67" s="41">
        <f>AF64*35%</f>
        <v>198.62807839693428</v>
      </c>
    </row>
  </sheetData>
  <mergeCells count="1">
    <mergeCell ref="AC42:AG42"/>
  </mergeCells>
  <conditionalFormatting sqref="B39">
    <cfRule type="cellIs" dxfId="23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A71EA-C3C8-42FC-80B3-C02BFA42316B}">
  <sheetPr>
    <tabColor theme="5"/>
  </sheetPr>
  <dimension ref="A1:CN123"/>
  <sheetViews>
    <sheetView zoomScale="80" zoomScaleNormal="80" workbookViewId="0">
      <pane ySplit="7" topLeftCell="A8" activePane="bottomLeft" state="frozen"/>
      <selection activeCell="R1" sqref="R1"/>
      <selection pane="bottomLeft" activeCell="N101" sqref="N101"/>
    </sheetView>
  </sheetViews>
  <sheetFormatPr defaultRowHeight="12.75"/>
  <cols>
    <col min="1" max="1" width="2.7109375" style="203" customWidth="1"/>
    <col min="2" max="2" width="5.140625" style="172" customWidth="1"/>
    <col min="3" max="3" width="34" style="172" customWidth="1"/>
    <col min="4" max="4" width="10.5703125" style="201" customWidth="1"/>
    <col min="5" max="5" width="9.140625" style="777" customWidth="1"/>
    <col min="6" max="6" width="15" style="172" customWidth="1"/>
    <col min="7" max="7" width="37.7109375" style="172" bestFit="1" customWidth="1"/>
    <col min="8" max="8" width="1.5703125" style="172" customWidth="1"/>
    <col min="9" max="11" width="14.140625" style="171" customWidth="1"/>
    <col min="12" max="13" width="16.7109375" style="1270" customWidth="1"/>
    <col min="14" max="14" width="15.140625" style="1270" bestFit="1" customWidth="1"/>
    <col min="15" max="15" width="15.140625" style="1270" customWidth="1"/>
    <col min="16" max="17" width="14.140625" style="1270" customWidth="1"/>
    <col min="18" max="19" width="16.7109375" style="1270" customWidth="1"/>
    <col min="20" max="20" width="14.140625" style="1270" customWidth="1"/>
    <col min="21" max="21" width="16.7109375" style="1270" customWidth="1"/>
    <col min="22" max="43" width="14.140625" style="1270" customWidth="1"/>
    <col min="44" max="44" width="2.7109375" style="172" customWidth="1"/>
    <col min="45" max="45" width="18.5703125" style="486" bestFit="1" customWidth="1"/>
    <col min="46" max="92" width="8.85546875" style="172"/>
    <col min="93" max="262" width="8.85546875" style="157"/>
    <col min="263" max="263" width="8" style="157" customWidth="1"/>
    <col min="264" max="264" width="34" style="157" customWidth="1"/>
    <col min="265" max="265" width="10.5703125" style="157" customWidth="1"/>
    <col min="266" max="266" width="8.85546875" style="157"/>
    <col min="267" max="268" width="12.42578125" style="157" customWidth="1"/>
    <col min="269" max="269" width="1.42578125" style="157" customWidth="1"/>
    <col min="270" max="270" width="12" style="157" customWidth="1"/>
    <col min="271" max="271" width="12.42578125" style="157" customWidth="1"/>
    <col min="272" max="272" width="12.28515625" style="157" customWidth="1"/>
    <col min="273" max="298" width="8.85546875" style="157"/>
    <col min="299" max="299" width="13.28515625" style="157" customWidth="1"/>
    <col min="300" max="518" width="8.85546875" style="157"/>
    <col min="519" max="519" width="8" style="157" customWidth="1"/>
    <col min="520" max="520" width="34" style="157" customWidth="1"/>
    <col min="521" max="521" width="10.5703125" style="157" customWidth="1"/>
    <col min="522" max="522" width="8.85546875" style="157"/>
    <col min="523" max="524" width="12.42578125" style="157" customWidth="1"/>
    <col min="525" max="525" width="1.42578125" style="157" customWidth="1"/>
    <col min="526" max="526" width="12" style="157" customWidth="1"/>
    <col min="527" max="527" width="12.42578125" style="157" customWidth="1"/>
    <col min="528" max="528" width="12.28515625" style="157" customWidth="1"/>
    <col min="529" max="554" width="8.85546875" style="157"/>
    <col min="555" max="555" width="13.28515625" style="157" customWidth="1"/>
    <col min="556" max="774" width="8.85546875" style="157"/>
    <col min="775" max="775" width="8" style="157" customWidth="1"/>
    <col min="776" max="776" width="34" style="157" customWidth="1"/>
    <col min="777" max="777" width="10.5703125" style="157" customWidth="1"/>
    <col min="778" max="778" width="8.85546875" style="157"/>
    <col min="779" max="780" width="12.42578125" style="157" customWidth="1"/>
    <col min="781" max="781" width="1.42578125" style="157" customWidth="1"/>
    <col min="782" max="782" width="12" style="157" customWidth="1"/>
    <col min="783" max="783" width="12.42578125" style="157" customWidth="1"/>
    <col min="784" max="784" width="12.28515625" style="157" customWidth="1"/>
    <col min="785" max="810" width="8.85546875" style="157"/>
    <col min="811" max="811" width="13.28515625" style="157" customWidth="1"/>
    <col min="812" max="1030" width="8.85546875" style="157"/>
    <col min="1031" max="1031" width="8" style="157" customWidth="1"/>
    <col min="1032" max="1032" width="34" style="157" customWidth="1"/>
    <col min="1033" max="1033" width="10.5703125" style="157" customWidth="1"/>
    <col min="1034" max="1034" width="8.85546875" style="157"/>
    <col min="1035" max="1036" width="12.42578125" style="157" customWidth="1"/>
    <col min="1037" max="1037" width="1.42578125" style="157" customWidth="1"/>
    <col min="1038" max="1038" width="12" style="157" customWidth="1"/>
    <col min="1039" max="1039" width="12.42578125" style="157" customWidth="1"/>
    <col min="1040" max="1040" width="12.28515625" style="157" customWidth="1"/>
    <col min="1041" max="1066" width="8.85546875" style="157"/>
    <col min="1067" max="1067" width="13.28515625" style="157" customWidth="1"/>
    <col min="1068" max="1286" width="8.85546875" style="157"/>
    <col min="1287" max="1287" width="8" style="157" customWidth="1"/>
    <col min="1288" max="1288" width="34" style="157" customWidth="1"/>
    <col min="1289" max="1289" width="10.5703125" style="157" customWidth="1"/>
    <col min="1290" max="1290" width="8.85546875" style="157"/>
    <col min="1291" max="1292" width="12.42578125" style="157" customWidth="1"/>
    <col min="1293" max="1293" width="1.42578125" style="157" customWidth="1"/>
    <col min="1294" max="1294" width="12" style="157" customWidth="1"/>
    <col min="1295" max="1295" width="12.42578125" style="157" customWidth="1"/>
    <col min="1296" max="1296" width="12.28515625" style="157" customWidth="1"/>
    <col min="1297" max="1322" width="8.85546875" style="157"/>
    <col min="1323" max="1323" width="13.28515625" style="157" customWidth="1"/>
    <col min="1324" max="1542" width="8.85546875" style="157"/>
    <col min="1543" max="1543" width="8" style="157" customWidth="1"/>
    <col min="1544" max="1544" width="34" style="157" customWidth="1"/>
    <col min="1545" max="1545" width="10.5703125" style="157" customWidth="1"/>
    <col min="1546" max="1546" width="8.85546875" style="157"/>
    <col min="1547" max="1548" width="12.42578125" style="157" customWidth="1"/>
    <col min="1549" max="1549" width="1.42578125" style="157" customWidth="1"/>
    <col min="1550" max="1550" width="12" style="157" customWidth="1"/>
    <col min="1551" max="1551" width="12.42578125" style="157" customWidth="1"/>
    <col min="1552" max="1552" width="12.28515625" style="157" customWidth="1"/>
    <col min="1553" max="1578" width="8.85546875" style="157"/>
    <col min="1579" max="1579" width="13.28515625" style="157" customWidth="1"/>
    <col min="1580" max="1798" width="8.85546875" style="157"/>
    <col min="1799" max="1799" width="8" style="157" customWidth="1"/>
    <col min="1800" max="1800" width="34" style="157" customWidth="1"/>
    <col min="1801" max="1801" width="10.5703125" style="157" customWidth="1"/>
    <col min="1802" max="1802" width="8.85546875" style="157"/>
    <col min="1803" max="1804" width="12.42578125" style="157" customWidth="1"/>
    <col min="1805" max="1805" width="1.42578125" style="157" customWidth="1"/>
    <col min="1806" max="1806" width="12" style="157" customWidth="1"/>
    <col min="1807" max="1807" width="12.42578125" style="157" customWidth="1"/>
    <col min="1808" max="1808" width="12.28515625" style="157" customWidth="1"/>
    <col min="1809" max="1834" width="8.85546875" style="157"/>
    <col min="1835" max="1835" width="13.28515625" style="157" customWidth="1"/>
    <col min="1836" max="2054" width="8.85546875" style="157"/>
    <col min="2055" max="2055" width="8" style="157" customWidth="1"/>
    <col min="2056" max="2056" width="34" style="157" customWidth="1"/>
    <col min="2057" max="2057" width="10.5703125" style="157" customWidth="1"/>
    <col min="2058" max="2058" width="8.85546875" style="157"/>
    <col min="2059" max="2060" width="12.42578125" style="157" customWidth="1"/>
    <col min="2061" max="2061" width="1.42578125" style="157" customWidth="1"/>
    <col min="2062" max="2062" width="12" style="157" customWidth="1"/>
    <col min="2063" max="2063" width="12.42578125" style="157" customWidth="1"/>
    <col min="2064" max="2064" width="12.28515625" style="157" customWidth="1"/>
    <col min="2065" max="2090" width="8.85546875" style="157"/>
    <col min="2091" max="2091" width="13.28515625" style="157" customWidth="1"/>
    <col min="2092" max="2310" width="8.85546875" style="157"/>
    <col min="2311" max="2311" width="8" style="157" customWidth="1"/>
    <col min="2312" max="2312" width="34" style="157" customWidth="1"/>
    <col min="2313" max="2313" width="10.5703125" style="157" customWidth="1"/>
    <col min="2314" max="2314" width="8.85546875" style="157"/>
    <col min="2315" max="2316" width="12.42578125" style="157" customWidth="1"/>
    <col min="2317" max="2317" width="1.42578125" style="157" customWidth="1"/>
    <col min="2318" max="2318" width="12" style="157" customWidth="1"/>
    <col min="2319" max="2319" width="12.42578125" style="157" customWidth="1"/>
    <col min="2320" max="2320" width="12.28515625" style="157" customWidth="1"/>
    <col min="2321" max="2346" width="8.85546875" style="157"/>
    <col min="2347" max="2347" width="13.28515625" style="157" customWidth="1"/>
    <col min="2348" max="2566" width="8.85546875" style="157"/>
    <col min="2567" max="2567" width="8" style="157" customWidth="1"/>
    <col min="2568" max="2568" width="34" style="157" customWidth="1"/>
    <col min="2569" max="2569" width="10.5703125" style="157" customWidth="1"/>
    <col min="2570" max="2570" width="8.85546875" style="157"/>
    <col min="2571" max="2572" width="12.42578125" style="157" customWidth="1"/>
    <col min="2573" max="2573" width="1.42578125" style="157" customWidth="1"/>
    <col min="2574" max="2574" width="12" style="157" customWidth="1"/>
    <col min="2575" max="2575" width="12.42578125" style="157" customWidth="1"/>
    <col min="2576" max="2576" width="12.28515625" style="157" customWidth="1"/>
    <col min="2577" max="2602" width="8.85546875" style="157"/>
    <col min="2603" max="2603" width="13.28515625" style="157" customWidth="1"/>
    <col min="2604" max="2822" width="8.85546875" style="157"/>
    <col min="2823" max="2823" width="8" style="157" customWidth="1"/>
    <col min="2824" max="2824" width="34" style="157" customWidth="1"/>
    <col min="2825" max="2825" width="10.5703125" style="157" customWidth="1"/>
    <col min="2826" max="2826" width="8.85546875" style="157"/>
    <col min="2827" max="2828" width="12.42578125" style="157" customWidth="1"/>
    <col min="2829" max="2829" width="1.42578125" style="157" customWidth="1"/>
    <col min="2830" max="2830" width="12" style="157" customWidth="1"/>
    <col min="2831" max="2831" width="12.42578125" style="157" customWidth="1"/>
    <col min="2832" max="2832" width="12.28515625" style="157" customWidth="1"/>
    <col min="2833" max="2858" width="8.85546875" style="157"/>
    <col min="2859" max="2859" width="13.28515625" style="157" customWidth="1"/>
    <col min="2860" max="3078" width="8.85546875" style="157"/>
    <col min="3079" max="3079" width="8" style="157" customWidth="1"/>
    <col min="3080" max="3080" width="34" style="157" customWidth="1"/>
    <col min="3081" max="3081" width="10.5703125" style="157" customWidth="1"/>
    <col min="3082" max="3082" width="8.85546875" style="157"/>
    <col min="3083" max="3084" width="12.42578125" style="157" customWidth="1"/>
    <col min="3085" max="3085" width="1.42578125" style="157" customWidth="1"/>
    <col min="3086" max="3086" width="12" style="157" customWidth="1"/>
    <col min="3087" max="3087" width="12.42578125" style="157" customWidth="1"/>
    <col min="3088" max="3088" width="12.28515625" style="157" customWidth="1"/>
    <col min="3089" max="3114" width="8.85546875" style="157"/>
    <col min="3115" max="3115" width="13.28515625" style="157" customWidth="1"/>
    <col min="3116" max="3334" width="8.85546875" style="157"/>
    <col min="3335" max="3335" width="8" style="157" customWidth="1"/>
    <col min="3336" max="3336" width="34" style="157" customWidth="1"/>
    <col min="3337" max="3337" width="10.5703125" style="157" customWidth="1"/>
    <col min="3338" max="3338" width="8.85546875" style="157"/>
    <col min="3339" max="3340" width="12.42578125" style="157" customWidth="1"/>
    <col min="3341" max="3341" width="1.42578125" style="157" customWidth="1"/>
    <col min="3342" max="3342" width="12" style="157" customWidth="1"/>
    <col min="3343" max="3343" width="12.42578125" style="157" customWidth="1"/>
    <col min="3344" max="3344" width="12.28515625" style="157" customWidth="1"/>
    <col min="3345" max="3370" width="8.85546875" style="157"/>
    <col min="3371" max="3371" width="13.28515625" style="157" customWidth="1"/>
    <col min="3372" max="3590" width="8.85546875" style="157"/>
    <col min="3591" max="3591" width="8" style="157" customWidth="1"/>
    <col min="3592" max="3592" width="34" style="157" customWidth="1"/>
    <col min="3593" max="3593" width="10.5703125" style="157" customWidth="1"/>
    <col min="3594" max="3594" width="8.85546875" style="157"/>
    <col min="3595" max="3596" width="12.42578125" style="157" customWidth="1"/>
    <col min="3597" max="3597" width="1.42578125" style="157" customWidth="1"/>
    <col min="3598" max="3598" width="12" style="157" customWidth="1"/>
    <col min="3599" max="3599" width="12.42578125" style="157" customWidth="1"/>
    <col min="3600" max="3600" width="12.28515625" style="157" customWidth="1"/>
    <col min="3601" max="3626" width="8.85546875" style="157"/>
    <col min="3627" max="3627" width="13.28515625" style="157" customWidth="1"/>
    <col min="3628" max="3846" width="8.85546875" style="157"/>
    <col min="3847" max="3847" width="8" style="157" customWidth="1"/>
    <col min="3848" max="3848" width="34" style="157" customWidth="1"/>
    <col min="3849" max="3849" width="10.5703125" style="157" customWidth="1"/>
    <col min="3850" max="3850" width="8.85546875" style="157"/>
    <col min="3851" max="3852" width="12.42578125" style="157" customWidth="1"/>
    <col min="3853" max="3853" width="1.42578125" style="157" customWidth="1"/>
    <col min="3854" max="3854" width="12" style="157" customWidth="1"/>
    <col min="3855" max="3855" width="12.42578125" style="157" customWidth="1"/>
    <col min="3856" max="3856" width="12.28515625" style="157" customWidth="1"/>
    <col min="3857" max="3882" width="8.85546875" style="157"/>
    <col min="3883" max="3883" width="13.28515625" style="157" customWidth="1"/>
    <col min="3884" max="4102" width="8.85546875" style="157"/>
    <col min="4103" max="4103" width="8" style="157" customWidth="1"/>
    <col min="4104" max="4104" width="34" style="157" customWidth="1"/>
    <col min="4105" max="4105" width="10.5703125" style="157" customWidth="1"/>
    <col min="4106" max="4106" width="8.85546875" style="157"/>
    <col min="4107" max="4108" width="12.42578125" style="157" customWidth="1"/>
    <col min="4109" max="4109" width="1.42578125" style="157" customWidth="1"/>
    <col min="4110" max="4110" width="12" style="157" customWidth="1"/>
    <col min="4111" max="4111" width="12.42578125" style="157" customWidth="1"/>
    <col min="4112" max="4112" width="12.28515625" style="157" customWidth="1"/>
    <col min="4113" max="4138" width="8.85546875" style="157"/>
    <col min="4139" max="4139" width="13.28515625" style="157" customWidth="1"/>
    <col min="4140" max="4358" width="8.85546875" style="157"/>
    <col min="4359" max="4359" width="8" style="157" customWidth="1"/>
    <col min="4360" max="4360" width="34" style="157" customWidth="1"/>
    <col min="4361" max="4361" width="10.5703125" style="157" customWidth="1"/>
    <col min="4362" max="4362" width="8.85546875" style="157"/>
    <col min="4363" max="4364" width="12.42578125" style="157" customWidth="1"/>
    <col min="4365" max="4365" width="1.42578125" style="157" customWidth="1"/>
    <col min="4366" max="4366" width="12" style="157" customWidth="1"/>
    <col min="4367" max="4367" width="12.42578125" style="157" customWidth="1"/>
    <col min="4368" max="4368" width="12.28515625" style="157" customWidth="1"/>
    <col min="4369" max="4394" width="8.85546875" style="157"/>
    <col min="4395" max="4395" width="13.28515625" style="157" customWidth="1"/>
    <col min="4396" max="4614" width="8.85546875" style="157"/>
    <col min="4615" max="4615" width="8" style="157" customWidth="1"/>
    <col min="4616" max="4616" width="34" style="157" customWidth="1"/>
    <col min="4617" max="4617" width="10.5703125" style="157" customWidth="1"/>
    <col min="4618" max="4618" width="8.85546875" style="157"/>
    <col min="4619" max="4620" width="12.42578125" style="157" customWidth="1"/>
    <col min="4621" max="4621" width="1.42578125" style="157" customWidth="1"/>
    <col min="4622" max="4622" width="12" style="157" customWidth="1"/>
    <col min="4623" max="4623" width="12.42578125" style="157" customWidth="1"/>
    <col min="4624" max="4624" width="12.28515625" style="157" customWidth="1"/>
    <col min="4625" max="4650" width="8.85546875" style="157"/>
    <col min="4651" max="4651" width="13.28515625" style="157" customWidth="1"/>
    <col min="4652" max="4870" width="8.85546875" style="157"/>
    <col min="4871" max="4871" width="8" style="157" customWidth="1"/>
    <col min="4872" max="4872" width="34" style="157" customWidth="1"/>
    <col min="4873" max="4873" width="10.5703125" style="157" customWidth="1"/>
    <col min="4874" max="4874" width="8.85546875" style="157"/>
    <col min="4875" max="4876" width="12.42578125" style="157" customWidth="1"/>
    <col min="4877" max="4877" width="1.42578125" style="157" customWidth="1"/>
    <col min="4878" max="4878" width="12" style="157" customWidth="1"/>
    <col min="4879" max="4879" width="12.42578125" style="157" customWidth="1"/>
    <col min="4880" max="4880" width="12.28515625" style="157" customWidth="1"/>
    <col min="4881" max="4906" width="8.85546875" style="157"/>
    <col min="4907" max="4907" width="13.28515625" style="157" customWidth="1"/>
    <col min="4908" max="5126" width="8.85546875" style="157"/>
    <col min="5127" max="5127" width="8" style="157" customWidth="1"/>
    <col min="5128" max="5128" width="34" style="157" customWidth="1"/>
    <col min="5129" max="5129" width="10.5703125" style="157" customWidth="1"/>
    <col min="5130" max="5130" width="8.85546875" style="157"/>
    <col min="5131" max="5132" width="12.42578125" style="157" customWidth="1"/>
    <col min="5133" max="5133" width="1.42578125" style="157" customWidth="1"/>
    <col min="5134" max="5134" width="12" style="157" customWidth="1"/>
    <col min="5135" max="5135" width="12.42578125" style="157" customWidth="1"/>
    <col min="5136" max="5136" width="12.28515625" style="157" customWidth="1"/>
    <col min="5137" max="5162" width="8.85546875" style="157"/>
    <col min="5163" max="5163" width="13.28515625" style="157" customWidth="1"/>
    <col min="5164" max="5382" width="8.85546875" style="157"/>
    <col min="5383" max="5383" width="8" style="157" customWidth="1"/>
    <col min="5384" max="5384" width="34" style="157" customWidth="1"/>
    <col min="5385" max="5385" width="10.5703125" style="157" customWidth="1"/>
    <col min="5386" max="5386" width="8.85546875" style="157"/>
    <col min="5387" max="5388" width="12.42578125" style="157" customWidth="1"/>
    <col min="5389" max="5389" width="1.42578125" style="157" customWidth="1"/>
    <col min="5390" max="5390" width="12" style="157" customWidth="1"/>
    <col min="5391" max="5391" width="12.42578125" style="157" customWidth="1"/>
    <col min="5392" max="5392" width="12.28515625" style="157" customWidth="1"/>
    <col min="5393" max="5418" width="8.85546875" style="157"/>
    <col min="5419" max="5419" width="13.28515625" style="157" customWidth="1"/>
    <col min="5420" max="5638" width="8.85546875" style="157"/>
    <col min="5639" max="5639" width="8" style="157" customWidth="1"/>
    <col min="5640" max="5640" width="34" style="157" customWidth="1"/>
    <col min="5641" max="5641" width="10.5703125" style="157" customWidth="1"/>
    <col min="5642" max="5642" width="8.85546875" style="157"/>
    <col min="5643" max="5644" width="12.42578125" style="157" customWidth="1"/>
    <col min="5645" max="5645" width="1.42578125" style="157" customWidth="1"/>
    <col min="5646" max="5646" width="12" style="157" customWidth="1"/>
    <col min="5647" max="5647" width="12.42578125" style="157" customWidth="1"/>
    <col min="5648" max="5648" width="12.28515625" style="157" customWidth="1"/>
    <col min="5649" max="5674" width="8.85546875" style="157"/>
    <col min="5675" max="5675" width="13.28515625" style="157" customWidth="1"/>
    <col min="5676" max="5894" width="8.85546875" style="157"/>
    <col min="5895" max="5895" width="8" style="157" customWidth="1"/>
    <col min="5896" max="5896" width="34" style="157" customWidth="1"/>
    <col min="5897" max="5897" width="10.5703125" style="157" customWidth="1"/>
    <col min="5898" max="5898" width="8.85546875" style="157"/>
    <col min="5899" max="5900" width="12.42578125" style="157" customWidth="1"/>
    <col min="5901" max="5901" width="1.42578125" style="157" customWidth="1"/>
    <col min="5902" max="5902" width="12" style="157" customWidth="1"/>
    <col min="5903" max="5903" width="12.42578125" style="157" customWidth="1"/>
    <col min="5904" max="5904" width="12.28515625" style="157" customWidth="1"/>
    <col min="5905" max="5930" width="8.85546875" style="157"/>
    <col min="5931" max="5931" width="13.28515625" style="157" customWidth="1"/>
    <col min="5932" max="6150" width="8.85546875" style="157"/>
    <col min="6151" max="6151" width="8" style="157" customWidth="1"/>
    <col min="6152" max="6152" width="34" style="157" customWidth="1"/>
    <col min="6153" max="6153" width="10.5703125" style="157" customWidth="1"/>
    <col min="6154" max="6154" width="8.85546875" style="157"/>
    <col min="6155" max="6156" width="12.42578125" style="157" customWidth="1"/>
    <col min="6157" max="6157" width="1.42578125" style="157" customWidth="1"/>
    <col min="6158" max="6158" width="12" style="157" customWidth="1"/>
    <col min="6159" max="6159" width="12.42578125" style="157" customWidth="1"/>
    <col min="6160" max="6160" width="12.28515625" style="157" customWidth="1"/>
    <col min="6161" max="6186" width="8.85546875" style="157"/>
    <col min="6187" max="6187" width="13.28515625" style="157" customWidth="1"/>
    <col min="6188" max="6406" width="8.85546875" style="157"/>
    <col min="6407" max="6407" width="8" style="157" customWidth="1"/>
    <col min="6408" max="6408" width="34" style="157" customWidth="1"/>
    <col min="6409" max="6409" width="10.5703125" style="157" customWidth="1"/>
    <col min="6410" max="6410" width="8.85546875" style="157"/>
    <col min="6411" max="6412" width="12.42578125" style="157" customWidth="1"/>
    <col min="6413" max="6413" width="1.42578125" style="157" customWidth="1"/>
    <col min="6414" max="6414" width="12" style="157" customWidth="1"/>
    <col min="6415" max="6415" width="12.42578125" style="157" customWidth="1"/>
    <col min="6416" max="6416" width="12.28515625" style="157" customWidth="1"/>
    <col min="6417" max="6442" width="8.85546875" style="157"/>
    <col min="6443" max="6443" width="13.28515625" style="157" customWidth="1"/>
    <col min="6444" max="6662" width="8.85546875" style="157"/>
    <col min="6663" max="6663" width="8" style="157" customWidth="1"/>
    <col min="6664" max="6664" width="34" style="157" customWidth="1"/>
    <col min="6665" max="6665" width="10.5703125" style="157" customWidth="1"/>
    <col min="6666" max="6666" width="8.85546875" style="157"/>
    <col min="6667" max="6668" width="12.42578125" style="157" customWidth="1"/>
    <col min="6669" max="6669" width="1.42578125" style="157" customWidth="1"/>
    <col min="6670" max="6670" width="12" style="157" customWidth="1"/>
    <col min="6671" max="6671" width="12.42578125" style="157" customWidth="1"/>
    <col min="6672" max="6672" width="12.28515625" style="157" customWidth="1"/>
    <col min="6673" max="6698" width="8.85546875" style="157"/>
    <col min="6699" max="6699" width="13.28515625" style="157" customWidth="1"/>
    <col min="6700" max="6918" width="8.85546875" style="157"/>
    <col min="6919" max="6919" width="8" style="157" customWidth="1"/>
    <col min="6920" max="6920" width="34" style="157" customWidth="1"/>
    <col min="6921" max="6921" width="10.5703125" style="157" customWidth="1"/>
    <col min="6922" max="6922" width="8.85546875" style="157"/>
    <col min="6923" max="6924" width="12.42578125" style="157" customWidth="1"/>
    <col min="6925" max="6925" width="1.42578125" style="157" customWidth="1"/>
    <col min="6926" max="6926" width="12" style="157" customWidth="1"/>
    <col min="6927" max="6927" width="12.42578125" style="157" customWidth="1"/>
    <col min="6928" max="6928" width="12.28515625" style="157" customWidth="1"/>
    <col min="6929" max="6954" width="8.85546875" style="157"/>
    <col min="6955" max="6955" width="13.28515625" style="157" customWidth="1"/>
    <col min="6956" max="7174" width="8.85546875" style="157"/>
    <col min="7175" max="7175" width="8" style="157" customWidth="1"/>
    <col min="7176" max="7176" width="34" style="157" customWidth="1"/>
    <col min="7177" max="7177" width="10.5703125" style="157" customWidth="1"/>
    <col min="7178" max="7178" width="8.85546875" style="157"/>
    <col min="7179" max="7180" width="12.42578125" style="157" customWidth="1"/>
    <col min="7181" max="7181" width="1.42578125" style="157" customWidth="1"/>
    <col min="7182" max="7182" width="12" style="157" customWidth="1"/>
    <col min="7183" max="7183" width="12.42578125" style="157" customWidth="1"/>
    <col min="7184" max="7184" width="12.28515625" style="157" customWidth="1"/>
    <col min="7185" max="7210" width="8.85546875" style="157"/>
    <col min="7211" max="7211" width="13.28515625" style="157" customWidth="1"/>
    <col min="7212" max="7430" width="8.85546875" style="157"/>
    <col min="7431" max="7431" width="8" style="157" customWidth="1"/>
    <col min="7432" max="7432" width="34" style="157" customWidth="1"/>
    <col min="7433" max="7433" width="10.5703125" style="157" customWidth="1"/>
    <col min="7434" max="7434" width="8.85546875" style="157"/>
    <col min="7435" max="7436" width="12.42578125" style="157" customWidth="1"/>
    <col min="7437" max="7437" width="1.42578125" style="157" customWidth="1"/>
    <col min="7438" max="7438" width="12" style="157" customWidth="1"/>
    <col min="7439" max="7439" width="12.42578125" style="157" customWidth="1"/>
    <col min="7440" max="7440" width="12.28515625" style="157" customWidth="1"/>
    <col min="7441" max="7466" width="8.85546875" style="157"/>
    <col min="7467" max="7467" width="13.28515625" style="157" customWidth="1"/>
    <col min="7468" max="7686" width="8.85546875" style="157"/>
    <col min="7687" max="7687" width="8" style="157" customWidth="1"/>
    <col min="7688" max="7688" width="34" style="157" customWidth="1"/>
    <col min="7689" max="7689" width="10.5703125" style="157" customWidth="1"/>
    <col min="7690" max="7690" width="8.85546875" style="157"/>
    <col min="7691" max="7692" width="12.42578125" style="157" customWidth="1"/>
    <col min="7693" max="7693" width="1.42578125" style="157" customWidth="1"/>
    <col min="7694" max="7694" width="12" style="157" customWidth="1"/>
    <col min="7695" max="7695" width="12.42578125" style="157" customWidth="1"/>
    <col min="7696" max="7696" width="12.28515625" style="157" customWidth="1"/>
    <col min="7697" max="7722" width="8.85546875" style="157"/>
    <col min="7723" max="7723" width="13.28515625" style="157" customWidth="1"/>
    <col min="7724" max="7942" width="8.85546875" style="157"/>
    <col min="7943" max="7943" width="8" style="157" customWidth="1"/>
    <col min="7944" max="7944" width="34" style="157" customWidth="1"/>
    <col min="7945" max="7945" width="10.5703125" style="157" customWidth="1"/>
    <col min="7946" max="7946" width="8.85546875" style="157"/>
    <col min="7947" max="7948" width="12.42578125" style="157" customWidth="1"/>
    <col min="7949" max="7949" width="1.42578125" style="157" customWidth="1"/>
    <col min="7950" max="7950" width="12" style="157" customWidth="1"/>
    <col min="7951" max="7951" width="12.42578125" style="157" customWidth="1"/>
    <col min="7952" max="7952" width="12.28515625" style="157" customWidth="1"/>
    <col min="7953" max="7978" width="8.85546875" style="157"/>
    <col min="7979" max="7979" width="13.28515625" style="157" customWidth="1"/>
    <col min="7980" max="8198" width="8.85546875" style="157"/>
    <col min="8199" max="8199" width="8" style="157" customWidth="1"/>
    <col min="8200" max="8200" width="34" style="157" customWidth="1"/>
    <col min="8201" max="8201" width="10.5703125" style="157" customWidth="1"/>
    <col min="8202" max="8202" width="8.85546875" style="157"/>
    <col min="8203" max="8204" width="12.42578125" style="157" customWidth="1"/>
    <col min="8205" max="8205" width="1.42578125" style="157" customWidth="1"/>
    <col min="8206" max="8206" width="12" style="157" customWidth="1"/>
    <col min="8207" max="8207" width="12.42578125" style="157" customWidth="1"/>
    <col min="8208" max="8208" width="12.28515625" style="157" customWidth="1"/>
    <col min="8209" max="8234" width="8.85546875" style="157"/>
    <col min="8235" max="8235" width="13.28515625" style="157" customWidth="1"/>
    <col min="8236" max="8454" width="8.85546875" style="157"/>
    <col min="8455" max="8455" width="8" style="157" customWidth="1"/>
    <col min="8456" max="8456" width="34" style="157" customWidth="1"/>
    <col min="8457" max="8457" width="10.5703125" style="157" customWidth="1"/>
    <col min="8458" max="8458" width="8.85546875" style="157"/>
    <col min="8459" max="8460" width="12.42578125" style="157" customWidth="1"/>
    <col min="8461" max="8461" width="1.42578125" style="157" customWidth="1"/>
    <col min="8462" max="8462" width="12" style="157" customWidth="1"/>
    <col min="8463" max="8463" width="12.42578125" style="157" customWidth="1"/>
    <col min="8464" max="8464" width="12.28515625" style="157" customWidth="1"/>
    <col min="8465" max="8490" width="8.85546875" style="157"/>
    <col min="8491" max="8491" width="13.28515625" style="157" customWidth="1"/>
    <col min="8492" max="8710" width="8.85546875" style="157"/>
    <col min="8711" max="8711" width="8" style="157" customWidth="1"/>
    <col min="8712" max="8712" width="34" style="157" customWidth="1"/>
    <col min="8713" max="8713" width="10.5703125" style="157" customWidth="1"/>
    <col min="8714" max="8714" width="8.85546875" style="157"/>
    <col min="8715" max="8716" width="12.42578125" style="157" customWidth="1"/>
    <col min="8717" max="8717" width="1.42578125" style="157" customWidth="1"/>
    <col min="8718" max="8718" width="12" style="157" customWidth="1"/>
    <col min="8719" max="8719" width="12.42578125" style="157" customWidth="1"/>
    <col min="8720" max="8720" width="12.28515625" style="157" customWidth="1"/>
    <col min="8721" max="8746" width="8.85546875" style="157"/>
    <col min="8747" max="8747" width="13.28515625" style="157" customWidth="1"/>
    <col min="8748" max="8966" width="8.85546875" style="157"/>
    <col min="8967" max="8967" width="8" style="157" customWidth="1"/>
    <col min="8968" max="8968" width="34" style="157" customWidth="1"/>
    <col min="8969" max="8969" width="10.5703125" style="157" customWidth="1"/>
    <col min="8970" max="8970" width="8.85546875" style="157"/>
    <col min="8971" max="8972" width="12.42578125" style="157" customWidth="1"/>
    <col min="8973" max="8973" width="1.42578125" style="157" customWidth="1"/>
    <col min="8974" max="8974" width="12" style="157" customWidth="1"/>
    <col min="8975" max="8975" width="12.42578125" style="157" customWidth="1"/>
    <col min="8976" max="8976" width="12.28515625" style="157" customWidth="1"/>
    <col min="8977" max="9002" width="8.85546875" style="157"/>
    <col min="9003" max="9003" width="13.28515625" style="157" customWidth="1"/>
    <col min="9004" max="9222" width="8.85546875" style="157"/>
    <col min="9223" max="9223" width="8" style="157" customWidth="1"/>
    <col min="9224" max="9224" width="34" style="157" customWidth="1"/>
    <col min="9225" max="9225" width="10.5703125" style="157" customWidth="1"/>
    <col min="9226" max="9226" width="8.85546875" style="157"/>
    <col min="9227" max="9228" width="12.42578125" style="157" customWidth="1"/>
    <col min="9229" max="9229" width="1.42578125" style="157" customWidth="1"/>
    <col min="9230" max="9230" width="12" style="157" customWidth="1"/>
    <col min="9231" max="9231" width="12.42578125" style="157" customWidth="1"/>
    <col min="9232" max="9232" width="12.28515625" style="157" customWidth="1"/>
    <col min="9233" max="9258" width="8.85546875" style="157"/>
    <col min="9259" max="9259" width="13.28515625" style="157" customWidth="1"/>
    <col min="9260" max="9478" width="8.85546875" style="157"/>
    <col min="9479" max="9479" width="8" style="157" customWidth="1"/>
    <col min="9480" max="9480" width="34" style="157" customWidth="1"/>
    <col min="9481" max="9481" width="10.5703125" style="157" customWidth="1"/>
    <col min="9482" max="9482" width="8.85546875" style="157"/>
    <col min="9483" max="9484" width="12.42578125" style="157" customWidth="1"/>
    <col min="9485" max="9485" width="1.42578125" style="157" customWidth="1"/>
    <col min="9486" max="9486" width="12" style="157" customWidth="1"/>
    <col min="9487" max="9487" width="12.42578125" style="157" customWidth="1"/>
    <col min="9488" max="9488" width="12.28515625" style="157" customWidth="1"/>
    <col min="9489" max="9514" width="8.85546875" style="157"/>
    <col min="9515" max="9515" width="13.28515625" style="157" customWidth="1"/>
    <col min="9516" max="9734" width="8.85546875" style="157"/>
    <col min="9735" max="9735" width="8" style="157" customWidth="1"/>
    <col min="9736" max="9736" width="34" style="157" customWidth="1"/>
    <col min="9737" max="9737" width="10.5703125" style="157" customWidth="1"/>
    <col min="9738" max="9738" width="8.85546875" style="157"/>
    <col min="9739" max="9740" width="12.42578125" style="157" customWidth="1"/>
    <col min="9741" max="9741" width="1.42578125" style="157" customWidth="1"/>
    <col min="9742" max="9742" width="12" style="157" customWidth="1"/>
    <col min="9743" max="9743" width="12.42578125" style="157" customWidth="1"/>
    <col min="9744" max="9744" width="12.28515625" style="157" customWidth="1"/>
    <col min="9745" max="9770" width="8.85546875" style="157"/>
    <col min="9771" max="9771" width="13.28515625" style="157" customWidth="1"/>
    <col min="9772" max="9990" width="8.85546875" style="157"/>
    <col min="9991" max="9991" width="8" style="157" customWidth="1"/>
    <col min="9992" max="9992" width="34" style="157" customWidth="1"/>
    <col min="9993" max="9993" width="10.5703125" style="157" customWidth="1"/>
    <col min="9994" max="9994" width="8.85546875" style="157"/>
    <col min="9995" max="9996" width="12.42578125" style="157" customWidth="1"/>
    <col min="9997" max="9997" width="1.42578125" style="157" customWidth="1"/>
    <col min="9998" max="9998" width="12" style="157" customWidth="1"/>
    <col min="9999" max="9999" width="12.42578125" style="157" customWidth="1"/>
    <col min="10000" max="10000" width="12.28515625" style="157" customWidth="1"/>
    <col min="10001" max="10026" width="8.85546875" style="157"/>
    <col min="10027" max="10027" width="13.28515625" style="157" customWidth="1"/>
    <col min="10028" max="10246" width="8.85546875" style="157"/>
    <col min="10247" max="10247" width="8" style="157" customWidth="1"/>
    <col min="10248" max="10248" width="34" style="157" customWidth="1"/>
    <col min="10249" max="10249" width="10.5703125" style="157" customWidth="1"/>
    <col min="10250" max="10250" width="8.85546875" style="157"/>
    <col min="10251" max="10252" width="12.42578125" style="157" customWidth="1"/>
    <col min="10253" max="10253" width="1.42578125" style="157" customWidth="1"/>
    <col min="10254" max="10254" width="12" style="157" customWidth="1"/>
    <col min="10255" max="10255" width="12.42578125" style="157" customWidth="1"/>
    <col min="10256" max="10256" width="12.28515625" style="157" customWidth="1"/>
    <col min="10257" max="10282" width="8.85546875" style="157"/>
    <col min="10283" max="10283" width="13.28515625" style="157" customWidth="1"/>
    <col min="10284" max="10502" width="8.85546875" style="157"/>
    <col min="10503" max="10503" width="8" style="157" customWidth="1"/>
    <col min="10504" max="10504" width="34" style="157" customWidth="1"/>
    <col min="10505" max="10505" width="10.5703125" style="157" customWidth="1"/>
    <col min="10506" max="10506" width="8.85546875" style="157"/>
    <col min="10507" max="10508" width="12.42578125" style="157" customWidth="1"/>
    <col min="10509" max="10509" width="1.42578125" style="157" customWidth="1"/>
    <col min="10510" max="10510" width="12" style="157" customWidth="1"/>
    <col min="10511" max="10511" width="12.42578125" style="157" customWidth="1"/>
    <col min="10512" max="10512" width="12.28515625" style="157" customWidth="1"/>
    <col min="10513" max="10538" width="8.85546875" style="157"/>
    <col min="10539" max="10539" width="13.28515625" style="157" customWidth="1"/>
    <col min="10540" max="10758" width="8.85546875" style="157"/>
    <col min="10759" max="10759" width="8" style="157" customWidth="1"/>
    <col min="10760" max="10760" width="34" style="157" customWidth="1"/>
    <col min="10761" max="10761" width="10.5703125" style="157" customWidth="1"/>
    <col min="10762" max="10762" width="8.85546875" style="157"/>
    <col min="10763" max="10764" width="12.42578125" style="157" customWidth="1"/>
    <col min="10765" max="10765" width="1.42578125" style="157" customWidth="1"/>
    <col min="10766" max="10766" width="12" style="157" customWidth="1"/>
    <col min="10767" max="10767" width="12.42578125" style="157" customWidth="1"/>
    <col min="10768" max="10768" width="12.28515625" style="157" customWidth="1"/>
    <col min="10769" max="10794" width="8.85546875" style="157"/>
    <col min="10795" max="10795" width="13.28515625" style="157" customWidth="1"/>
    <col min="10796" max="11014" width="8.85546875" style="157"/>
    <col min="11015" max="11015" width="8" style="157" customWidth="1"/>
    <col min="11016" max="11016" width="34" style="157" customWidth="1"/>
    <col min="11017" max="11017" width="10.5703125" style="157" customWidth="1"/>
    <col min="11018" max="11018" width="8.85546875" style="157"/>
    <col min="11019" max="11020" width="12.42578125" style="157" customWidth="1"/>
    <col min="11021" max="11021" width="1.42578125" style="157" customWidth="1"/>
    <col min="11022" max="11022" width="12" style="157" customWidth="1"/>
    <col min="11023" max="11023" width="12.42578125" style="157" customWidth="1"/>
    <col min="11024" max="11024" width="12.28515625" style="157" customWidth="1"/>
    <col min="11025" max="11050" width="8.85546875" style="157"/>
    <col min="11051" max="11051" width="13.28515625" style="157" customWidth="1"/>
    <col min="11052" max="11270" width="8.85546875" style="157"/>
    <col min="11271" max="11271" width="8" style="157" customWidth="1"/>
    <col min="11272" max="11272" width="34" style="157" customWidth="1"/>
    <col min="11273" max="11273" width="10.5703125" style="157" customWidth="1"/>
    <col min="11274" max="11274" width="8.85546875" style="157"/>
    <col min="11275" max="11276" width="12.42578125" style="157" customWidth="1"/>
    <col min="11277" max="11277" width="1.42578125" style="157" customWidth="1"/>
    <col min="11278" max="11278" width="12" style="157" customWidth="1"/>
    <col min="11279" max="11279" width="12.42578125" style="157" customWidth="1"/>
    <col min="11280" max="11280" width="12.28515625" style="157" customWidth="1"/>
    <col min="11281" max="11306" width="8.85546875" style="157"/>
    <col min="11307" max="11307" width="13.28515625" style="157" customWidth="1"/>
    <col min="11308" max="11526" width="8.85546875" style="157"/>
    <col min="11527" max="11527" width="8" style="157" customWidth="1"/>
    <col min="11528" max="11528" width="34" style="157" customWidth="1"/>
    <col min="11529" max="11529" width="10.5703125" style="157" customWidth="1"/>
    <col min="11530" max="11530" width="8.85546875" style="157"/>
    <col min="11531" max="11532" width="12.42578125" style="157" customWidth="1"/>
    <col min="11533" max="11533" width="1.42578125" style="157" customWidth="1"/>
    <col min="11534" max="11534" width="12" style="157" customWidth="1"/>
    <col min="11535" max="11535" width="12.42578125" style="157" customWidth="1"/>
    <col min="11536" max="11536" width="12.28515625" style="157" customWidth="1"/>
    <col min="11537" max="11562" width="8.85546875" style="157"/>
    <col min="11563" max="11563" width="13.28515625" style="157" customWidth="1"/>
    <col min="11564" max="11782" width="8.85546875" style="157"/>
    <col min="11783" max="11783" width="8" style="157" customWidth="1"/>
    <col min="11784" max="11784" width="34" style="157" customWidth="1"/>
    <col min="11785" max="11785" width="10.5703125" style="157" customWidth="1"/>
    <col min="11786" max="11786" width="8.85546875" style="157"/>
    <col min="11787" max="11788" width="12.42578125" style="157" customWidth="1"/>
    <col min="11789" max="11789" width="1.42578125" style="157" customWidth="1"/>
    <col min="11790" max="11790" width="12" style="157" customWidth="1"/>
    <col min="11791" max="11791" width="12.42578125" style="157" customWidth="1"/>
    <col min="11792" max="11792" width="12.28515625" style="157" customWidth="1"/>
    <col min="11793" max="11818" width="8.85546875" style="157"/>
    <col min="11819" max="11819" width="13.28515625" style="157" customWidth="1"/>
    <col min="11820" max="12038" width="8.85546875" style="157"/>
    <col min="12039" max="12039" width="8" style="157" customWidth="1"/>
    <col min="12040" max="12040" width="34" style="157" customWidth="1"/>
    <col min="12041" max="12041" width="10.5703125" style="157" customWidth="1"/>
    <col min="12042" max="12042" width="8.85546875" style="157"/>
    <col min="12043" max="12044" width="12.42578125" style="157" customWidth="1"/>
    <col min="12045" max="12045" width="1.42578125" style="157" customWidth="1"/>
    <col min="12046" max="12046" width="12" style="157" customWidth="1"/>
    <col min="12047" max="12047" width="12.42578125" style="157" customWidth="1"/>
    <col min="12048" max="12048" width="12.28515625" style="157" customWidth="1"/>
    <col min="12049" max="12074" width="8.85546875" style="157"/>
    <col min="12075" max="12075" width="13.28515625" style="157" customWidth="1"/>
    <col min="12076" max="12294" width="8.85546875" style="157"/>
    <col min="12295" max="12295" width="8" style="157" customWidth="1"/>
    <col min="12296" max="12296" width="34" style="157" customWidth="1"/>
    <col min="12297" max="12297" width="10.5703125" style="157" customWidth="1"/>
    <col min="12298" max="12298" width="8.85546875" style="157"/>
    <col min="12299" max="12300" width="12.42578125" style="157" customWidth="1"/>
    <col min="12301" max="12301" width="1.42578125" style="157" customWidth="1"/>
    <col min="12302" max="12302" width="12" style="157" customWidth="1"/>
    <col min="12303" max="12303" width="12.42578125" style="157" customWidth="1"/>
    <col min="12304" max="12304" width="12.28515625" style="157" customWidth="1"/>
    <col min="12305" max="12330" width="8.85546875" style="157"/>
    <col min="12331" max="12331" width="13.28515625" style="157" customWidth="1"/>
    <col min="12332" max="12550" width="8.85546875" style="157"/>
    <col min="12551" max="12551" width="8" style="157" customWidth="1"/>
    <col min="12552" max="12552" width="34" style="157" customWidth="1"/>
    <col min="12553" max="12553" width="10.5703125" style="157" customWidth="1"/>
    <col min="12554" max="12554" width="8.85546875" style="157"/>
    <col min="12555" max="12556" width="12.42578125" style="157" customWidth="1"/>
    <col min="12557" max="12557" width="1.42578125" style="157" customWidth="1"/>
    <col min="12558" max="12558" width="12" style="157" customWidth="1"/>
    <col min="12559" max="12559" width="12.42578125" style="157" customWidth="1"/>
    <col min="12560" max="12560" width="12.28515625" style="157" customWidth="1"/>
    <col min="12561" max="12586" width="8.85546875" style="157"/>
    <col min="12587" max="12587" width="13.28515625" style="157" customWidth="1"/>
    <col min="12588" max="12806" width="8.85546875" style="157"/>
    <col min="12807" max="12807" width="8" style="157" customWidth="1"/>
    <col min="12808" max="12808" width="34" style="157" customWidth="1"/>
    <col min="12809" max="12809" width="10.5703125" style="157" customWidth="1"/>
    <col min="12810" max="12810" width="8.85546875" style="157"/>
    <col min="12811" max="12812" width="12.42578125" style="157" customWidth="1"/>
    <col min="12813" max="12813" width="1.42578125" style="157" customWidth="1"/>
    <col min="12814" max="12814" width="12" style="157" customWidth="1"/>
    <col min="12815" max="12815" width="12.42578125" style="157" customWidth="1"/>
    <col min="12816" max="12816" width="12.28515625" style="157" customWidth="1"/>
    <col min="12817" max="12842" width="8.85546875" style="157"/>
    <col min="12843" max="12843" width="13.28515625" style="157" customWidth="1"/>
    <col min="12844" max="13062" width="8.85546875" style="157"/>
    <col min="13063" max="13063" width="8" style="157" customWidth="1"/>
    <col min="13064" max="13064" width="34" style="157" customWidth="1"/>
    <col min="13065" max="13065" width="10.5703125" style="157" customWidth="1"/>
    <col min="13066" max="13066" width="8.85546875" style="157"/>
    <col min="13067" max="13068" width="12.42578125" style="157" customWidth="1"/>
    <col min="13069" max="13069" width="1.42578125" style="157" customWidth="1"/>
    <col min="13070" max="13070" width="12" style="157" customWidth="1"/>
    <col min="13071" max="13071" width="12.42578125" style="157" customWidth="1"/>
    <col min="13072" max="13072" width="12.28515625" style="157" customWidth="1"/>
    <col min="13073" max="13098" width="8.85546875" style="157"/>
    <col min="13099" max="13099" width="13.28515625" style="157" customWidth="1"/>
    <col min="13100" max="13318" width="8.85546875" style="157"/>
    <col min="13319" max="13319" width="8" style="157" customWidth="1"/>
    <col min="13320" max="13320" width="34" style="157" customWidth="1"/>
    <col min="13321" max="13321" width="10.5703125" style="157" customWidth="1"/>
    <col min="13322" max="13322" width="8.85546875" style="157"/>
    <col min="13323" max="13324" width="12.42578125" style="157" customWidth="1"/>
    <col min="13325" max="13325" width="1.42578125" style="157" customWidth="1"/>
    <col min="13326" max="13326" width="12" style="157" customWidth="1"/>
    <col min="13327" max="13327" width="12.42578125" style="157" customWidth="1"/>
    <col min="13328" max="13328" width="12.28515625" style="157" customWidth="1"/>
    <col min="13329" max="13354" width="8.85546875" style="157"/>
    <col min="13355" max="13355" width="13.28515625" style="157" customWidth="1"/>
    <col min="13356" max="13574" width="8.85546875" style="157"/>
    <col min="13575" max="13575" width="8" style="157" customWidth="1"/>
    <col min="13576" max="13576" width="34" style="157" customWidth="1"/>
    <col min="13577" max="13577" width="10.5703125" style="157" customWidth="1"/>
    <col min="13578" max="13578" width="8.85546875" style="157"/>
    <col min="13579" max="13580" width="12.42578125" style="157" customWidth="1"/>
    <col min="13581" max="13581" width="1.42578125" style="157" customWidth="1"/>
    <col min="13582" max="13582" width="12" style="157" customWidth="1"/>
    <col min="13583" max="13583" width="12.42578125" style="157" customWidth="1"/>
    <col min="13584" max="13584" width="12.28515625" style="157" customWidth="1"/>
    <col min="13585" max="13610" width="8.85546875" style="157"/>
    <col min="13611" max="13611" width="13.28515625" style="157" customWidth="1"/>
    <col min="13612" max="13830" width="8.85546875" style="157"/>
    <col min="13831" max="13831" width="8" style="157" customWidth="1"/>
    <col min="13832" max="13832" width="34" style="157" customWidth="1"/>
    <col min="13833" max="13833" width="10.5703125" style="157" customWidth="1"/>
    <col min="13834" max="13834" width="8.85546875" style="157"/>
    <col min="13835" max="13836" width="12.42578125" style="157" customWidth="1"/>
    <col min="13837" max="13837" width="1.42578125" style="157" customWidth="1"/>
    <col min="13838" max="13838" width="12" style="157" customWidth="1"/>
    <col min="13839" max="13839" width="12.42578125" style="157" customWidth="1"/>
    <col min="13840" max="13840" width="12.28515625" style="157" customWidth="1"/>
    <col min="13841" max="13866" width="8.85546875" style="157"/>
    <col min="13867" max="13867" width="13.28515625" style="157" customWidth="1"/>
    <col min="13868" max="14086" width="8.85546875" style="157"/>
    <col min="14087" max="14087" width="8" style="157" customWidth="1"/>
    <col min="14088" max="14088" width="34" style="157" customWidth="1"/>
    <col min="14089" max="14089" width="10.5703125" style="157" customWidth="1"/>
    <col min="14090" max="14090" width="8.85546875" style="157"/>
    <col min="14091" max="14092" width="12.42578125" style="157" customWidth="1"/>
    <col min="14093" max="14093" width="1.42578125" style="157" customWidth="1"/>
    <col min="14094" max="14094" width="12" style="157" customWidth="1"/>
    <col min="14095" max="14095" width="12.42578125" style="157" customWidth="1"/>
    <col min="14096" max="14096" width="12.28515625" style="157" customWidth="1"/>
    <col min="14097" max="14122" width="8.85546875" style="157"/>
    <col min="14123" max="14123" width="13.28515625" style="157" customWidth="1"/>
    <col min="14124" max="14342" width="8.85546875" style="157"/>
    <col min="14343" max="14343" width="8" style="157" customWidth="1"/>
    <col min="14344" max="14344" width="34" style="157" customWidth="1"/>
    <col min="14345" max="14345" width="10.5703125" style="157" customWidth="1"/>
    <col min="14346" max="14346" width="8.85546875" style="157"/>
    <col min="14347" max="14348" width="12.42578125" style="157" customWidth="1"/>
    <col min="14349" max="14349" width="1.42578125" style="157" customWidth="1"/>
    <col min="14350" max="14350" width="12" style="157" customWidth="1"/>
    <col min="14351" max="14351" width="12.42578125" style="157" customWidth="1"/>
    <col min="14352" max="14352" width="12.28515625" style="157" customWidth="1"/>
    <col min="14353" max="14378" width="8.85546875" style="157"/>
    <col min="14379" max="14379" width="13.28515625" style="157" customWidth="1"/>
    <col min="14380" max="14598" width="8.85546875" style="157"/>
    <col min="14599" max="14599" width="8" style="157" customWidth="1"/>
    <col min="14600" max="14600" width="34" style="157" customWidth="1"/>
    <col min="14601" max="14601" width="10.5703125" style="157" customWidth="1"/>
    <col min="14602" max="14602" width="8.85546875" style="157"/>
    <col min="14603" max="14604" width="12.42578125" style="157" customWidth="1"/>
    <col min="14605" max="14605" width="1.42578125" style="157" customWidth="1"/>
    <col min="14606" max="14606" width="12" style="157" customWidth="1"/>
    <col min="14607" max="14607" width="12.42578125" style="157" customWidth="1"/>
    <col min="14608" max="14608" width="12.28515625" style="157" customWidth="1"/>
    <col min="14609" max="14634" width="8.85546875" style="157"/>
    <col min="14635" max="14635" width="13.28515625" style="157" customWidth="1"/>
    <col min="14636" max="14854" width="8.85546875" style="157"/>
    <col min="14855" max="14855" width="8" style="157" customWidth="1"/>
    <col min="14856" max="14856" width="34" style="157" customWidth="1"/>
    <col min="14857" max="14857" width="10.5703125" style="157" customWidth="1"/>
    <col min="14858" max="14858" width="8.85546875" style="157"/>
    <col min="14859" max="14860" width="12.42578125" style="157" customWidth="1"/>
    <col min="14861" max="14861" width="1.42578125" style="157" customWidth="1"/>
    <col min="14862" max="14862" width="12" style="157" customWidth="1"/>
    <col min="14863" max="14863" width="12.42578125" style="157" customWidth="1"/>
    <col min="14864" max="14864" width="12.28515625" style="157" customWidth="1"/>
    <col min="14865" max="14890" width="8.85546875" style="157"/>
    <col min="14891" max="14891" width="13.28515625" style="157" customWidth="1"/>
    <col min="14892" max="15110" width="8.85546875" style="157"/>
    <col min="15111" max="15111" width="8" style="157" customWidth="1"/>
    <col min="15112" max="15112" width="34" style="157" customWidth="1"/>
    <col min="15113" max="15113" width="10.5703125" style="157" customWidth="1"/>
    <col min="15114" max="15114" width="8.85546875" style="157"/>
    <col min="15115" max="15116" width="12.42578125" style="157" customWidth="1"/>
    <col min="15117" max="15117" width="1.42578125" style="157" customWidth="1"/>
    <col min="15118" max="15118" width="12" style="157" customWidth="1"/>
    <col min="15119" max="15119" width="12.42578125" style="157" customWidth="1"/>
    <col min="15120" max="15120" width="12.28515625" style="157" customWidth="1"/>
    <col min="15121" max="15146" width="8.85546875" style="157"/>
    <col min="15147" max="15147" width="13.28515625" style="157" customWidth="1"/>
    <col min="15148" max="15366" width="8.85546875" style="157"/>
    <col min="15367" max="15367" width="8" style="157" customWidth="1"/>
    <col min="15368" max="15368" width="34" style="157" customWidth="1"/>
    <col min="15369" max="15369" width="10.5703125" style="157" customWidth="1"/>
    <col min="15370" max="15370" width="8.85546875" style="157"/>
    <col min="15371" max="15372" width="12.42578125" style="157" customWidth="1"/>
    <col min="15373" max="15373" width="1.42578125" style="157" customWidth="1"/>
    <col min="15374" max="15374" width="12" style="157" customWidth="1"/>
    <col min="15375" max="15375" width="12.42578125" style="157" customWidth="1"/>
    <col min="15376" max="15376" width="12.28515625" style="157" customWidth="1"/>
    <col min="15377" max="15402" width="8.85546875" style="157"/>
    <col min="15403" max="15403" width="13.28515625" style="157" customWidth="1"/>
    <col min="15404" max="15622" width="8.85546875" style="157"/>
    <col min="15623" max="15623" width="8" style="157" customWidth="1"/>
    <col min="15624" max="15624" width="34" style="157" customWidth="1"/>
    <col min="15625" max="15625" width="10.5703125" style="157" customWidth="1"/>
    <col min="15626" max="15626" width="8.85546875" style="157"/>
    <col min="15627" max="15628" width="12.42578125" style="157" customWidth="1"/>
    <col min="15629" max="15629" width="1.42578125" style="157" customWidth="1"/>
    <col min="15630" max="15630" width="12" style="157" customWidth="1"/>
    <col min="15631" max="15631" width="12.42578125" style="157" customWidth="1"/>
    <col min="15632" max="15632" width="12.28515625" style="157" customWidth="1"/>
    <col min="15633" max="15658" width="8.85546875" style="157"/>
    <col min="15659" max="15659" width="13.28515625" style="157" customWidth="1"/>
    <col min="15660" max="15878" width="8.85546875" style="157"/>
    <col min="15879" max="15879" width="8" style="157" customWidth="1"/>
    <col min="15880" max="15880" width="34" style="157" customWidth="1"/>
    <col min="15881" max="15881" width="10.5703125" style="157" customWidth="1"/>
    <col min="15882" max="15882" width="8.85546875" style="157"/>
    <col min="15883" max="15884" width="12.42578125" style="157" customWidth="1"/>
    <col min="15885" max="15885" width="1.42578125" style="157" customWidth="1"/>
    <col min="15886" max="15886" width="12" style="157" customWidth="1"/>
    <col min="15887" max="15887" width="12.42578125" style="157" customWidth="1"/>
    <col min="15888" max="15888" width="12.28515625" style="157" customWidth="1"/>
    <col min="15889" max="15914" width="8.85546875" style="157"/>
    <col min="15915" max="15915" width="13.28515625" style="157" customWidth="1"/>
    <col min="15916" max="16134" width="8.85546875" style="157"/>
    <col min="16135" max="16135" width="8" style="157" customWidth="1"/>
    <col min="16136" max="16136" width="34" style="157" customWidth="1"/>
    <col min="16137" max="16137" width="10.5703125" style="157" customWidth="1"/>
    <col min="16138" max="16138" width="8.85546875" style="157"/>
    <col min="16139" max="16140" width="12.42578125" style="157" customWidth="1"/>
    <col min="16141" max="16141" width="1.42578125" style="157" customWidth="1"/>
    <col min="16142" max="16142" width="12" style="157" customWidth="1"/>
    <col min="16143" max="16143" width="12.42578125" style="157" customWidth="1"/>
    <col min="16144" max="16144" width="12.28515625" style="157" customWidth="1"/>
    <col min="16145" max="16170" width="8.85546875" style="157"/>
    <col min="16171" max="16171" width="13.28515625" style="157" customWidth="1"/>
    <col min="16172" max="16384" width="8.85546875" style="157"/>
  </cols>
  <sheetData>
    <row r="1" spans="1:92" ht="23.25">
      <c r="B1" s="1236" t="s">
        <v>790</v>
      </c>
    </row>
    <row r="2" spans="1:92" ht="23.25">
      <c r="B2" s="1236" t="s">
        <v>803</v>
      </c>
    </row>
    <row r="4" spans="1:92" ht="21" customHeight="1" thickBot="1">
      <c r="B4" s="484" t="s">
        <v>139</v>
      </c>
      <c r="C4" s="484"/>
      <c r="D4" s="484"/>
      <c r="E4" s="484"/>
      <c r="F4" s="484"/>
      <c r="G4" s="484"/>
      <c r="H4" s="484"/>
      <c r="I4" s="1268" t="s">
        <v>791</v>
      </c>
      <c r="J4" s="1268" t="s">
        <v>792</v>
      </c>
      <c r="K4" s="1269" t="s">
        <v>793</v>
      </c>
      <c r="L4" s="1581" t="s">
        <v>794</v>
      </c>
      <c r="M4" s="1581"/>
      <c r="N4" s="1581" t="s">
        <v>795</v>
      </c>
      <c r="O4" s="1581"/>
      <c r="P4" s="1581" t="s">
        <v>796</v>
      </c>
      <c r="Q4" s="1581"/>
      <c r="R4" s="1581" t="s">
        <v>797</v>
      </c>
      <c r="S4" s="1581"/>
      <c r="T4" s="1581" t="s">
        <v>798</v>
      </c>
      <c r="U4" s="1581"/>
      <c r="V4" s="1473" t="s">
        <v>888</v>
      </c>
      <c r="W4" s="1473" t="s">
        <v>889</v>
      </c>
      <c r="X4" s="1473" t="s">
        <v>890</v>
      </c>
      <c r="Y4" s="1473" t="s">
        <v>891</v>
      </c>
      <c r="Z4" s="1473" t="s">
        <v>892</v>
      </c>
      <c r="AA4" s="1473" t="s">
        <v>893</v>
      </c>
      <c r="AB4" s="1473" t="s">
        <v>894</v>
      </c>
      <c r="AC4" s="1473" t="s">
        <v>895</v>
      </c>
      <c r="AD4" s="1473" t="s">
        <v>896</v>
      </c>
      <c r="AE4" s="1473" t="s">
        <v>897</v>
      </c>
      <c r="AF4" s="1473" t="s">
        <v>898</v>
      </c>
      <c r="AG4" s="1473" t="s">
        <v>899</v>
      </c>
      <c r="AH4" s="1473" t="s">
        <v>900</v>
      </c>
      <c r="AI4" s="1473" t="s">
        <v>901</v>
      </c>
      <c r="AJ4" s="1473" t="s">
        <v>902</v>
      </c>
      <c r="AK4" s="1473" t="s">
        <v>903</v>
      </c>
      <c r="AL4" s="1473" t="s">
        <v>904</v>
      </c>
      <c r="AM4" s="1473" t="s">
        <v>905</v>
      </c>
      <c r="AN4" s="1473" t="s">
        <v>906</v>
      </c>
      <c r="AO4" s="1473" t="s">
        <v>907</v>
      </c>
      <c r="AP4" s="1473" t="s">
        <v>908</v>
      </c>
      <c r="AQ4" s="1473" t="s">
        <v>909</v>
      </c>
      <c r="AR4" s="486"/>
      <c r="AS4" s="172"/>
      <c r="CN4" s="157"/>
    </row>
    <row r="5" spans="1:92" s="158" customFormat="1" ht="20.25" customHeight="1" thickBot="1">
      <c r="A5" s="203"/>
      <c r="B5" s="172"/>
      <c r="C5" s="172"/>
      <c r="D5" s="201"/>
      <c r="E5" s="777"/>
      <c r="F5" s="172"/>
      <c r="G5" s="172"/>
      <c r="H5" s="172"/>
      <c r="I5" s="1271" t="s">
        <v>140</v>
      </c>
      <c r="J5" s="1272"/>
      <c r="K5" s="1272"/>
      <c r="L5" s="1272"/>
      <c r="M5" s="1272"/>
      <c r="N5" s="1272"/>
      <c r="O5" s="1272"/>
      <c r="P5" s="1272"/>
      <c r="Q5" s="1272"/>
      <c r="R5" s="1272"/>
      <c r="S5" s="1272"/>
      <c r="T5" s="1272"/>
      <c r="U5" s="1272"/>
      <c r="V5" s="1272"/>
      <c r="W5" s="1273"/>
      <c r="X5" s="1271" t="s">
        <v>140</v>
      </c>
      <c r="Y5" s="1272"/>
      <c r="Z5" s="1272"/>
      <c r="AA5" s="1272"/>
      <c r="AB5" s="1272"/>
      <c r="AC5" s="1274"/>
      <c r="AD5" s="1272"/>
      <c r="AE5" s="1272"/>
      <c r="AF5" s="1272"/>
      <c r="AG5" s="1273"/>
      <c r="AH5" s="1271" t="s">
        <v>140</v>
      </c>
      <c r="AI5" s="1272"/>
      <c r="AJ5" s="1272"/>
      <c r="AK5" s="1272"/>
      <c r="AL5" s="1272"/>
      <c r="AM5" s="1272"/>
      <c r="AN5" s="1272"/>
      <c r="AO5" s="1272"/>
      <c r="AP5" s="1272"/>
      <c r="AQ5" s="1273"/>
      <c r="AR5" s="172"/>
      <c r="AS5" s="486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</row>
    <row r="6" spans="1:92" s="158" customFormat="1" ht="20.25" customHeight="1" thickBot="1">
      <c r="A6" s="885"/>
      <c r="B6" s="173"/>
      <c r="C6" s="173"/>
      <c r="D6" s="174" t="s">
        <v>141</v>
      </c>
      <c r="E6" s="175" t="s">
        <v>142</v>
      </c>
      <c r="F6" s="175" t="s">
        <v>143</v>
      </c>
      <c r="G6" s="176" t="s">
        <v>144</v>
      </c>
      <c r="H6" s="177"/>
      <c r="I6" s="878" t="s">
        <v>350</v>
      </c>
      <c r="J6" s="879" t="s">
        <v>351</v>
      </c>
      <c r="K6" s="878" t="s">
        <v>352</v>
      </c>
      <c r="L6" s="1579" t="s">
        <v>353</v>
      </c>
      <c r="M6" s="1580"/>
      <c r="N6" s="1579" t="s">
        <v>354</v>
      </c>
      <c r="O6" s="1580"/>
      <c r="P6" s="1579" t="s">
        <v>355</v>
      </c>
      <c r="Q6" s="1580"/>
      <c r="R6" s="1579" t="s">
        <v>356</v>
      </c>
      <c r="S6" s="1580"/>
      <c r="T6" s="1579" t="s">
        <v>357</v>
      </c>
      <c r="U6" s="1580"/>
      <c r="V6" s="960" t="s">
        <v>358</v>
      </c>
      <c r="W6" s="959" t="s">
        <v>181</v>
      </c>
      <c r="X6" s="960" t="s">
        <v>182</v>
      </c>
      <c r="Y6" s="959" t="s">
        <v>183</v>
      </c>
      <c r="Z6" s="1275" t="s">
        <v>184</v>
      </c>
      <c r="AA6" s="1276" t="s">
        <v>185</v>
      </c>
      <c r="AB6" s="1275" t="s">
        <v>186</v>
      </c>
      <c r="AC6" s="1276" t="s">
        <v>187</v>
      </c>
      <c r="AD6" s="1275" t="s">
        <v>188</v>
      </c>
      <c r="AE6" s="1276" t="s">
        <v>189</v>
      </c>
      <c r="AF6" s="1275" t="s">
        <v>190</v>
      </c>
      <c r="AG6" s="1276" t="s">
        <v>191</v>
      </c>
      <c r="AH6" s="1275" t="s">
        <v>192</v>
      </c>
      <c r="AI6" s="1276" t="s">
        <v>193</v>
      </c>
      <c r="AJ6" s="1275" t="s">
        <v>194</v>
      </c>
      <c r="AK6" s="1276" t="s">
        <v>195</v>
      </c>
      <c r="AL6" s="1275" t="s">
        <v>196</v>
      </c>
      <c r="AM6" s="1276" t="s">
        <v>197</v>
      </c>
      <c r="AN6" s="1275" t="s">
        <v>198</v>
      </c>
      <c r="AO6" s="1276" t="s">
        <v>199</v>
      </c>
      <c r="AP6" s="1275" t="s">
        <v>200</v>
      </c>
      <c r="AQ6" s="1276" t="s">
        <v>201</v>
      </c>
      <c r="AR6" s="173"/>
      <c r="AS6" s="490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  <c r="BP6" s="173"/>
      <c r="BQ6" s="173"/>
      <c r="BR6" s="173"/>
      <c r="BS6" s="173"/>
      <c r="BT6" s="173"/>
      <c r="BU6" s="173"/>
      <c r="BV6" s="173"/>
      <c r="BW6" s="173"/>
      <c r="BX6" s="173"/>
      <c r="BY6" s="173"/>
      <c r="BZ6" s="173"/>
      <c r="CA6" s="173"/>
      <c r="CB6" s="173"/>
      <c r="CC6" s="173"/>
      <c r="CD6" s="173"/>
      <c r="CE6" s="173"/>
      <c r="CF6" s="173"/>
      <c r="CG6" s="173"/>
      <c r="CH6" s="173"/>
      <c r="CI6" s="173"/>
      <c r="CJ6" s="173"/>
      <c r="CK6" s="173"/>
      <c r="CL6" s="173"/>
      <c r="CM6" s="173"/>
      <c r="CN6" s="173"/>
    </row>
    <row r="7" spans="1:92" s="158" customFormat="1" ht="20.25" customHeight="1" thickBot="1">
      <c r="A7" s="885"/>
      <c r="B7" s="173"/>
      <c r="C7" s="173"/>
      <c r="D7" s="1277"/>
      <c r="E7" s="1277"/>
      <c r="F7" s="1278"/>
      <c r="G7" s="176"/>
      <c r="H7" s="177"/>
      <c r="I7" s="878" t="s">
        <v>681</v>
      </c>
      <c r="J7" s="878" t="s">
        <v>681</v>
      </c>
      <c r="K7" s="878" t="s">
        <v>681</v>
      </c>
      <c r="L7" s="959" t="s">
        <v>684</v>
      </c>
      <c r="M7" s="878" t="s">
        <v>799</v>
      </c>
      <c r="N7" s="959" t="s">
        <v>684</v>
      </c>
      <c r="O7" s="878" t="s">
        <v>681</v>
      </c>
      <c r="P7" s="959" t="s">
        <v>684</v>
      </c>
      <c r="Q7" s="878" t="s">
        <v>681</v>
      </c>
      <c r="R7" s="959" t="s">
        <v>684</v>
      </c>
      <c r="S7" s="878" t="s">
        <v>681</v>
      </c>
      <c r="T7" s="959"/>
      <c r="U7" s="878"/>
      <c r="V7" s="960"/>
      <c r="W7" s="959"/>
      <c r="X7" s="960"/>
      <c r="Y7" s="959"/>
      <c r="Z7" s="1275"/>
      <c r="AA7" s="1276"/>
      <c r="AB7" s="1275"/>
      <c r="AC7" s="1276"/>
      <c r="AD7" s="1275"/>
      <c r="AE7" s="1276"/>
      <c r="AF7" s="1275"/>
      <c r="AG7" s="1276"/>
      <c r="AH7" s="1275"/>
      <c r="AI7" s="1276"/>
      <c r="AJ7" s="1275"/>
      <c r="AK7" s="1276"/>
      <c r="AL7" s="1275"/>
      <c r="AM7" s="1276"/>
      <c r="AN7" s="1275"/>
      <c r="AO7" s="1276"/>
      <c r="AP7" s="1275"/>
      <c r="AQ7" s="1276"/>
      <c r="AR7" s="173"/>
      <c r="AS7" s="490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  <c r="BQ7" s="173"/>
      <c r="BR7" s="173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173"/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</row>
    <row r="8" spans="1:92" ht="20.25" customHeight="1" thickBot="1">
      <c r="B8" s="178">
        <v>1</v>
      </c>
      <c r="C8" s="179" t="s">
        <v>145</v>
      </c>
      <c r="D8" s="180"/>
      <c r="E8" s="181"/>
      <c r="F8" s="182"/>
      <c r="G8" s="1279">
        <v>5766701.0524623971</v>
      </c>
      <c r="H8" s="1280"/>
      <c r="I8" s="1281">
        <v>415657.32533219026</v>
      </c>
      <c r="J8" s="1281">
        <v>276066.08191973524</v>
      </c>
      <c r="K8" s="1281">
        <v>179425.64556351057</v>
      </c>
      <c r="L8" s="1282">
        <v>933448.36467965948</v>
      </c>
      <c r="M8" s="1283">
        <v>46105</v>
      </c>
      <c r="N8" s="1282">
        <v>33061.865972076979</v>
      </c>
      <c r="O8" s="1284">
        <v>473742.05000000005</v>
      </c>
      <c r="P8" s="1282">
        <v>33061.865972076979</v>
      </c>
      <c r="Q8" s="1284">
        <v>2879412.6199999996</v>
      </c>
      <c r="R8" s="1282">
        <v>33061.865972076979</v>
      </c>
      <c r="S8" s="1284">
        <v>58655.130000000005</v>
      </c>
      <c r="T8" s="1282">
        <v>33061.865972076979</v>
      </c>
      <c r="U8" s="1284">
        <f>U9+U19+U22+U26</f>
        <v>39750</v>
      </c>
      <c r="V8" s="1282">
        <v>33061.865972076979</v>
      </c>
      <c r="W8" s="1282">
        <v>33061.865972076979</v>
      </c>
      <c r="X8" s="1282">
        <v>33061.865972076979</v>
      </c>
      <c r="Y8" s="1282">
        <v>33061.865972076979</v>
      </c>
      <c r="Z8" s="1285">
        <v>33061.865972076979</v>
      </c>
      <c r="AA8" s="1285">
        <v>33061.865972076979</v>
      </c>
      <c r="AB8" s="1285">
        <v>33061.865972076979</v>
      </c>
      <c r="AC8" s="1285">
        <v>33061.865972076979</v>
      </c>
      <c r="AD8" s="1285">
        <v>33061.865972076979</v>
      </c>
      <c r="AE8" s="1285">
        <v>33061.865972076979</v>
      </c>
      <c r="AF8" s="1285">
        <v>33061.865972076979</v>
      </c>
      <c r="AG8" s="1285">
        <v>33061.865972076979</v>
      </c>
      <c r="AH8" s="1285">
        <v>33061.865972076979</v>
      </c>
      <c r="AI8" s="1285">
        <v>33061.865972076979</v>
      </c>
      <c r="AJ8" s="1285">
        <v>33061.865972076979</v>
      </c>
      <c r="AK8" s="1285">
        <v>33061.865972076979</v>
      </c>
      <c r="AL8" s="1285">
        <v>33061.865972076979</v>
      </c>
      <c r="AM8" s="1285">
        <v>33061.865972076979</v>
      </c>
      <c r="AN8" s="1285">
        <v>33061.865972076979</v>
      </c>
      <c r="AO8" s="1285">
        <v>33061.865972076979</v>
      </c>
      <c r="AP8" s="1285">
        <v>33061.865972076979</v>
      </c>
      <c r="AQ8" s="1285">
        <v>33061.865972076979</v>
      </c>
      <c r="AR8" s="486"/>
      <c r="AS8" s="1286">
        <v>374069.68030668888</v>
      </c>
      <c r="AT8" s="486"/>
      <c r="AU8" s="486"/>
      <c r="AV8" s="486"/>
      <c r="AW8" s="486"/>
      <c r="AX8" s="487"/>
      <c r="AY8" s="487"/>
      <c r="AZ8" s="487"/>
      <c r="BA8" s="487"/>
    </row>
    <row r="9" spans="1:92" ht="20.25" customHeight="1" thickBot="1">
      <c r="B9" s="778" t="s">
        <v>146</v>
      </c>
      <c r="C9" s="779" t="s">
        <v>147</v>
      </c>
      <c r="D9" s="174"/>
      <c r="E9" s="780"/>
      <c r="F9" s="781"/>
      <c r="G9" s="782">
        <v>601353.6686383913</v>
      </c>
      <c r="H9" s="1287"/>
      <c r="I9" s="1288">
        <v>298647.82683240459</v>
      </c>
      <c r="J9" s="1288">
        <v>65491.021928009926</v>
      </c>
      <c r="K9" s="1288">
        <v>113111.25412275761</v>
      </c>
      <c r="L9" s="1289">
        <v>72082.246061918137</v>
      </c>
      <c r="M9" s="1288">
        <v>24112</v>
      </c>
      <c r="N9" s="1289">
        <v>0</v>
      </c>
      <c r="O9" s="1288">
        <v>168095.12</v>
      </c>
      <c r="P9" s="1289">
        <v>0</v>
      </c>
      <c r="Q9" s="1288">
        <v>60491.16</v>
      </c>
      <c r="R9" s="1289">
        <v>0</v>
      </c>
      <c r="S9" s="1288">
        <v>58655.130000000005</v>
      </c>
      <c r="T9" s="1289">
        <v>0</v>
      </c>
      <c r="U9" s="1288">
        <f>SUM(U10:U17)</f>
        <v>39750</v>
      </c>
      <c r="V9" s="1289">
        <v>0</v>
      </c>
      <c r="W9" s="1289">
        <v>0</v>
      </c>
      <c r="X9" s="1289">
        <v>0</v>
      </c>
      <c r="Y9" s="1289">
        <v>0</v>
      </c>
      <c r="Z9" s="1290">
        <v>0</v>
      </c>
      <c r="AA9" s="1290">
        <v>0</v>
      </c>
      <c r="AB9" s="1290">
        <v>0</v>
      </c>
      <c r="AC9" s="1290">
        <v>0</v>
      </c>
      <c r="AD9" s="1290">
        <v>0</v>
      </c>
      <c r="AE9" s="1290">
        <v>0</v>
      </c>
      <c r="AF9" s="1290">
        <v>0</v>
      </c>
      <c r="AG9" s="1290">
        <v>0</v>
      </c>
      <c r="AH9" s="1290">
        <v>0</v>
      </c>
      <c r="AI9" s="1290">
        <v>0</v>
      </c>
      <c r="AJ9" s="1290">
        <v>0</v>
      </c>
      <c r="AK9" s="1290">
        <v>0</v>
      </c>
      <c r="AL9" s="1290">
        <v>0</v>
      </c>
      <c r="AM9" s="1290">
        <v>0</v>
      </c>
      <c r="AN9" s="1290">
        <v>0</v>
      </c>
      <c r="AO9" s="1290">
        <v>0</v>
      </c>
      <c r="AP9" s="1290">
        <v>0</v>
      </c>
      <c r="AQ9" s="1290">
        <v>0</v>
      </c>
      <c r="AR9" s="490"/>
      <c r="AS9" s="1286">
        <v>277982.09030669893</v>
      </c>
      <c r="AT9" s="490"/>
      <c r="AU9" s="490"/>
      <c r="AV9" s="490"/>
      <c r="AW9" s="490"/>
      <c r="AX9" s="488"/>
      <c r="AY9" s="488"/>
      <c r="AZ9" s="488"/>
      <c r="BA9" s="488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</row>
    <row r="10" spans="1:92" ht="25.5">
      <c r="B10" s="184"/>
      <c r="C10" s="249" t="s">
        <v>248</v>
      </c>
      <c r="D10" s="1291">
        <v>1</v>
      </c>
      <c r="E10" s="1292" t="s">
        <v>249</v>
      </c>
      <c r="F10" s="1293">
        <v>61319.977355847921</v>
      </c>
      <c r="G10" s="1294">
        <v>61319.977355847921</v>
      </c>
      <c r="H10" s="1295"/>
      <c r="I10" s="1296">
        <v>22893.407629661378</v>
      </c>
      <c r="J10" s="1297">
        <v>0</v>
      </c>
      <c r="K10" s="1297">
        <v>0</v>
      </c>
      <c r="L10" s="1298" t="s">
        <v>689</v>
      </c>
      <c r="M10" s="1299"/>
      <c r="N10" s="1300">
        <v>0</v>
      </c>
      <c r="O10" s="1297">
        <v>26400</v>
      </c>
      <c r="P10" s="1300">
        <v>0</v>
      </c>
      <c r="Q10" s="1297">
        <v>9794.4599999999991</v>
      </c>
      <c r="R10" s="1300">
        <v>0</v>
      </c>
      <c r="S10" s="1297">
        <v>5863.7800000000007</v>
      </c>
      <c r="T10" s="1300">
        <v>0</v>
      </c>
      <c r="U10" s="1297"/>
      <c r="V10" s="1300">
        <v>0</v>
      </c>
      <c r="W10" s="1300">
        <v>0</v>
      </c>
      <c r="X10" s="1300">
        <v>0</v>
      </c>
      <c r="Y10" s="1300">
        <v>0</v>
      </c>
      <c r="Z10" s="1301">
        <v>0</v>
      </c>
      <c r="AA10" s="1301">
        <v>0</v>
      </c>
      <c r="AB10" s="1301">
        <v>0</v>
      </c>
      <c r="AC10" s="1301">
        <v>0</v>
      </c>
      <c r="AD10" s="1301">
        <v>0</v>
      </c>
      <c r="AE10" s="1301">
        <v>0</v>
      </c>
      <c r="AF10" s="1301">
        <v>0</v>
      </c>
      <c r="AG10" s="1301">
        <v>0</v>
      </c>
      <c r="AH10" s="1301">
        <v>0</v>
      </c>
      <c r="AI10" s="1301">
        <v>0</v>
      </c>
      <c r="AJ10" s="1301">
        <v>0</v>
      </c>
      <c r="AK10" s="1301">
        <v>0</v>
      </c>
      <c r="AL10" s="1301">
        <v>0</v>
      </c>
      <c r="AM10" s="1301">
        <v>0</v>
      </c>
      <c r="AN10" s="1301">
        <v>0</v>
      </c>
      <c r="AO10" s="1301">
        <v>0</v>
      </c>
      <c r="AP10" s="1301">
        <v>0</v>
      </c>
      <c r="AQ10" s="1302">
        <v>0</v>
      </c>
      <c r="AR10" s="486"/>
      <c r="AS10" s="1286">
        <v>3631.6702738134554</v>
      </c>
      <c r="AT10" s="486"/>
      <c r="AU10" s="486"/>
      <c r="AV10" s="486"/>
      <c r="AW10" s="486"/>
      <c r="AX10" s="487"/>
      <c r="AY10" s="487"/>
      <c r="AZ10" s="487"/>
      <c r="BA10" s="487"/>
    </row>
    <row r="11" spans="1:92" ht="25.5">
      <c r="B11" s="185"/>
      <c r="C11" s="783" t="s">
        <v>413</v>
      </c>
      <c r="D11" s="1303">
        <v>1</v>
      </c>
      <c r="E11" s="1304" t="s">
        <v>249</v>
      </c>
      <c r="F11" s="1305">
        <v>217998.1680197581</v>
      </c>
      <c r="G11" s="1306">
        <v>217998.1680197581</v>
      </c>
      <c r="H11" s="1307"/>
      <c r="I11" s="1308">
        <v>114824.40634376337</v>
      </c>
      <c r="J11" s="1309">
        <v>28287.95200661978</v>
      </c>
      <c r="K11" s="1309">
        <v>74885.809669374954</v>
      </c>
      <c r="L11" s="1310"/>
      <c r="M11" s="1309"/>
      <c r="N11" s="1310">
        <v>0</v>
      </c>
      <c r="O11" s="1309"/>
      <c r="P11" s="1310">
        <v>0</v>
      </c>
      <c r="Q11" s="1309"/>
      <c r="R11" s="1310">
        <v>0</v>
      </c>
      <c r="S11" s="1309"/>
      <c r="T11" s="1310">
        <v>0</v>
      </c>
      <c r="U11" s="1309"/>
      <c r="V11" s="1310">
        <v>0</v>
      </c>
      <c r="W11" s="1310">
        <v>0</v>
      </c>
      <c r="X11" s="1310">
        <v>0</v>
      </c>
      <c r="Y11" s="1310">
        <v>0</v>
      </c>
      <c r="Z11" s="1311">
        <v>0</v>
      </c>
      <c r="AA11" s="1311">
        <v>0</v>
      </c>
      <c r="AB11" s="1311">
        <v>0</v>
      </c>
      <c r="AC11" s="1311">
        <v>0</v>
      </c>
      <c r="AD11" s="1311">
        <v>0</v>
      </c>
      <c r="AE11" s="1311">
        <v>0</v>
      </c>
      <c r="AF11" s="1311">
        <v>0</v>
      </c>
      <c r="AG11" s="1311">
        <v>0</v>
      </c>
      <c r="AH11" s="1311">
        <v>0</v>
      </c>
      <c r="AI11" s="1311">
        <v>0</v>
      </c>
      <c r="AJ11" s="1311">
        <v>0</v>
      </c>
      <c r="AK11" s="1311">
        <v>0</v>
      </c>
      <c r="AL11" s="1311">
        <v>0</v>
      </c>
      <c r="AM11" s="1311">
        <v>0</v>
      </c>
      <c r="AN11" s="1311">
        <v>0</v>
      </c>
      <c r="AO11" s="1311">
        <v>0</v>
      </c>
      <c r="AP11" s="1311">
        <v>0</v>
      </c>
      <c r="AQ11" s="1312">
        <v>0</v>
      </c>
      <c r="AR11" s="486"/>
      <c r="AS11" s="1286">
        <v>0</v>
      </c>
      <c r="AT11" s="486"/>
      <c r="AU11" s="486"/>
      <c r="AV11" s="486"/>
      <c r="AW11" s="486"/>
      <c r="AX11" s="487"/>
      <c r="AY11" s="487"/>
      <c r="AZ11" s="487"/>
      <c r="BA11" s="487"/>
    </row>
    <row r="12" spans="1:92" ht="25.5">
      <c r="B12" s="185"/>
      <c r="C12" s="783" t="s">
        <v>250</v>
      </c>
      <c r="D12" s="1303">
        <v>1</v>
      </c>
      <c r="E12" s="1304" t="s">
        <v>249</v>
      </c>
      <c r="F12" s="1305">
        <v>178181.47332223738</v>
      </c>
      <c r="G12" s="1306">
        <v>178181.47332223738</v>
      </c>
      <c r="H12" s="1307"/>
      <c r="I12" s="1308">
        <v>148427.65537933988</v>
      </c>
      <c r="J12" s="1309">
        <v>12251.187422424493</v>
      </c>
      <c r="K12" s="1309">
        <v>17502.630520473009</v>
      </c>
      <c r="L12" s="1310">
        <v>0</v>
      </c>
      <c r="M12" s="1309">
        <v>24112</v>
      </c>
      <c r="N12" s="1310">
        <v>0</v>
      </c>
      <c r="O12" s="1309">
        <v>5323.48</v>
      </c>
      <c r="P12" s="1310">
        <v>0</v>
      </c>
      <c r="Q12" s="1309">
        <v>50696.700000000004</v>
      </c>
      <c r="R12" s="1310">
        <v>0</v>
      </c>
      <c r="S12" s="1309">
        <v>52791.350000000006</v>
      </c>
      <c r="T12" s="1310">
        <v>0</v>
      </c>
      <c r="U12" s="1309">
        <v>12750</v>
      </c>
      <c r="V12" s="1310">
        <v>0</v>
      </c>
      <c r="W12" s="1310">
        <v>0</v>
      </c>
      <c r="X12" s="1310">
        <v>0</v>
      </c>
      <c r="Y12" s="1310">
        <v>0</v>
      </c>
      <c r="Z12" s="1311">
        <v>0</v>
      </c>
      <c r="AA12" s="1311">
        <v>0</v>
      </c>
      <c r="AB12" s="1311">
        <v>0</v>
      </c>
      <c r="AC12" s="1311">
        <v>0</v>
      </c>
      <c r="AD12" s="1311">
        <v>0</v>
      </c>
      <c r="AE12" s="1311">
        <v>0</v>
      </c>
      <c r="AF12" s="1311">
        <v>0</v>
      </c>
      <c r="AG12" s="1311">
        <v>0</v>
      </c>
      <c r="AH12" s="1311">
        <v>0</v>
      </c>
      <c r="AI12" s="1311">
        <v>0</v>
      </c>
      <c r="AJ12" s="1311">
        <v>0</v>
      </c>
      <c r="AK12" s="1311">
        <v>0</v>
      </c>
      <c r="AL12" s="1311">
        <v>0</v>
      </c>
      <c r="AM12" s="1311">
        <v>0</v>
      </c>
      <c r="AN12" s="1311">
        <v>0</v>
      </c>
      <c r="AO12" s="1311">
        <v>0</v>
      </c>
      <c r="AP12" s="1311">
        <v>0</v>
      </c>
      <c r="AQ12" s="1312">
        <v>0</v>
      </c>
      <c r="AR12" s="486"/>
      <c r="AS12" s="1286">
        <v>142073.53000000003</v>
      </c>
      <c r="AT12" s="486"/>
      <c r="AU12" s="486"/>
      <c r="AV12" s="486"/>
      <c r="AW12" s="486"/>
      <c r="AX12" s="487"/>
      <c r="AY12" s="487"/>
      <c r="AZ12" s="487"/>
      <c r="BA12" s="487"/>
    </row>
    <row r="13" spans="1:92">
      <c r="B13" s="185"/>
      <c r="C13" s="783" t="s">
        <v>432</v>
      </c>
      <c r="D13" s="1303">
        <v>1</v>
      </c>
      <c r="E13" s="1304" t="s">
        <v>249</v>
      </c>
      <c r="F13" s="1305">
        <v>76649.971694809894</v>
      </c>
      <c r="G13" s="1306">
        <v>76649.971694809894</v>
      </c>
      <c r="H13" s="1307"/>
      <c r="I13" s="1308">
        <v>1594.5135019288468</v>
      </c>
      <c r="J13" s="1309">
        <v>0</v>
      </c>
      <c r="K13" s="1309">
        <v>2973.2121309629151</v>
      </c>
      <c r="L13" s="1310">
        <v>72082.246061918137</v>
      </c>
      <c r="M13" s="1309"/>
      <c r="N13" s="1310">
        <v>0</v>
      </c>
      <c r="O13" s="1309">
        <v>58500</v>
      </c>
      <c r="P13" s="1310">
        <v>0</v>
      </c>
      <c r="Q13" s="1309"/>
      <c r="R13" s="1310">
        <v>0</v>
      </c>
      <c r="S13" s="1309"/>
      <c r="T13" s="1310">
        <v>0</v>
      </c>
      <c r="U13" s="1309">
        <v>27000</v>
      </c>
      <c r="V13" s="1310">
        <v>0</v>
      </c>
      <c r="W13" s="1310">
        <v>0</v>
      </c>
      <c r="X13" s="1310">
        <v>0</v>
      </c>
      <c r="Y13" s="1310">
        <v>0</v>
      </c>
      <c r="Z13" s="1311">
        <v>0</v>
      </c>
      <c r="AA13" s="1311">
        <v>0</v>
      </c>
      <c r="AB13" s="1311">
        <v>0</v>
      </c>
      <c r="AC13" s="1311">
        <v>0</v>
      </c>
      <c r="AD13" s="1311">
        <v>0</v>
      </c>
      <c r="AE13" s="1311">
        <v>0</v>
      </c>
      <c r="AF13" s="1311">
        <v>0</v>
      </c>
      <c r="AG13" s="1311">
        <v>0</v>
      </c>
      <c r="AH13" s="1311">
        <v>0</v>
      </c>
      <c r="AI13" s="1311">
        <v>0</v>
      </c>
      <c r="AJ13" s="1311">
        <v>0</v>
      </c>
      <c r="AK13" s="1311">
        <v>0</v>
      </c>
      <c r="AL13" s="1311">
        <v>0</v>
      </c>
      <c r="AM13" s="1311">
        <v>0</v>
      </c>
      <c r="AN13" s="1311">
        <v>0</v>
      </c>
      <c r="AO13" s="1311">
        <v>0</v>
      </c>
      <c r="AP13" s="1311">
        <v>0</v>
      </c>
      <c r="AQ13" s="1312">
        <v>0</v>
      </c>
      <c r="AR13" s="486"/>
      <c r="AS13" s="1286">
        <v>68000.000000000015</v>
      </c>
      <c r="AT13" s="486"/>
      <c r="AU13" s="486"/>
      <c r="AV13" s="486"/>
      <c r="AW13" s="486"/>
      <c r="AX13" s="487"/>
      <c r="AY13" s="487"/>
      <c r="AZ13" s="487"/>
      <c r="BA13" s="487"/>
    </row>
    <row r="14" spans="1:92">
      <c r="B14" s="185"/>
      <c r="C14" s="784" t="s">
        <v>434</v>
      </c>
      <c r="D14" s="1303">
        <v>1</v>
      </c>
      <c r="E14" s="1304" t="s">
        <v>249</v>
      </c>
      <c r="F14" s="1305">
        <v>52896.083529373616</v>
      </c>
      <c r="G14" s="1306">
        <v>52896.083529373616</v>
      </c>
      <c r="H14" s="1307"/>
      <c r="I14" s="1308">
        <v>10194.599228461208</v>
      </c>
      <c r="J14" s="1309">
        <v>24951.88249896566</v>
      </c>
      <c r="K14" s="1309">
        <v>17749.601801946745</v>
      </c>
      <c r="L14" s="1310">
        <v>0</v>
      </c>
      <c r="M14" s="1309"/>
      <c r="N14" s="1310">
        <v>0</v>
      </c>
      <c r="O14" s="1309">
        <v>77871.64</v>
      </c>
      <c r="P14" s="1310">
        <v>0</v>
      </c>
      <c r="Q14" s="1309"/>
      <c r="R14" s="1310">
        <v>0</v>
      </c>
      <c r="S14" s="1309"/>
      <c r="T14" s="1310">
        <v>0</v>
      </c>
      <c r="U14" s="1309"/>
      <c r="V14" s="1310">
        <v>0</v>
      </c>
      <c r="W14" s="1310">
        <v>0</v>
      </c>
      <c r="X14" s="1310">
        <v>0</v>
      </c>
      <c r="Y14" s="1310">
        <v>0</v>
      </c>
      <c r="Z14" s="1311">
        <v>0</v>
      </c>
      <c r="AA14" s="1311">
        <v>0</v>
      </c>
      <c r="AB14" s="1311">
        <v>0</v>
      </c>
      <c r="AC14" s="1311">
        <v>0</v>
      </c>
      <c r="AD14" s="1311">
        <v>0</v>
      </c>
      <c r="AE14" s="1311">
        <v>0</v>
      </c>
      <c r="AF14" s="1311">
        <v>0</v>
      </c>
      <c r="AG14" s="1311">
        <v>0</v>
      </c>
      <c r="AH14" s="1311">
        <v>0</v>
      </c>
      <c r="AI14" s="1311">
        <v>0</v>
      </c>
      <c r="AJ14" s="1311">
        <v>0</v>
      </c>
      <c r="AK14" s="1311">
        <v>0</v>
      </c>
      <c r="AL14" s="1311">
        <v>0</v>
      </c>
      <c r="AM14" s="1311">
        <v>0</v>
      </c>
      <c r="AN14" s="1311">
        <v>0</v>
      </c>
      <c r="AO14" s="1311">
        <v>0</v>
      </c>
      <c r="AP14" s="1311">
        <v>0</v>
      </c>
      <c r="AQ14" s="1312">
        <v>0</v>
      </c>
      <c r="AR14" s="486"/>
      <c r="AS14" s="1286">
        <v>77871.64</v>
      </c>
      <c r="AT14" s="486"/>
      <c r="AU14" s="486"/>
      <c r="AV14" s="486"/>
      <c r="AW14" s="486"/>
      <c r="AX14" s="487"/>
      <c r="AY14" s="487"/>
      <c r="AZ14" s="487"/>
      <c r="BA14" s="487"/>
    </row>
    <row r="15" spans="1:92">
      <c r="B15" s="185"/>
      <c r="C15" s="785" t="s">
        <v>441</v>
      </c>
      <c r="D15" s="1303">
        <v>2</v>
      </c>
      <c r="E15" s="1304" t="s">
        <v>142</v>
      </c>
      <c r="F15" s="1305">
        <v>4087.9984903898617</v>
      </c>
      <c r="G15" s="1306">
        <v>8175.9969807797233</v>
      </c>
      <c r="H15" s="1307"/>
      <c r="I15" s="1308">
        <v>713.24474924989283</v>
      </c>
      <c r="J15" s="1309">
        <v>0</v>
      </c>
      <c r="K15" s="1309">
        <v>0</v>
      </c>
      <c r="L15" s="1310">
        <v>0</v>
      </c>
      <c r="M15" s="1309"/>
      <c r="N15" s="1310">
        <v>0</v>
      </c>
      <c r="O15" s="1309"/>
      <c r="P15" s="1310">
        <v>0</v>
      </c>
      <c r="Q15" s="1309"/>
      <c r="R15" s="1310">
        <v>0</v>
      </c>
      <c r="S15" s="1309"/>
      <c r="T15" s="1310">
        <v>0</v>
      </c>
      <c r="U15" s="1309"/>
      <c r="V15" s="1310">
        <v>0</v>
      </c>
      <c r="W15" s="1310">
        <v>0</v>
      </c>
      <c r="X15" s="1310">
        <v>0</v>
      </c>
      <c r="Y15" s="1310">
        <v>0</v>
      </c>
      <c r="Z15" s="1311">
        <v>0</v>
      </c>
      <c r="AA15" s="1311">
        <v>0</v>
      </c>
      <c r="AB15" s="1311">
        <v>0</v>
      </c>
      <c r="AC15" s="1311">
        <v>0</v>
      </c>
      <c r="AD15" s="1311">
        <v>0</v>
      </c>
      <c r="AE15" s="1311">
        <v>0</v>
      </c>
      <c r="AF15" s="1311">
        <v>0</v>
      </c>
      <c r="AG15" s="1311">
        <v>0</v>
      </c>
      <c r="AH15" s="1311">
        <v>0</v>
      </c>
      <c r="AI15" s="1311">
        <v>0</v>
      </c>
      <c r="AJ15" s="1311">
        <v>0</v>
      </c>
      <c r="AK15" s="1311">
        <v>0</v>
      </c>
      <c r="AL15" s="1311">
        <v>0</v>
      </c>
      <c r="AM15" s="1311">
        <v>0</v>
      </c>
      <c r="AN15" s="1311">
        <v>0</v>
      </c>
      <c r="AO15" s="1311">
        <v>0</v>
      </c>
      <c r="AP15" s="1311">
        <v>0</v>
      </c>
      <c r="AQ15" s="1312">
        <v>0</v>
      </c>
      <c r="AR15" s="486"/>
      <c r="AS15" s="1286">
        <v>-7462.7522315298302</v>
      </c>
      <c r="AT15" s="486"/>
      <c r="AU15" s="486"/>
      <c r="AV15" s="486"/>
      <c r="AW15" s="486"/>
      <c r="AX15" s="487"/>
      <c r="AY15" s="487"/>
      <c r="AZ15" s="487"/>
      <c r="BA15" s="487"/>
    </row>
    <row r="16" spans="1:92">
      <c r="B16" s="185"/>
      <c r="C16" s="785" t="s">
        <v>443</v>
      </c>
      <c r="D16" s="1303">
        <v>3</v>
      </c>
      <c r="E16" s="1304" t="s">
        <v>142</v>
      </c>
      <c r="F16" s="1305">
        <v>2043.9992451949308</v>
      </c>
      <c r="G16" s="1306">
        <v>6131.9977355847923</v>
      </c>
      <c r="H16" s="1307"/>
      <c r="I16" s="1308">
        <v>0</v>
      </c>
      <c r="J16" s="1309">
        <v>0</v>
      </c>
      <c r="K16" s="1309">
        <v>0</v>
      </c>
      <c r="L16" s="1310">
        <v>0</v>
      </c>
      <c r="M16" s="1309"/>
      <c r="N16" s="1310">
        <v>0</v>
      </c>
      <c r="O16" s="1309"/>
      <c r="P16" s="1310">
        <v>0</v>
      </c>
      <c r="Q16" s="1309"/>
      <c r="R16" s="1310">
        <v>0</v>
      </c>
      <c r="S16" s="1309"/>
      <c r="T16" s="1310">
        <v>0</v>
      </c>
      <c r="U16" s="1309"/>
      <c r="V16" s="1310">
        <v>0</v>
      </c>
      <c r="W16" s="1310">
        <v>0</v>
      </c>
      <c r="X16" s="1310">
        <v>0</v>
      </c>
      <c r="Y16" s="1310">
        <v>0</v>
      </c>
      <c r="Z16" s="1311">
        <v>0</v>
      </c>
      <c r="AA16" s="1311">
        <v>0</v>
      </c>
      <c r="AB16" s="1311">
        <v>0</v>
      </c>
      <c r="AC16" s="1311">
        <v>0</v>
      </c>
      <c r="AD16" s="1311">
        <v>0</v>
      </c>
      <c r="AE16" s="1311">
        <v>0</v>
      </c>
      <c r="AF16" s="1311">
        <v>0</v>
      </c>
      <c r="AG16" s="1311">
        <v>0</v>
      </c>
      <c r="AH16" s="1311">
        <v>0</v>
      </c>
      <c r="AI16" s="1311">
        <v>0</v>
      </c>
      <c r="AJ16" s="1311">
        <v>0</v>
      </c>
      <c r="AK16" s="1311">
        <v>0</v>
      </c>
      <c r="AL16" s="1311">
        <v>0</v>
      </c>
      <c r="AM16" s="1311">
        <v>0</v>
      </c>
      <c r="AN16" s="1311">
        <v>0</v>
      </c>
      <c r="AO16" s="1311">
        <v>0</v>
      </c>
      <c r="AP16" s="1311">
        <v>0</v>
      </c>
      <c r="AQ16" s="1312">
        <v>0</v>
      </c>
      <c r="AR16" s="486"/>
      <c r="AS16" s="1286">
        <v>-6131.9977355847923</v>
      </c>
      <c r="AT16" s="486"/>
      <c r="AU16" s="486"/>
      <c r="AV16" s="486"/>
      <c r="AW16" s="486"/>
      <c r="AX16" s="487"/>
      <c r="AY16" s="487"/>
      <c r="AZ16" s="487"/>
      <c r="BA16" s="487"/>
    </row>
    <row r="17" spans="1:92" ht="13.5" thickBot="1">
      <c r="B17" s="186"/>
      <c r="C17" s="187"/>
      <c r="D17" s="1313"/>
      <c r="E17" s="1314"/>
      <c r="F17" s="1315"/>
      <c r="G17" s="1316"/>
      <c r="H17" s="1295"/>
      <c r="I17" s="1317"/>
      <c r="J17" s="1318"/>
      <c r="K17" s="1318"/>
      <c r="L17" s="1319"/>
      <c r="M17" s="1318"/>
      <c r="N17" s="1319"/>
      <c r="O17" s="1318"/>
      <c r="P17" s="1319"/>
      <c r="Q17" s="1318"/>
      <c r="R17" s="1319"/>
      <c r="S17" s="1318"/>
      <c r="T17" s="1319"/>
      <c r="U17" s="1318"/>
      <c r="V17" s="1319"/>
      <c r="W17" s="1319"/>
      <c r="X17" s="1319"/>
      <c r="Y17" s="1319"/>
      <c r="Z17" s="1320"/>
      <c r="AA17" s="1320"/>
      <c r="AB17" s="1320"/>
      <c r="AC17" s="1320"/>
      <c r="AD17" s="1320"/>
      <c r="AE17" s="1320"/>
      <c r="AF17" s="1320"/>
      <c r="AG17" s="1320"/>
      <c r="AH17" s="1320"/>
      <c r="AI17" s="1320"/>
      <c r="AJ17" s="1320"/>
      <c r="AK17" s="1320"/>
      <c r="AL17" s="1320"/>
      <c r="AM17" s="1320"/>
      <c r="AN17" s="1320"/>
      <c r="AO17" s="1320"/>
      <c r="AP17" s="1320"/>
      <c r="AQ17" s="1321"/>
      <c r="AR17" s="486"/>
      <c r="AS17" s="1286">
        <v>0</v>
      </c>
      <c r="AT17" s="486"/>
      <c r="AU17" s="486"/>
      <c r="AV17" s="486"/>
      <c r="AW17" s="486"/>
      <c r="AX17" s="487"/>
      <c r="AY17" s="487"/>
      <c r="AZ17" s="487"/>
      <c r="BA17" s="487"/>
    </row>
    <row r="18" spans="1:92" ht="13.5" thickBot="1">
      <c r="E18" s="1322"/>
      <c r="F18" s="511"/>
      <c r="G18" s="511"/>
      <c r="I18" s="574"/>
      <c r="J18" s="574"/>
      <c r="K18" s="574"/>
      <c r="L18" s="1323"/>
      <c r="M18" s="1324"/>
      <c r="N18" s="1323"/>
      <c r="O18" s="1324"/>
      <c r="P18" s="1323"/>
      <c r="Q18" s="1324"/>
      <c r="R18" s="1323"/>
      <c r="S18" s="1324"/>
      <c r="T18" s="1323"/>
      <c r="U18" s="1324"/>
      <c r="V18" s="1323"/>
      <c r="W18" s="1323"/>
      <c r="X18" s="1323"/>
      <c r="Y18" s="1323"/>
      <c r="Z18" s="1323"/>
      <c r="AA18" s="1323"/>
      <c r="AB18" s="1323"/>
      <c r="AC18" s="1323"/>
      <c r="AD18" s="1323"/>
      <c r="AE18" s="1323"/>
      <c r="AF18" s="1323"/>
      <c r="AG18" s="1323"/>
      <c r="AH18" s="1323"/>
      <c r="AI18" s="1323"/>
      <c r="AJ18" s="1323"/>
      <c r="AK18" s="1323"/>
      <c r="AL18" s="1323"/>
      <c r="AM18" s="1323"/>
      <c r="AN18" s="1323"/>
      <c r="AO18" s="1323"/>
      <c r="AP18" s="1323"/>
      <c r="AQ18" s="1323"/>
      <c r="AR18" s="486"/>
      <c r="AS18" s="1286">
        <v>0</v>
      </c>
      <c r="AT18" s="486"/>
      <c r="AU18" s="486"/>
      <c r="AV18" s="486"/>
      <c r="AW18" s="486"/>
      <c r="AX18" s="487"/>
      <c r="AY18" s="487"/>
      <c r="AZ18" s="487"/>
      <c r="BA18" s="487"/>
    </row>
    <row r="19" spans="1:92" ht="13.5" thickBot="1">
      <c r="A19" s="885"/>
      <c r="B19" s="786" t="s">
        <v>148</v>
      </c>
      <c r="C19" s="787" t="s">
        <v>149</v>
      </c>
      <c r="D19" s="461"/>
      <c r="E19" s="1325"/>
      <c r="F19" s="788"/>
      <c r="G19" s="524">
        <v>0</v>
      </c>
      <c r="H19" s="1287"/>
      <c r="I19" s="1326"/>
      <c r="J19" s="1326"/>
      <c r="K19" s="1326"/>
      <c r="L19" s="1327"/>
      <c r="M19" s="1326"/>
      <c r="N19" s="1327"/>
      <c r="O19" s="1326"/>
      <c r="P19" s="1327"/>
      <c r="Q19" s="1326"/>
      <c r="R19" s="1327"/>
      <c r="S19" s="1326"/>
      <c r="T19" s="1327"/>
      <c r="U19" s="1326"/>
      <c r="V19" s="1327"/>
      <c r="W19" s="1327"/>
      <c r="X19" s="1327"/>
      <c r="Y19" s="1327"/>
      <c r="Z19" s="1328"/>
      <c r="AA19" s="1328"/>
      <c r="AB19" s="1328"/>
      <c r="AC19" s="1328"/>
      <c r="AD19" s="1328"/>
      <c r="AE19" s="1328"/>
      <c r="AF19" s="1328"/>
      <c r="AG19" s="1328"/>
      <c r="AH19" s="1328"/>
      <c r="AI19" s="1328"/>
      <c r="AJ19" s="1328"/>
      <c r="AK19" s="1328"/>
      <c r="AL19" s="1328"/>
      <c r="AM19" s="1328"/>
      <c r="AN19" s="1328"/>
      <c r="AO19" s="1328"/>
      <c r="AP19" s="1328"/>
      <c r="AQ19" s="1328"/>
      <c r="AR19" s="490"/>
      <c r="AS19" s="1286">
        <v>0</v>
      </c>
      <c r="AT19" s="490"/>
      <c r="AU19" s="490"/>
      <c r="AV19" s="490"/>
      <c r="AW19" s="490"/>
      <c r="AX19" s="488"/>
      <c r="AY19" s="488"/>
      <c r="AZ19" s="488"/>
      <c r="BA19" s="488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</row>
    <row r="20" spans="1:92" ht="13.5" thickBot="1">
      <c r="B20" s="192"/>
      <c r="C20" s="187"/>
      <c r="D20" s="1329"/>
      <c r="E20" s="1330"/>
      <c r="F20" s="1331"/>
      <c r="G20" s="1316"/>
      <c r="H20" s="1295"/>
      <c r="I20" s="1332">
        <v>0</v>
      </c>
      <c r="J20" s="1333">
        <v>0</v>
      </c>
      <c r="K20" s="1333">
        <v>0</v>
      </c>
      <c r="L20" s="1334"/>
      <c r="M20" s="1333"/>
      <c r="N20" s="1334"/>
      <c r="O20" s="1333"/>
      <c r="P20" s="1334"/>
      <c r="Q20" s="1333"/>
      <c r="R20" s="1334"/>
      <c r="S20" s="1333"/>
      <c r="T20" s="1334"/>
      <c r="U20" s="1333"/>
      <c r="V20" s="1334"/>
      <c r="W20" s="1334"/>
      <c r="X20" s="1334"/>
      <c r="Y20" s="1334"/>
      <c r="Z20" s="1335"/>
      <c r="AA20" s="1335"/>
      <c r="AB20" s="1335"/>
      <c r="AC20" s="1335"/>
      <c r="AD20" s="1335"/>
      <c r="AE20" s="1335"/>
      <c r="AF20" s="1335"/>
      <c r="AG20" s="1335"/>
      <c r="AH20" s="1335"/>
      <c r="AI20" s="1335"/>
      <c r="AJ20" s="1335"/>
      <c r="AK20" s="1335"/>
      <c r="AL20" s="1335"/>
      <c r="AM20" s="1335"/>
      <c r="AN20" s="1335"/>
      <c r="AO20" s="1335"/>
      <c r="AP20" s="1335"/>
      <c r="AQ20" s="1336"/>
      <c r="AR20" s="486"/>
      <c r="AS20" s="1286">
        <v>0</v>
      </c>
      <c r="AT20" s="486"/>
      <c r="AU20" s="486"/>
      <c r="AV20" s="486"/>
      <c r="AW20" s="486"/>
      <c r="AX20" s="487"/>
      <c r="AY20" s="487"/>
      <c r="AZ20" s="487"/>
      <c r="BA20" s="487"/>
    </row>
    <row r="21" spans="1:92" ht="13.5" thickBot="1">
      <c r="E21" s="1322"/>
      <c r="F21" s="511"/>
      <c r="G21" s="511"/>
      <c r="I21" s="574" t="s">
        <v>361</v>
      </c>
      <c r="J21" s="574" t="s">
        <v>362</v>
      </c>
      <c r="K21" s="574" t="s">
        <v>363</v>
      </c>
      <c r="L21" s="1323" t="s">
        <v>364</v>
      </c>
      <c r="M21" s="1324"/>
      <c r="N21" s="1323" t="s">
        <v>365</v>
      </c>
      <c r="O21" s="1324"/>
      <c r="P21" s="1323" t="s">
        <v>366</v>
      </c>
      <c r="Q21" s="1324"/>
      <c r="R21" s="1323" t="s">
        <v>367</v>
      </c>
      <c r="S21" s="1324"/>
      <c r="T21" s="1323" t="s">
        <v>368</v>
      </c>
      <c r="U21" s="1324"/>
      <c r="V21" s="1323" t="s">
        <v>369</v>
      </c>
      <c r="W21" s="1323" t="s">
        <v>370</v>
      </c>
      <c r="X21" s="1323" t="s">
        <v>371</v>
      </c>
      <c r="Y21" s="1323" t="s">
        <v>372</v>
      </c>
      <c r="Z21" s="1323" t="s">
        <v>373</v>
      </c>
      <c r="AA21" s="1323" t="s">
        <v>374</v>
      </c>
      <c r="AB21" s="1323" t="s">
        <v>375</v>
      </c>
      <c r="AC21" s="1323" t="s">
        <v>376</v>
      </c>
      <c r="AD21" s="1323" t="s">
        <v>377</v>
      </c>
      <c r="AE21" s="1323" t="s">
        <v>378</v>
      </c>
      <c r="AF21" s="1323" t="s">
        <v>379</v>
      </c>
      <c r="AG21" s="1323" t="s">
        <v>380</v>
      </c>
      <c r="AH21" s="1323" t="s">
        <v>381</v>
      </c>
      <c r="AI21" s="1323" t="s">
        <v>382</v>
      </c>
      <c r="AJ21" s="1323" t="s">
        <v>383</v>
      </c>
      <c r="AK21" s="1323" t="s">
        <v>384</v>
      </c>
      <c r="AL21" s="1323" t="s">
        <v>385</v>
      </c>
      <c r="AM21" s="1323" t="s">
        <v>386</v>
      </c>
      <c r="AN21" s="1323" t="s">
        <v>387</v>
      </c>
      <c r="AO21" s="1323" t="s">
        <v>388</v>
      </c>
      <c r="AP21" s="1323" t="s">
        <v>389</v>
      </c>
      <c r="AQ21" s="1323" t="s">
        <v>390</v>
      </c>
      <c r="AR21" s="486"/>
      <c r="AS21" s="1286">
        <v>0</v>
      </c>
      <c r="AT21" s="486"/>
      <c r="AU21" s="486"/>
      <c r="AV21" s="486"/>
      <c r="AW21" s="486"/>
      <c r="AX21" s="487"/>
      <c r="AY21" s="487"/>
      <c r="AZ21" s="487"/>
      <c r="BA21" s="487"/>
    </row>
    <row r="22" spans="1:92" ht="13.5" thickBot="1">
      <c r="A22" s="885"/>
      <c r="B22" s="786" t="s">
        <v>150</v>
      </c>
      <c r="C22" s="460" t="s">
        <v>151</v>
      </c>
      <c r="D22" s="789"/>
      <c r="E22" s="1337"/>
      <c r="F22" s="791"/>
      <c r="G22" s="524">
        <v>4074068.9090792593</v>
      </c>
      <c r="H22" s="1287"/>
      <c r="I22" s="1338">
        <v>0</v>
      </c>
      <c r="J22" s="1338">
        <v>195290.85643359539</v>
      </c>
      <c r="K22" s="1338">
        <v>0</v>
      </c>
      <c r="L22" s="1339">
        <v>828304.25264566438</v>
      </c>
      <c r="M22" s="1338">
        <v>3696</v>
      </c>
      <c r="N22" s="1339">
        <v>0</v>
      </c>
      <c r="O22" s="1338">
        <v>264441.16000000003</v>
      </c>
      <c r="P22" s="1339">
        <v>0</v>
      </c>
      <c r="Q22" s="1338">
        <v>2818921.4599999995</v>
      </c>
      <c r="R22" s="1339">
        <v>0</v>
      </c>
      <c r="S22" s="1338">
        <v>0</v>
      </c>
      <c r="T22" s="1339">
        <v>0</v>
      </c>
      <c r="U22" s="1338"/>
      <c r="V22" s="1339">
        <v>0</v>
      </c>
      <c r="W22" s="1339">
        <v>0</v>
      </c>
      <c r="X22" s="1339">
        <v>0</v>
      </c>
      <c r="Y22" s="1339">
        <v>0</v>
      </c>
      <c r="Z22" s="1340">
        <v>0</v>
      </c>
      <c r="AA22" s="1340">
        <v>0</v>
      </c>
      <c r="AB22" s="1340">
        <v>0</v>
      </c>
      <c r="AC22" s="1340">
        <v>0</v>
      </c>
      <c r="AD22" s="1340">
        <v>0</v>
      </c>
      <c r="AE22" s="1340">
        <v>0</v>
      </c>
      <c r="AF22" s="1340">
        <v>0</v>
      </c>
      <c r="AG22" s="1340">
        <v>0</v>
      </c>
      <c r="AH22" s="1340">
        <v>0</v>
      </c>
      <c r="AI22" s="1340">
        <v>0</v>
      </c>
      <c r="AJ22" s="1340">
        <v>0</v>
      </c>
      <c r="AK22" s="1340">
        <v>0</v>
      </c>
      <c r="AL22" s="1340">
        <v>0</v>
      </c>
      <c r="AM22" s="1340">
        <v>0</v>
      </c>
      <c r="AN22" s="1340">
        <v>0</v>
      </c>
      <c r="AO22" s="1340">
        <v>0</v>
      </c>
      <c r="AP22" s="1340">
        <v>0</v>
      </c>
      <c r="AQ22" s="1340">
        <v>0</v>
      </c>
      <c r="AR22" s="490"/>
      <c r="AS22" s="1286">
        <v>36584.820000000298</v>
      </c>
      <c r="AT22" s="490"/>
      <c r="AU22" s="490"/>
      <c r="AV22" s="490"/>
      <c r="AW22" s="490"/>
      <c r="AX22" s="488"/>
      <c r="AY22" s="488"/>
      <c r="AZ22" s="488"/>
      <c r="BA22" s="488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</row>
    <row r="23" spans="1:92">
      <c r="B23" s="185"/>
      <c r="C23" s="258" t="s">
        <v>444</v>
      </c>
      <c r="D23" s="1341">
        <v>7</v>
      </c>
      <c r="E23" s="1342" t="s">
        <v>142</v>
      </c>
      <c r="F23" s="1343">
        <v>4087.9984903898612</v>
      </c>
      <c r="G23" s="1306">
        <v>28615.989432729028</v>
      </c>
      <c r="H23" s="1295"/>
      <c r="I23" s="1344">
        <v>0</v>
      </c>
      <c r="J23" s="1345">
        <v>0</v>
      </c>
      <c r="K23" s="1345">
        <v>0</v>
      </c>
      <c r="L23" s="1346">
        <v>28615.989432729028</v>
      </c>
      <c r="M23" s="1345"/>
      <c r="N23" s="1346">
        <v>0</v>
      </c>
      <c r="O23" s="1345">
        <v>5358.02</v>
      </c>
      <c r="P23" s="1346">
        <v>0</v>
      </c>
      <c r="Q23" s="1345">
        <v>31226.799999999999</v>
      </c>
      <c r="R23" s="1346">
        <v>0</v>
      </c>
      <c r="S23" s="1345"/>
      <c r="T23" s="1346">
        <v>0</v>
      </c>
      <c r="U23" s="1345"/>
      <c r="V23" s="1346">
        <v>0</v>
      </c>
      <c r="W23" s="1346">
        <v>0</v>
      </c>
      <c r="X23" s="1346">
        <v>0</v>
      </c>
      <c r="Y23" s="1346">
        <v>0</v>
      </c>
      <c r="Z23" s="1347">
        <v>0</v>
      </c>
      <c r="AA23" s="1347">
        <v>0</v>
      </c>
      <c r="AB23" s="1347">
        <v>0</v>
      </c>
      <c r="AC23" s="1347">
        <v>0</v>
      </c>
      <c r="AD23" s="1347">
        <v>0</v>
      </c>
      <c r="AE23" s="1347">
        <v>0</v>
      </c>
      <c r="AF23" s="1347">
        <v>0</v>
      </c>
      <c r="AG23" s="1347">
        <v>0</v>
      </c>
      <c r="AH23" s="1347">
        <v>0</v>
      </c>
      <c r="AI23" s="1347">
        <v>0</v>
      </c>
      <c r="AJ23" s="1347">
        <v>0</v>
      </c>
      <c r="AK23" s="1347">
        <v>0</v>
      </c>
      <c r="AL23" s="1347">
        <v>0</v>
      </c>
      <c r="AM23" s="1347">
        <v>0</v>
      </c>
      <c r="AN23" s="1347">
        <v>0</v>
      </c>
      <c r="AO23" s="1347">
        <v>0</v>
      </c>
      <c r="AP23" s="1347">
        <v>0</v>
      </c>
      <c r="AQ23" s="1348">
        <v>0</v>
      </c>
      <c r="AR23" s="486"/>
      <c r="AS23" s="1286">
        <v>36584.820000000007</v>
      </c>
      <c r="AT23" s="486"/>
      <c r="AU23" s="486"/>
      <c r="AV23" s="486"/>
      <c r="AW23" s="486"/>
      <c r="AX23" s="487"/>
      <c r="AY23" s="487"/>
      <c r="AZ23" s="487"/>
      <c r="BA23" s="487"/>
    </row>
    <row r="24" spans="1:92" ht="13.5" thickBot="1">
      <c r="B24" s="192"/>
      <c r="C24" s="261" t="s">
        <v>445</v>
      </c>
      <c r="D24" s="1349">
        <v>1</v>
      </c>
      <c r="E24" s="1350" t="s">
        <v>249</v>
      </c>
      <c r="F24" s="1351">
        <v>4045452.9196465304</v>
      </c>
      <c r="G24" s="1352">
        <v>4045452.9196465304</v>
      </c>
      <c r="H24" s="1295"/>
      <c r="I24" s="1317">
        <v>0</v>
      </c>
      <c r="J24" s="1318">
        <v>195290.85643359539</v>
      </c>
      <c r="K24" s="1318">
        <v>0</v>
      </c>
      <c r="L24" s="1319">
        <v>799688.2632129353</v>
      </c>
      <c r="M24" s="1318">
        <v>3696</v>
      </c>
      <c r="N24" s="1319">
        <v>0</v>
      </c>
      <c r="O24" s="1318">
        <v>259083.14</v>
      </c>
      <c r="P24" s="1319">
        <v>0</v>
      </c>
      <c r="Q24" s="1318">
        <v>2787694.6599999997</v>
      </c>
      <c r="R24" s="1319">
        <v>0</v>
      </c>
      <c r="S24" s="1318"/>
      <c r="T24" s="1319">
        <v>0</v>
      </c>
      <c r="U24" s="1318"/>
      <c r="V24" s="1319">
        <v>0</v>
      </c>
      <c r="W24" s="1319">
        <v>0</v>
      </c>
      <c r="X24" s="1319">
        <v>0</v>
      </c>
      <c r="Y24" s="1319">
        <v>0</v>
      </c>
      <c r="Z24" s="1320">
        <v>0</v>
      </c>
      <c r="AA24" s="1320">
        <v>0</v>
      </c>
      <c r="AB24" s="1320">
        <v>0</v>
      </c>
      <c r="AC24" s="1320">
        <v>0</v>
      </c>
      <c r="AD24" s="1320">
        <v>0</v>
      </c>
      <c r="AE24" s="1320">
        <v>0</v>
      </c>
      <c r="AF24" s="1320">
        <v>0</v>
      </c>
      <c r="AG24" s="1320">
        <v>0</v>
      </c>
      <c r="AH24" s="1320">
        <v>0</v>
      </c>
      <c r="AI24" s="1320">
        <v>0</v>
      </c>
      <c r="AJ24" s="1320">
        <v>0</v>
      </c>
      <c r="AK24" s="1320">
        <v>0</v>
      </c>
      <c r="AL24" s="1320">
        <v>0</v>
      </c>
      <c r="AM24" s="1320">
        <v>0</v>
      </c>
      <c r="AN24" s="1320">
        <v>0</v>
      </c>
      <c r="AO24" s="1320">
        <v>0</v>
      </c>
      <c r="AP24" s="1320">
        <v>0</v>
      </c>
      <c r="AQ24" s="1321">
        <v>0</v>
      </c>
      <c r="AR24" s="486"/>
      <c r="AS24" s="1286">
        <v>0</v>
      </c>
      <c r="AT24" s="486"/>
      <c r="AU24" s="486"/>
      <c r="AV24" s="486"/>
      <c r="AW24" s="486"/>
      <c r="AX24" s="487"/>
      <c r="AY24" s="487"/>
      <c r="AZ24" s="487"/>
      <c r="BA24" s="487"/>
    </row>
    <row r="25" spans="1:92" ht="13.5" thickBot="1">
      <c r="E25" s="1322"/>
      <c r="F25" s="511"/>
      <c r="G25" s="511"/>
      <c r="I25" s="574"/>
      <c r="J25" s="574"/>
      <c r="K25" s="574"/>
      <c r="L25" s="1323"/>
      <c r="M25" s="1324"/>
      <c r="N25" s="1323"/>
      <c r="O25" s="1324"/>
      <c r="P25" s="1323"/>
      <c r="Q25" s="1324"/>
      <c r="R25" s="1323"/>
      <c r="S25" s="1324"/>
      <c r="T25" s="1323"/>
      <c r="U25" s="1324"/>
      <c r="V25" s="1323"/>
      <c r="W25" s="1323"/>
      <c r="X25" s="1323"/>
      <c r="Y25" s="1323"/>
      <c r="Z25" s="1323"/>
      <c r="AA25" s="1323"/>
      <c r="AB25" s="1323"/>
      <c r="AC25" s="1323"/>
      <c r="AD25" s="1323"/>
      <c r="AE25" s="1323"/>
      <c r="AF25" s="1323"/>
      <c r="AG25" s="1323"/>
      <c r="AH25" s="1323"/>
      <c r="AI25" s="1323"/>
      <c r="AJ25" s="1323"/>
      <c r="AK25" s="1323"/>
      <c r="AL25" s="1323"/>
      <c r="AM25" s="1323"/>
      <c r="AN25" s="1323"/>
      <c r="AO25" s="1323"/>
      <c r="AP25" s="1323"/>
      <c r="AQ25" s="1323"/>
      <c r="AR25" s="486"/>
      <c r="AS25" s="1286"/>
      <c r="AT25" s="486"/>
      <c r="AU25" s="486"/>
      <c r="AV25" s="486"/>
      <c r="AW25" s="486"/>
      <c r="AX25" s="487"/>
      <c r="AY25" s="487"/>
      <c r="AZ25" s="487"/>
      <c r="BA25" s="487"/>
    </row>
    <row r="26" spans="1:92" ht="13.5" thickBot="1">
      <c r="A26" s="885"/>
      <c r="B26" s="786" t="s">
        <v>152</v>
      </c>
      <c r="C26" s="793" t="s">
        <v>153</v>
      </c>
      <c r="D26" s="794"/>
      <c r="E26" s="1325"/>
      <c r="F26" s="788"/>
      <c r="G26" s="524">
        <v>1091278.4747447469</v>
      </c>
      <c r="H26" s="1287"/>
      <c r="I26" s="1339">
        <v>117009.49849978567</v>
      </c>
      <c r="J26" s="1339">
        <v>15284.203558129915</v>
      </c>
      <c r="K26" s="1339">
        <v>66314.391440752952</v>
      </c>
      <c r="L26" s="1339">
        <v>33061.865972076979</v>
      </c>
      <c r="M26" s="1338">
        <v>18297</v>
      </c>
      <c r="N26" s="1339">
        <v>33061.865972076979</v>
      </c>
      <c r="O26" s="1338">
        <v>41205.769999999997</v>
      </c>
      <c r="P26" s="1339">
        <v>33061.865972076979</v>
      </c>
      <c r="Q26" s="1338">
        <v>0</v>
      </c>
      <c r="R26" s="1339">
        <v>33061.865972076979</v>
      </c>
      <c r="S26" s="1338">
        <v>0</v>
      </c>
      <c r="T26" s="1339">
        <v>33061.865972076979</v>
      </c>
      <c r="U26" s="1338"/>
      <c r="V26" s="1339">
        <v>33061.865972076979</v>
      </c>
      <c r="W26" s="1339">
        <v>33061.865972076979</v>
      </c>
      <c r="X26" s="1339">
        <v>33061.865972076979</v>
      </c>
      <c r="Y26" s="1339">
        <v>33061.865972076979</v>
      </c>
      <c r="Z26" s="1340">
        <v>33061.865972076979</v>
      </c>
      <c r="AA26" s="1340">
        <v>33061.865972076979</v>
      </c>
      <c r="AB26" s="1340">
        <v>33061.865972076979</v>
      </c>
      <c r="AC26" s="1340">
        <v>33061.865972076979</v>
      </c>
      <c r="AD26" s="1340">
        <v>33061.865972076979</v>
      </c>
      <c r="AE26" s="1340">
        <v>33061.865972076979</v>
      </c>
      <c r="AF26" s="1340">
        <v>33061.865972076979</v>
      </c>
      <c r="AG26" s="1340">
        <v>33061.865972076979</v>
      </c>
      <c r="AH26" s="1340">
        <v>33061.865972076979</v>
      </c>
      <c r="AI26" s="1340">
        <v>33061.865972076979</v>
      </c>
      <c r="AJ26" s="1340">
        <v>33061.865972076979</v>
      </c>
      <c r="AK26" s="1340">
        <v>33061.865972076979</v>
      </c>
      <c r="AL26" s="1340">
        <v>33061.865972076979</v>
      </c>
      <c r="AM26" s="1340">
        <v>33061.865972076979</v>
      </c>
      <c r="AN26" s="1340">
        <v>33061.865972076979</v>
      </c>
      <c r="AO26" s="1340">
        <v>33061.865972076979</v>
      </c>
      <c r="AP26" s="1340">
        <v>33061.865972076979</v>
      </c>
      <c r="AQ26" s="1340">
        <v>33061.865972076979</v>
      </c>
      <c r="AR26" s="490"/>
      <c r="AS26" s="1286">
        <v>59502.770000000717</v>
      </c>
      <c r="AT26" s="490"/>
      <c r="AU26" s="490"/>
      <c r="AV26" s="490"/>
      <c r="AW26" s="490"/>
      <c r="AX26" s="488"/>
      <c r="AY26" s="488"/>
      <c r="AZ26" s="488"/>
      <c r="BA26" s="488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</row>
    <row r="27" spans="1:92" ht="22.5">
      <c r="B27" s="184"/>
      <c r="C27" s="264" t="s">
        <v>447</v>
      </c>
      <c r="D27" s="1291">
        <v>1</v>
      </c>
      <c r="E27" s="1292" t="s">
        <v>249</v>
      </c>
      <c r="F27" s="1293">
        <v>131411.84610779874</v>
      </c>
      <c r="G27" s="1306">
        <v>131411.84610779874</v>
      </c>
      <c r="H27" s="1295"/>
      <c r="I27" s="1353">
        <v>91059.039862837541</v>
      </c>
      <c r="J27" s="1345">
        <v>15284.203558129915</v>
      </c>
      <c r="K27" s="1345">
        <v>25068.602686831306</v>
      </c>
      <c r="L27" s="1346">
        <v>0</v>
      </c>
      <c r="M27" s="1345"/>
      <c r="N27" s="1346">
        <v>0</v>
      </c>
      <c r="O27" s="1345"/>
      <c r="P27" s="1346">
        <v>0</v>
      </c>
      <c r="Q27" s="1345"/>
      <c r="R27" s="1346">
        <v>0</v>
      </c>
      <c r="S27" s="1345"/>
      <c r="T27" s="1346">
        <v>0</v>
      </c>
      <c r="U27" s="1345"/>
      <c r="V27" s="1346">
        <v>0</v>
      </c>
      <c r="W27" s="1346">
        <v>0</v>
      </c>
      <c r="X27" s="1346">
        <v>0</v>
      </c>
      <c r="Y27" s="1346">
        <v>0</v>
      </c>
      <c r="Z27" s="1347">
        <v>0</v>
      </c>
      <c r="AA27" s="1347">
        <v>0</v>
      </c>
      <c r="AB27" s="1347">
        <v>0</v>
      </c>
      <c r="AC27" s="1347">
        <v>0</v>
      </c>
      <c r="AD27" s="1347">
        <v>0</v>
      </c>
      <c r="AE27" s="1347">
        <v>0</v>
      </c>
      <c r="AF27" s="1347">
        <v>0</v>
      </c>
      <c r="AG27" s="1347">
        <v>0</v>
      </c>
      <c r="AH27" s="1347">
        <v>0</v>
      </c>
      <c r="AI27" s="1347">
        <v>0</v>
      </c>
      <c r="AJ27" s="1347">
        <v>0</v>
      </c>
      <c r="AK27" s="1347">
        <v>0</v>
      </c>
      <c r="AL27" s="1347">
        <v>0</v>
      </c>
      <c r="AM27" s="1347">
        <v>0</v>
      </c>
      <c r="AN27" s="1347">
        <v>0</v>
      </c>
      <c r="AO27" s="1347">
        <v>0</v>
      </c>
      <c r="AP27" s="1347">
        <v>0</v>
      </c>
      <c r="AQ27" s="1348">
        <v>0</v>
      </c>
      <c r="AR27" s="486"/>
      <c r="AS27" s="1286">
        <v>0</v>
      </c>
      <c r="AT27" s="486"/>
      <c r="AU27" s="486"/>
      <c r="AV27" s="486"/>
      <c r="AW27" s="486"/>
      <c r="AX27" s="487"/>
      <c r="AY27" s="487"/>
      <c r="AZ27" s="487"/>
      <c r="BA27" s="487"/>
    </row>
    <row r="28" spans="1:92" ht="22.5">
      <c r="B28" s="185"/>
      <c r="C28" s="265" t="s">
        <v>252</v>
      </c>
      <c r="D28" s="1303">
        <v>231.49383262219567</v>
      </c>
      <c r="E28" s="1304" t="s">
        <v>142</v>
      </c>
      <c r="F28" s="1305">
        <v>112.1</v>
      </c>
      <c r="G28" s="1306">
        <v>25950.458636948133</v>
      </c>
      <c r="H28" s="1307"/>
      <c r="I28" s="1354">
        <v>25950.458636948133</v>
      </c>
      <c r="J28" s="1309">
        <v>0</v>
      </c>
      <c r="K28" s="1309">
        <v>0</v>
      </c>
      <c r="L28" s="1310">
        <v>0</v>
      </c>
      <c r="M28" s="1309"/>
      <c r="N28" s="1310">
        <v>0</v>
      </c>
      <c r="O28" s="1309"/>
      <c r="P28" s="1310">
        <v>0</v>
      </c>
      <c r="Q28" s="1309"/>
      <c r="R28" s="1310">
        <v>0</v>
      </c>
      <c r="S28" s="1309"/>
      <c r="T28" s="1310">
        <v>0</v>
      </c>
      <c r="U28" s="1309"/>
      <c r="V28" s="1310">
        <v>0</v>
      </c>
      <c r="W28" s="1310">
        <v>0</v>
      </c>
      <c r="X28" s="1310">
        <v>0</v>
      </c>
      <c r="Y28" s="1310">
        <v>0</v>
      </c>
      <c r="Z28" s="1311">
        <v>0</v>
      </c>
      <c r="AA28" s="1311">
        <v>0</v>
      </c>
      <c r="AB28" s="1311">
        <v>0</v>
      </c>
      <c r="AC28" s="1311">
        <v>0</v>
      </c>
      <c r="AD28" s="1311">
        <v>0</v>
      </c>
      <c r="AE28" s="1311">
        <v>0</v>
      </c>
      <c r="AF28" s="1311">
        <v>0</v>
      </c>
      <c r="AG28" s="1311">
        <v>0</v>
      </c>
      <c r="AH28" s="1311">
        <v>0</v>
      </c>
      <c r="AI28" s="1311">
        <v>0</v>
      </c>
      <c r="AJ28" s="1311">
        <v>0</v>
      </c>
      <c r="AK28" s="1311">
        <v>0</v>
      </c>
      <c r="AL28" s="1311">
        <v>0</v>
      </c>
      <c r="AM28" s="1311">
        <v>0</v>
      </c>
      <c r="AN28" s="1311">
        <v>0</v>
      </c>
      <c r="AO28" s="1311">
        <v>0</v>
      </c>
      <c r="AP28" s="1311">
        <v>0</v>
      </c>
      <c r="AQ28" s="1312">
        <v>0</v>
      </c>
      <c r="AR28" s="486"/>
      <c r="AS28" s="1286">
        <v>0</v>
      </c>
      <c r="AT28" s="486"/>
      <c r="AU28" s="486"/>
      <c r="AV28" s="486"/>
      <c r="AW28" s="486"/>
      <c r="AX28" s="487"/>
      <c r="AY28" s="487"/>
      <c r="AZ28" s="487"/>
      <c r="BA28" s="487"/>
    </row>
    <row r="29" spans="1:92" ht="13.5" thickBot="1">
      <c r="B29" s="192"/>
      <c r="C29" s="266" t="s">
        <v>253</v>
      </c>
      <c r="D29" s="1313">
        <v>1</v>
      </c>
      <c r="E29" s="1314" t="s">
        <v>249</v>
      </c>
      <c r="F29" s="1315">
        <v>933916.17</v>
      </c>
      <c r="G29" s="1316">
        <v>933916.17</v>
      </c>
      <c r="H29" s="1295"/>
      <c r="I29" s="1317">
        <v>0</v>
      </c>
      <c r="J29" s="1318">
        <v>0</v>
      </c>
      <c r="K29" s="1318">
        <v>41245.788753921646</v>
      </c>
      <c r="L29" s="1319">
        <v>33061.865972076979</v>
      </c>
      <c r="M29" s="1318">
        <v>18297</v>
      </c>
      <c r="N29" s="1319">
        <v>33061.865972076979</v>
      </c>
      <c r="O29" s="1318">
        <v>41205.769999999997</v>
      </c>
      <c r="P29" s="1319">
        <v>33061.865972076979</v>
      </c>
      <c r="Q29" s="1318"/>
      <c r="R29" s="1319">
        <v>33061.865972076979</v>
      </c>
      <c r="S29" s="1318"/>
      <c r="T29" s="1319">
        <v>33061.865972076979</v>
      </c>
      <c r="U29" s="1318"/>
      <c r="V29" s="1319">
        <v>33061.865972076979</v>
      </c>
      <c r="W29" s="1319">
        <v>33061.865972076979</v>
      </c>
      <c r="X29" s="1319">
        <v>33061.865972076979</v>
      </c>
      <c r="Y29" s="1319">
        <v>33061.865972076979</v>
      </c>
      <c r="Z29" s="1320">
        <v>33061.865972076979</v>
      </c>
      <c r="AA29" s="1320">
        <v>33061.865972076979</v>
      </c>
      <c r="AB29" s="1320">
        <v>33061.865972076979</v>
      </c>
      <c r="AC29" s="1320">
        <v>33061.865972076979</v>
      </c>
      <c r="AD29" s="1320">
        <v>33061.865972076979</v>
      </c>
      <c r="AE29" s="1320">
        <v>33061.865972076979</v>
      </c>
      <c r="AF29" s="1320">
        <v>33061.865972076979</v>
      </c>
      <c r="AG29" s="1320">
        <v>33061.865972076979</v>
      </c>
      <c r="AH29" s="1320">
        <v>33061.865972076979</v>
      </c>
      <c r="AI29" s="1320">
        <v>33061.865972076979</v>
      </c>
      <c r="AJ29" s="1320">
        <v>33061.865972076979</v>
      </c>
      <c r="AK29" s="1320">
        <v>33061.865972076979</v>
      </c>
      <c r="AL29" s="1320">
        <v>33061.865972076979</v>
      </c>
      <c r="AM29" s="1320">
        <v>33061.865972076979</v>
      </c>
      <c r="AN29" s="1320">
        <v>33061.865972076979</v>
      </c>
      <c r="AO29" s="1320">
        <v>33061.865972076979</v>
      </c>
      <c r="AP29" s="1320">
        <v>33061.865972076979</v>
      </c>
      <c r="AQ29" s="1321">
        <v>33061.865972076979</v>
      </c>
      <c r="AR29" s="486"/>
      <c r="AS29" s="1286">
        <v>59502.770000000717</v>
      </c>
      <c r="AT29" s="486"/>
      <c r="AU29" s="486"/>
      <c r="AV29" s="486"/>
      <c r="AW29" s="486"/>
      <c r="AX29" s="487"/>
      <c r="AY29" s="487"/>
      <c r="AZ29" s="487"/>
      <c r="BA29" s="487"/>
    </row>
    <row r="30" spans="1:92" ht="13.5" thickBot="1">
      <c r="E30" s="1322"/>
      <c r="F30" s="511"/>
      <c r="G30" s="511"/>
      <c r="H30" s="1355"/>
      <c r="I30" s="574"/>
      <c r="J30" s="574"/>
      <c r="K30" s="574"/>
      <c r="L30" s="1323"/>
      <c r="M30" s="1324"/>
      <c r="N30" s="1323"/>
      <c r="O30" s="1324"/>
      <c r="P30" s="1323"/>
      <c r="Q30" s="1324"/>
      <c r="R30" s="1323"/>
      <c r="S30" s="1324"/>
      <c r="T30" s="1323"/>
      <c r="U30" s="1324"/>
      <c r="V30" s="1323"/>
      <c r="W30" s="1323"/>
      <c r="X30" s="1323"/>
      <c r="Y30" s="1323"/>
      <c r="Z30" s="1323"/>
      <c r="AA30" s="1323"/>
      <c r="AB30" s="1323"/>
      <c r="AC30" s="1323"/>
      <c r="AD30" s="1323"/>
      <c r="AE30" s="1323"/>
      <c r="AF30" s="1323"/>
      <c r="AG30" s="1323"/>
      <c r="AH30" s="1323"/>
      <c r="AI30" s="1323"/>
      <c r="AJ30" s="1323"/>
      <c r="AK30" s="1323"/>
      <c r="AL30" s="1323"/>
      <c r="AM30" s="1323"/>
      <c r="AN30" s="1323"/>
      <c r="AO30" s="1323"/>
      <c r="AP30" s="1323"/>
      <c r="AQ30" s="1323"/>
      <c r="AR30" s="487"/>
      <c r="AS30" s="1286"/>
      <c r="AT30" s="487"/>
      <c r="AU30" s="487"/>
      <c r="AV30" s="487"/>
      <c r="AW30" s="487"/>
      <c r="AX30" s="487"/>
      <c r="AY30" s="487"/>
      <c r="AZ30" s="487"/>
      <c r="BA30" s="487"/>
    </row>
    <row r="31" spans="1:92" ht="13.5" thickBot="1">
      <c r="B31" s="357">
        <v>2</v>
      </c>
      <c r="C31" s="194" t="s">
        <v>392</v>
      </c>
      <c r="D31" s="180"/>
      <c r="E31" s="1356"/>
      <c r="F31" s="512"/>
      <c r="G31" s="1357">
        <v>17972372.627472721</v>
      </c>
      <c r="H31" s="1280"/>
      <c r="I31" s="1281">
        <v>60636.090870124302</v>
      </c>
      <c r="J31" s="1281">
        <v>25899.54489035995</v>
      </c>
      <c r="K31" s="1281">
        <v>143833.93934518541</v>
      </c>
      <c r="L31" s="1282">
        <v>4089053.1619710769</v>
      </c>
      <c r="M31" s="1284">
        <v>37240</v>
      </c>
      <c r="N31" s="1282">
        <v>985457.74878814025</v>
      </c>
      <c r="O31" s="1284">
        <v>379256.75</v>
      </c>
      <c r="P31" s="1282">
        <v>439685.64756711625</v>
      </c>
      <c r="Q31" s="1284">
        <v>6988795.0899999999</v>
      </c>
      <c r="R31" s="1282">
        <v>1673597.7728142848</v>
      </c>
      <c r="S31" s="1284">
        <v>1503894.03</v>
      </c>
      <c r="T31" s="1282">
        <v>1152234.0717231876</v>
      </c>
      <c r="U31" s="1284">
        <f>U32+U39</f>
        <v>3526721.83</v>
      </c>
      <c r="V31" s="1282">
        <v>1884616.6750870352</v>
      </c>
      <c r="W31" s="1282">
        <v>960270.31680762395</v>
      </c>
      <c r="X31" s="1282">
        <v>2613997.7258695289</v>
      </c>
      <c r="Y31" s="1282">
        <v>2313502.4517390579</v>
      </c>
      <c r="Z31" s="1285">
        <v>28879</v>
      </c>
      <c r="AA31" s="1285">
        <v>28879</v>
      </c>
      <c r="AB31" s="1285">
        <v>28879</v>
      </c>
      <c r="AC31" s="1285">
        <v>23591</v>
      </c>
      <c r="AD31" s="1285">
        <v>23591</v>
      </c>
      <c r="AE31" s="1285">
        <v>23591</v>
      </c>
      <c r="AF31" s="1285">
        <v>23591</v>
      </c>
      <c r="AG31" s="1285">
        <v>23591</v>
      </c>
      <c r="AH31" s="1285">
        <v>29286</v>
      </c>
      <c r="AI31" s="1285">
        <v>19931</v>
      </c>
      <c r="AJ31" s="1285">
        <v>19931</v>
      </c>
      <c r="AK31" s="1285">
        <v>19931</v>
      </c>
      <c r="AL31" s="1285">
        <v>19931</v>
      </c>
      <c r="AM31" s="1285">
        <v>29286</v>
      </c>
      <c r="AN31" s="1285">
        <v>20745</v>
      </c>
      <c r="AO31" s="1285">
        <v>21559</v>
      </c>
      <c r="AP31" s="1285">
        <v>22777</v>
      </c>
      <c r="AQ31" s="1285">
        <v>19953</v>
      </c>
      <c r="AR31" s="487"/>
      <c r="AS31" s="1286">
        <v>8293432.2100000009</v>
      </c>
      <c r="AT31" s="487"/>
      <c r="AU31" s="487"/>
      <c r="AV31" s="487"/>
      <c r="AW31" s="487"/>
      <c r="AX31" s="487"/>
      <c r="AY31" s="487"/>
      <c r="AZ31" s="487"/>
      <c r="BA31" s="487"/>
    </row>
    <row r="32" spans="1:92" ht="13.5" thickBot="1">
      <c r="A32" s="885"/>
      <c r="B32" s="786" t="s">
        <v>154</v>
      </c>
      <c r="C32" s="460" t="s">
        <v>155</v>
      </c>
      <c r="D32" s="461"/>
      <c r="E32" s="1325"/>
      <c r="F32" s="513"/>
      <c r="G32" s="524">
        <v>936724.32729370554</v>
      </c>
      <c r="H32" s="1287"/>
      <c r="I32" s="1338">
        <v>22756.965280754393</v>
      </c>
      <c r="J32" s="1338">
        <v>25327.596193628466</v>
      </c>
      <c r="K32" s="1338">
        <v>27827.865819322658</v>
      </c>
      <c r="L32" s="1339">
        <v>417866</v>
      </c>
      <c r="M32" s="1338">
        <v>31769.99</v>
      </c>
      <c r="N32" s="1339">
        <v>8948</v>
      </c>
      <c r="O32" s="1338">
        <v>35513.289999999994</v>
      </c>
      <c r="P32" s="1339">
        <v>9152</v>
      </c>
      <c r="Q32" s="1338">
        <v>44526.909999999996</v>
      </c>
      <c r="R32" s="1339">
        <v>8136</v>
      </c>
      <c r="S32" s="1338">
        <v>11605</v>
      </c>
      <c r="T32" s="1339">
        <v>8136</v>
      </c>
      <c r="U32" s="1338">
        <f>SUM(U33:U37)</f>
        <v>69892.539999999994</v>
      </c>
      <c r="V32" s="1339">
        <v>8136</v>
      </c>
      <c r="W32" s="1339">
        <v>8744</v>
      </c>
      <c r="X32" s="1339">
        <v>8340</v>
      </c>
      <c r="Y32" s="1339">
        <v>7830</v>
      </c>
      <c r="Z32" s="1340">
        <v>7830</v>
      </c>
      <c r="AA32" s="1340">
        <v>7830</v>
      </c>
      <c r="AB32" s="1340">
        <v>7830</v>
      </c>
      <c r="AC32" s="1340">
        <v>6406</v>
      </c>
      <c r="AD32" s="1340">
        <v>6406</v>
      </c>
      <c r="AE32" s="1340">
        <v>6406</v>
      </c>
      <c r="AF32" s="1340">
        <v>6406</v>
      </c>
      <c r="AG32" s="1340">
        <v>6406</v>
      </c>
      <c r="AH32" s="1340">
        <v>7932</v>
      </c>
      <c r="AI32" s="1340">
        <v>5390</v>
      </c>
      <c r="AJ32" s="1340">
        <v>5390</v>
      </c>
      <c r="AK32" s="1340">
        <v>5390</v>
      </c>
      <c r="AL32" s="1340">
        <v>5390</v>
      </c>
      <c r="AM32" s="1340">
        <v>7932</v>
      </c>
      <c r="AN32" s="1340">
        <v>5594</v>
      </c>
      <c r="AO32" s="1340">
        <v>5798</v>
      </c>
      <c r="AP32" s="1340">
        <v>6202</v>
      </c>
      <c r="AQ32" s="1340">
        <v>3354</v>
      </c>
      <c r="AR32" s="488"/>
      <c r="AS32" s="1286">
        <v>-87624.400000000023</v>
      </c>
      <c r="AT32" s="488"/>
      <c r="AU32" s="488"/>
      <c r="AV32" s="488"/>
      <c r="AW32" s="488"/>
      <c r="AX32" s="488"/>
      <c r="AY32" s="488"/>
      <c r="AZ32" s="488"/>
      <c r="BA32" s="488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</row>
    <row r="33" spans="1:92">
      <c r="B33" s="356"/>
      <c r="C33" s="264" t="s">
        <v>451</v>
      </c>
      <c r="D33" s="1291">
        <v>257.18900769150969</v>
      </c>
      <c r="E33" s="1292" t="s">
        <v>142</v>
      </c>
      <c r="F33" s="1293">
        <v>200</v>
      </c>
      <c r="G33" s="1306">
        <v>51437.801538301937</v>
      </c>
      <c r="H33" s="1295"/>
      <c r="I33" s="1358">
        <v>0</v>
      </c>
      <c r="J33" s="1358">
        <v>9135.2916839056688</v>
      </c>
      <c r="K33" s="1358">
        <v>13302.509854396265</v>
      </c>
      <c r="L33" s="1359">
        <v>1400</v>
      </c>
      <c r="M33" s="1358">
        <v>30249.99</v>
      </c>
      <c r="N33" s="1360">
        <v>1400</v>
      </c>
      <c r="O33" s="1361">
        <v>13544.48</v>
      </c>
      <c r="P33" s="1360">
        <v>1400</v>
      </c>
      <c r="Q33" s="1361">
        <v>11209.15</v>
      </c>
      <c r="R33" s="1360">
        <v>1200</v>
      </c>
      <c r="S33" s="1361"/>
      <c r="T33" s="1360">
        <v>1200</v>
      </c>
      <c r="U33" s="1361">
        <v>10780.23</v>
      </c>
      <c r="V33" s="1360">
        <v>1200</v>
      </c>
      <c r="W33" s="1360">
        <v>1400</v>
      </c>
      <c r="X33" s="1360">
        <v>1200</v>
      </c>
      <c r="Y33" s="1360">
        <v>1200</v>
      </c>
      <c r="Z33" s="1362">
        <v>1200</v>
      </c>
      <c r="AA33" s="1362">
        <v>1200</v>
      </c>
      <c r="AB33" s="1362">
        <v>1200</v>
      </c>
      <c r="AC33" s="1362">
        <v>1000</v>
      </c>
      <c r="AD33" s="1362">
        <v>1000</v>
      </c>
      <c r="AE33" s="1362">
        <v>1000</v>
      </c>
      <c r="AF33" s="1362">
        <v>1000</v>
      </c>
      <c r="AG33" s="1362">
        <v>1000</v>
      </c>
      <c r="AH33" s="1362">
        <v>1200</v>
      </c>
      <c r="AI33" s="1362">
        <v>800</v>
      </c>
      <c r="AJ33" s="1362">
        <v>800</v>
      </c>
      <c r="AK33" s="1362">
        <v>800</v>
      </c>
      <c r="AL33" s="1362">
        <v>800</v>
      </c>
      <c r="AM33" s="1362">
        <v>1200</v>
      </c>
      <c r="AN33" s="1362">
        <v>800</v>
      </c>
      <c r="AO33" s="1362">
        <v>800</v>
      </c>
      <c r="AP33" s="1362">
        <v>1000</v>
      </c>
      <c r="AQ33" s="1363">
        <v>600</v>
      </c>
      <c r="AR33" s="487"/>
      <c r="AS33" s="1286">
        <v>60371.86</v>
      </c>
      <c r="AT33" s="487"/>
      <c r="AU33" s="487"/>
      <c r="AV33" s="487"/>
      <c r="AW33" s="487"/>
      <c r="AX33" s="487"/>
      <c r="AY33" s="487"/>
      <c r="AZ33" s="487"/>
      <c r="BA33" s="487"/>
    </row>
    <row r="34" spans="1:92">
      <c r="B34" s="356"/>
      <c r="C34" s="268" t="s">
        <v>453</v>
      </c>
      <c r="D34" s="1364">
        <v>6114.261036817682</v>
      </c>
      <c r="E34" s="1304" t="s">
        <v>254</v>
      </c>
      <c r="F34" s="1365">
        <v>102</v>
      </c>
      <c r="G34" s="1306">
        <v>623654.62575540354</v>
      </c>
      <c r="H34" s="1366">
        <v>7925.0569065542604</v>
      </c>
      <c r="I34" s="1367">
        <v>22756.965280754393</v>
      </c>
      <c r="J34" s="1368">
        <v>16192.304509722799</v>
      </c>
      <c r="K34" s="1368">
        <v>14525.355964926393</v>
      </c>
      <c r="L34" s="1369">
        <v>416466</v>
      </c>
      <c r="M34" s="1368">
        <v>1520</v>
      </c>
      <c r="N34" s="1369">
        <v>7548</v>
      </c>
      <c r="O34" s="1368">
        <v>21968.809999999998</v>
      </c>
      <c r="P34" s="1369">
        <v>7752</v>
      </c>
      <c r="Q34" s="1368">
        <v>33317.759999999995</v>
      </c>
      <c r="R34" s="1369">
        <v>6936</v>
      </c>
      <c r="S34" s="1368">
        <v>11605</v>
      </c>
      <c r="T34" s="1369">
        <v>6936</v>
      </c>
      <c r="U34" s="1368">
        <v>59112.31</v>
      </c>
      <c r="V34" s="1369">
        <v>6936</v>
      </c>
      <c r="W34" s="1369">
        <v>7344</v>
      </c>
      <c r="X34" s="1369">
        <v>7140</v>
      </c>
      <c r="Y34" s="1369">
        <v>6630</v>
      </c>
      <c r="Z34" s="1370">
        <v>6630</v>
      </c>
      <c r="AA34" s="1370">
        <v>6630</v>
      </c>
      <c r="AB34" s="1370">
        <v>6630</v>
      </c>
      <c r="AC34" s="1370">
        <v>5406</v>
      </c>
      <c r="AD34" s="1370">
        <v>5406</v>
      </c>
      <c r="AE34" s="1370">
        <v>5406</v>
      </c>
      <c r="AF34" s="1370">
        <v>5406</v>
      </c>
      <c r="AG34" s="1370">
        <v>5406</v>
      </c>
      <c r="AH34" s="1370">
        <v>6732</v>
      </c>
      <c r="AI34" s="1370">
        <v>4590</v>
      </c>
      <c r="AJ34" s="1370">
        <v>4590</v>
      </c>
      <c r="AK34" s="1370">
        <v>4590</v>
      </c>
      <c r="AL34" s="1370">
        <v>4590</v>
      </c>
      <c r="AM34" s="1370">
        <v>6732</v>
      </c>
      <c r="AN34" s="1370">
        <v>4794</v>
      </c>
      <c r="AO34" s="1370">
        <v>4998</v>
      </c>
      <c r="AP34" s="1370">
        <v>5202</v>
      </c>
      <c r="AQ34" s="1371">
        <v>2754</v>
      </c>
      <c r="AR34" s="487"/>
      <c r="AS34" s="1286">
        <v>113635.64000000001</v>
      </c>
      <c r="AT34" s="487"/>
      <c r="AU34" s="487"/>
      <c r="AV34" s="487"/>
      <c r="AW34" s="487"/>
      <c r="AX34" s="487"/>
      <c r="AY34" s="487"/>
      <c r="AZ34" s="487"/>
      <c r="BA34" s="487"/>
    </row>
    <row r="35" spans="1:92" ht="23.25" thickBot="1">
      <c r="B35" s="192"/>
      <c r="C35" s="261" t="s">
        <v>456</v>
      </c>
      <c r="D35" s="1372">
        <v>1</v>
      </c>
      <c r="E35" s="1350" t="s">
        <v>142</v>
      </c>
      <c r="F35" s="1373">
        <v>261631.9</v>
      </c>
      <c r="G35" s="1352">
        <v>261631.9</v>
      </c>
      <c r="H35" s="1374">
        <v>261631.90338495115</v>
      </c>
      <c r="I35" s="1375">
        <v>0</v>
      </c>
      <c r="J35" s="1376">
        <v>0</v>
      </c>
      <c r="K35" s="1376">
        <v>0</v>
      </c>
      <c r="L35" s="1377">
        <v>0</v>
      </c>
      <c r="M35" s="1376"/>
      <c r="N35" s="1377">
        <v>0</v>
      </c>
      <c r="O35" s="1376"/>
      <c r="P35" s="1377">
        <v>0</v>
      </c>
      <c r="Q35" s="1376"/>
      <c r="R35" s="1377" t="s">
        <v>689</v>
      </c>
      <c r="S35" s="1376"/>
      <c r="T35" s="1377">
        <v>0</v>
      </c>
      <c r="U35" s="1376"/>
      <c r="V35" s="1377">
        <v>0</v>
      </c>
      <c r="W35" s="1377">
        <v>0</v>
      </c>
      <c r="X35" s="1377">
        <v>0</v>
      </c>
      <c r="Y35" s="1377">
        <v>0</v>
      </c>
      <c r="Z35" s="1378">
        <v>0</v>
      </c>
      <c r="AA35" s="1378">
        <v>0</v>
      </c>
      <c r="AB35" s="1378">
        <v>0</v>
      </c>
      <c r="AC35" s="1378">
        <v>0</v>
      </c>
      <c r="AD35" s="1378">
        <v>0</v>
      </c>
      <c r="AE35" s="1378">
        <v>0</v>
      </c>
      <c r="AF35" s="1378">
        <v>0</v>
      </c>
      <c r="AG35" s="1378">
        <v>0</v>
      </c>
      <c r="AH35" s="1378">
        <v>0</v>
      </c>
      <c r="AI35" s="1378">
        <v>0</v>
      </c>
      <c r="AJ35" s="1378">
        <v>0</v>
      </c>
      <c r="AK35" s="1378">
        <v>0</v>
      </c>
      <c r="AL35" s="1378">
        <v>0</v>
      </c>
      <c r="AM35" s="1378">
        <v>0</v>
      </c>
      <c r="AN35" s="1378">
        <v>0</v>
      </c>
      <c r="AO35" s="1378">
        <v>0</v>
      </c>
      <c r="AP35" s="1378">
        <v>0</v>
      </c>
      <c r="AQ35" s="1379">
        <v>0</v>
      </c>
      <c r="AR35" s="487"/>
      <c r="AS35" s="1286">
        <v>-261631.9</v>
      </c>
      <c r="AT35" s="487"/>
      <c r="AU35" s="487"/>
      <c r="AV35" s="487"/>
      <c r="AW35" s="487"/>
      <c r="AX35" s="487"/>
      <c r="AY35" s="487"/>
      <c r="AZ35" s="487"/>
      <c r="BA35" s="487"/>
    </row>
    <row r="36" spans="1:92" ht="13.5" thickBot="1">
      <c r="B36" s="192"/>
      <c r="C36" s="261"/>
      <c r="D36" s="1372"/>
      <c r="E36" s="1350"/>
      <c r="F36" s="1373"/>
      <c r="G36" s="1352"/>
      <c r="H36" s="1374"/>
      <c r="I36" s="1375"/>
      <c r="J36" s="1376"/>
      <c r="K36" s="1376"/>
      <c r="L36" s="1377"/>
      <c r="M36" s="1376"/>
      <c r="N36" s="1377"/>
      <c r="O36" s="1376"/>
      <c r="P36" s="1377"/>
      <c r="Q36" s="1376"/>
      <c r="R36" s="1377"/>
      <c r="S36" s="1376"/>
      <c r="T36" s="1377"/>
      <c r="U36" s="1376"/>
      <c r="V36" s="1377"/>
      <c r="W36" s="1377"/>
      <c r="X36" s="1377"/>
      <c r="Y36" s="1377"/>
      <c r="Z36" s="1378"/>
      <c r="AA36" s="1378"/>
      <c r="AB36" s="1378"/>
      <c r="AC36" s="1378"/>
      <c r="AD36" s="1378"/>
      <c r="AE36" s="1378"/>
      <c r="AF36" s="1378"/>
      <c r="AG36" s="1378"/>
      <c r="AH36" s="1378"/>
      <c r="AI36" s="1378"/>
      <c r="AJ36" s="1378"/>
      <c r="AK36" s="1378"/>
      <c r="AL36" s="1378"/>
      <c r="AM36" s="1378"/>
      <c r="AN36" s="1378"/>
      <c r="AO36" s="1378"/>
      <c r="AP36" s="1378"/>
      <c r="AQ36" s="1379"/>
      <c r="AR36" s="487"/>
      <c r="AS36" s="1286"/>
      <c r="AT36" s="487"/>
      <c r="AU36" s="487"/>
      <c r="AV36" s="487"/>
      <c r="AW36" s="487"/>
      <c r="AX36" s="487"/>
      <c r="AY36" s="487"/>
      <c r="AZ36" s="487"/>
      <c r="BA36" s="487"/>
    </row>
    <row r="37" spans="1:92" ht="13.5" thickBot="1">
      <c r="B37" s="192"/>
      <c r="C37" s="261"/>
      <c r="D37" s="1372"/>
      <c r="E37" s="1350"/>
      <c r="F37" s="1373"/>
      <c r="G37" s="1352"/>
      <c r="H37" s="1374"/>
      <c r="I37" s="1375"/>
      <c r="J37" s="1376"/>
      <c r="K37" s="1376"/>
      <c r="L37" s="1377"/>
      <c r="M37" s="1376"/>
      <c r="N37" s="1377"/>
      <c r="O37" s="1376"/>
      <c r="P37" s="1377"/>
      <c r="Q37" s="1376"/>
      <c r="R37" s="1377"/>
      <c r="S37" s="1376"/>
      <c r="T37" s="1377"/>
      <c r="U37" s="1376"/>
      <c r="V37" s="1377"/>
      <c r="W37" s="1377"/>
      <c r="X37" s="1377"/>
      <c r="Y37" s="1377"/>
      <c r="Z37" s="1378"/>
      <c r="AA37" s="1378"/>
      <c r="AB37" s="1378"/>
      <c r="AC37" s="1378"/>
      <c r="AD37" s="1378"/>
      <c r="AE37" s="1378"/>
      <c r="AF37" s="1378"/>
      <c r="AG37" s="1378"/>
      <c r="AH37" s="1378"/>
      <c r="AI37" s="1378"/>
      <c r="AJ37" s="1378"/>
      <c r="AK37" s="1378"/>
      <c r="AL37" s="1378"/>
      <c r="AM37" s="1378"/>
      <c r="AN37" s="1378"/>
      <c r="AO37" s="1378"/>
      <c r="AP37" s="1378"/>
      <c r="AQ37" s="1379"/>
      <c r="AR37" s="487"/>
      <c r="AS37" s="1286"/>
      <c r="AT37" s="487"/>
      <c r="AU37" s="487"/>
      <c r="AV37" s="487"/>
      <c r="AW37" s="487"/>
      <c r="AX37" s="487"/>
      <c r="AY37" s="487"/>
      <c r="AZ37" s="487"/>
      <c r="BA37" s="487"/>
    </row>
    <row r="38" spans="1:92" ht="13.5" thickBot="1">
      <c r="E38" s="1322"/>
      <c r="F38" s="511"/>
      <c r="G38" s="511"/>
      <c r="I38" s="574"/>
      <c r="J38" s="574"/>
      <c r="K38" s="574"/>
      <c r="L38" s="1323"/>
      <c r="M38" s="1324"/>
      <c r="N38" s="1323"/>
      <c r="O38" s="1324"/>
      <c r="P38" s="1323"/>
      <c r="Q38" s="1324"/>
      <c r="R38" s="1323"/>
      <c r="S38" s="1324"/>
      <c r="T38" s="1323"/>
      <c r="U38" s="1324"/>
      <c r="V38" s="1323"/>
      <c r="W38" s="1323"/>
      <c r="X38" s="1323"/>
      <c r="Y38" s="1323"/>
      <c r="Z38" s="1323"/>
      <c r="AA38" s="1323"/>
      <c r="AB38" s="1323"/>
      <c r="AC38" s="1323"/>
      <c r="AD38" s="1323"/>
      <c r="AE38" s="1323"/>
      <c r="AF38" s="1323"/>
      <c r="AG38" s="1323"/>
      <c r="AH38" s="1323"/>
      <c r="AI38" s="1323"/>
      <c r="AJ38" s="1323"/>
      <c r="AK38" s="1323"/>
      <c r="AL38" s="1323"/>
      <c r="AM38" s="1323"/>
      <c r="AN38" s="1323"/>
      <c r="AO38" s="1323"/>
      <c r="AP38" s="1323"/>
      <c r="AQ38" s="1323"/>
      <c r="AR38" s="487"/>
      <c r="AS38" s="1286"/>
      <c r="AT38" s="487"/>
      <c r="AU38" s="487"/>
      <c r="AV38" s="487"/>
      <c r="AW38" s="487"/>
      <c r="AX38" s="487"/>
      <c r="AY38" s="487"/>
      <c r="AZ38" s="487"/>
      <c r="BA38" s="487"/>
    </row>
    <row r="39" spans="1:92" ht="13.5" thickBot="1">
      <c r="A39" s="885"/>
      <c r="B39" s="795" t="s">
        <v>156</v>
      </c>
      <c r="C39" s="463" t="s">
        <v>157</v>
      </c>
      <c r="D39" s="464"/>
      <c r="E39" s="1380"/>
      <c r="F39" s="516"/>
      <c r="G39" s="524">
        <v>17035648.300179016</v>
      </c>
      <c r="H39" s="1287"/>
      <c r="I39" s="1288">
        <v>37879.125589369905</v>
      </c>
      <c r="J39" s="1288">
        <v>571.94869673148537</v>
      </c>
      <c r="K39" s="1288">
        <v>116006.07352586275</v>
      </c>
      <c r="L39" s="1289">
        <v>3671187.1619710769</v>
      </c>
      <c r="M39" s="1288">
        <v>5470.01</v>
      </c>
      <c r="N39" s="1289">
        <v>976509.74878814025</v>
      </c>
      <c r="O39" s="1288">
        <v>343743.46</v>
      </c>
      <c r="P39" s="1289">
        <v>430533.64756711625</v>
      </c>
      <c r="Q39" s="1288">
        <v>6944268.1799999997</v>
      </c>
      <c r="R39" s="1289">
        <v>1665461.7728142848</v>
      </c>
      <c r="S39" s="1288">
        <v>1492289.03</v>
      </c>
      <c r="T39" s="1289">
        <v>1144098.0717231876</v>
      </c>
      <c r="U39" s="1288">
        <f>SUM(U40:U45)</f>
        <v>3456829.29</v>
      </c>
      <c r="V39" s="1289">
        <v>1876480.6750870352</v>
      </c>
      <c r="W39" s="1289">
        <v>951526.31680762395</v>
      </c>
      <c r="X39" s="1289">
        <v>2605657.7258695289</v>
      </c>
      <c r="Y39" s="1289">
        <v>2305672.4517390579</v>
      </c>
      <c r="Z39" s="1290">
        <v>21049</v>
      </c>
      <c r="AA39" s="1290">
        <v>21049</v>
      </c>
      <c r="AB39" s="1290">
        <v>21049</v>
      </c>
      <c r="AC39" s="1290">
        <v>17185</v>
      </c>
      <c r="AD39" s="1290">
        <v>17185</v>
      </c>
      <c r="AE39" s="1290">
        <v>17185</v>
      </c>
      <c r="AF39" s="1290">
        <v>17185</v>
      </c>
      <c r="AG39" s="1290">
        <v>17185</v>
      </c>
      <c r="AH39" s="1290">
        <v>21354</v>
      </c>
      <c r="AI39" s="1290">
        <v>14541</v>
      </c>
      <c r="AJ39" s="1290">
        <v>14541</v>
      </c>
      <c r="AK39" s="1290">
        <v>14541</v>
      </c>
      <c r="AL39" s="1290">
        <v>14541</v>
      </c>
      <c r="AM39" s="1290">
        <v>21354</v>
      </c>
      <c r="AN39" s="1290">
        <v>15151</v>
      </c>
      <c r="AO39" s="1290">
        <v>15761</v>
      </c>
      <c r="AP39" s="1290">
        <v>16575</v>
      </c>
      <c r="AQ39" s="1290">
        <v>16599</v>
      </c>
      <c r="AR39" s="488"/>
      <c r="AS39" s="1286">
        <v>8381056.6099999994</v>
      </c>
      <c r="AT39" s="488"/>
      <c r="AU39" s="488"/>
      <c r="AV39" s="488"/>
      <c r="AW39" s="488"/>
      <c r="AX39" s="488"/>
      <c r="AY39" s="488"/>
      <c r="AZ39" s="488"/>
      <c r="BA39" s="488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</row>
    <row r="40" spans="1:92">
      <c r="B40" s="184"/>
      <c r="C40" s="264" t="s">
        <v>457</v>
      </c>
      <c r="D40" s="1381">
        <v>1955</v>
      </c>
      <c r="E40" s="1292" t="s">
        <v>142</v>
      </c>
      <c r="F40" s="1382">
        <v>204</v>
      </c>
      <c r="G40" s="1383">
        <v>398820</v>
      </c>
      <c r="H40" s="1295"/>
      <c r="I40" s="1354">
        <v>0</v>
      </c>
      <c r="J40" s="1309">
        <v>0</v>
      </c>
      <c r="K40" s="1309">
        <v>0</v>
      </c>
      <c r="L40" s="1310">
        <v>816</v>
      </c>
      <c r="M40" s="1309">
        <v>5470.01</v>
      </c>
      <c r="N40" s="1310">
        <v>816</v>
      </c>
      <c r="O40" s="1309"/>
      <c r="P40" s="1310">
        <v>17748</v>
      </c>
      <c r="Q40" s="1309">
        <v>3867.06</v>
      </c>
      <c r="R40" s="1310">
        <v>85272</v>
      </c>
      <c r="S40" s="1309">
        <v>23647.3</v>
      </c>
      <c r="T40" s="1310">
        <v>34680</v>
      </c>
      <c r="U40" s="1309">
        <v>67485.490000000005</v>
      </c>
      <c r="V40" s="1310">
        <v>26316</v>
      </c>
      <c r="W40" s="1310">
        <v>34884</v>
      </c>
      <c r="X40" s="1310">
        <v>68952</v>
      </c>
      <c r="Y40" s="1310">
        <v>103836</v>
      </c>
      <c r="Z40" s="1311">
        <v>1224</v>
      </c>
      <c r="AA40" s="1311">
        <v>1224</v>
      </c>
      <c r="AB40" s="1311">
        <v>1224</v>
      </c>
      <c r="AC40" s="1311">
        <v>1020</v>
      </c>
      <c r="AD40" s="1311">
        <v>1020</v>
      </c>
      <c r="AE40" s="1311">
        <v>1020</v>
      </c>
      <c r="AF40" s="1311">
        <v>1020</v>
      </c>
      <c r="AG40" s="1311">
        <v>1020</v>
      </c>
      <c r="AH40" s="1311">
        <v>1224</v>
      </c>
      <c r="AI40" s="1311">
        <v>816</v>
      </c>
      <c r="AJ40" s="1311">
        <v>816</v>
      </c>
      <c r="AK40" s="1311">
        <v>816</v>
      </c>
      <c r="AL40" s="1311">
        <v>816</v>
      </c>
      <c r="AM40" s="1311">
        <v>1224</v>
      </c>
      <c r="AN40" s="1311">
        <v>816</v>
      </c>
      <c r="AO40" s="1311">
        <v>816</v>
      </c>
      <c r="AP40" s="1311">
        <v>1020</v>
      </c>
      <c r="AQ40" s="1312">
        <v>8364</v>
      </c>
      <c r="AR40" s="487"/>
      <c r="AS40" s="1286">
        <v>32984.369999999995</v>
      </c>
      <c r="AT40" s="487"/>
      <c r="AU40" s="487"/>
      <c r="AV40" s="487"/>
      <c r="AW40" s="487"/>
      <c r="AX40" s="487"/>
      <c r="AY40" s="487"/>
      <c r="AZ40" s="487"/>
      <c r="BA40" s="487"/>
    </row>
    <row r="41" spans="1:92" ht="22.5">
      <c r="B41" s="185"/>
      <c r="C41" s="265" t="s">
        <v>458</v>
      </c>
      <c r="D41" s="1364">
        <v>19942.956974156499</v>
      </c>
      <c r="E41" s="1304" t="s">
        <v>254</v>
      </c>
      <c r="F41" s="1384">
        <v>305</v>
      </c>
      <c r="G41" s="1306">
        <v>6082601.8771177325</v>
      </c>
      <c r="H41" s="1295"/>
      <c r="I41" s="1353">
        <v>37879.125589369905</v>
      </c>
      <c r="J41" s="1385">
        <v>571.94869673148537</v>
      </c>
      <c r="K41" s="1385">
        <v>9420.8028316306008</v>
      </c>
      <c r="L41" s="1310">
        <v>0</v>
      </c>
      <c r="M41" s="1386"/>
      <c r="N41" s="1387">
        <v>0</v>
      </c>
      <c r="O41" s="1386"/>
      <c r="P41" s="1388">
        <v>0</v>
      </c>
      <c r="Q41" s="1386"/>
      <c r="R41" s="1388">
        <v>1211155</v>
      </c>
      <c r="S41" s="1386">
        <v>834431.05</v>
      </c>
      <c r="T41" s="1388">
        <v>158905</v>
      </c>
      <c r="U41" s="1386">
        <v>3996</v>
      </c>
      <c r="V41" s="1388">
        <v>43310</v>
      </c>
      <c r="W41" s="1388">
        <v>493795</v>
      </c>
      <c r="X41" s="1388">
        <v>2236870</v>
      </c>
      <c r="Y41" s="1388">
        <v>1602165</v>
      </c>
      <c r="Z41" s="1389">
        <v>19825</v>
      </c>
      <c r="AA41" s="1389">
        <v>19825</v>
      </c>
      <c r="AB41" s="1389">
        <v>19825</v>
      </c>
      <c r="AC41" s="1389">
        <v>16165</v>
      </c>
      <c r="AD41" s="1389">
        <v>16165</v>
      </c>
      <c r="AE41" s="1389">
        <v>16165</v>
      </c>
      <c r="AF41" s="1389">
        <v>16165</v>
      </c>
      <c r="AG41" s="1389">
        <v>16165</v>
      </c>
      <c r="AH41" s="1389">
        <v>20130</v>
      </c>
      <c r="AI41" s="1389">
        <v>13725</v>
      </c>
      <c r="AJ41" s="1389">
        <v>13725</v>
      </c>
      <c r="AK41" s="1389">
        <v>13725</v>
      </c>
      <c r="AL41" s="1389">
        <v>13725</v>
      </c>
      <c r="AM41" s="1389">
        <v>20130</v>
      </c>
      <c r="AN41" s="1389">
        <v>14335</v>
      </c>
      <c r="AO41" s="1389">
        <v>14945</v>
      </c>
      <c r="AP41" s="1389">
        <v>15555</v>
      </c>
      <c r="AQ41" s="1390">
        <v>8235</v>
      </c>
      <c r="AR41" s="487"/>
      <c r="AS41" s="1286">
        <v>838427.04999999981</v>
      </c>
      <c r="AT41" s="487"/>
      <c r="AU41" s="487"/>
      <c r="AV41" s="487"/>
      <c r="AW41" s="487"/>
      <c r="AX41" s="487"/>
      <c r="AY41" s="487"/>
      <c r="AZ41" s="487"/>
      <c r="BA41" s="487"/>
    </row>
    <row r="42" spans="1:92">
      <c r="B42" s="185"/>
      <c r="C42" s="265" t="s">
        <v>407</v>
      </c>
      <c r="D42" s="1364">
        <v>12118.87935193771</v>
      </c>
      <c r="E42" s="1304" t="s">
        <v>254</v>
      </c>
      <c r="F42" s="1384">
        <v>357.69986790911287</v>
      </c>
      <c r="G42" s="1306">
        <v>4334921.5433945945</v>
      </c>
      <c r="H42" s="1295"/>
      <c r="I42" s="1354">
        <v>0</v>
      </c>
      <c r="J42" s="1309">
        <v>0</v>
      </c>
      <c r="K42" s="1309">
        <v>106585.27069423215</v>
      </c>
      <c r="L42" s="1310">
        <v>303372.4119710768</v>
      </c>
      <c r="M42" s="1309"/>
      <c r="N42" s="1310">
        <v>606658.97597385547</v>
      </c>
      <c r="O42" s="1309">
        <v>343743.46</v>
      </c>
      <c r="P42" s="1310">
        <v>412785.64756711625</v>
      </c>
      <c r="Q42" s="1309">
        <v>596290.12000000011</v>
      </c>
      <c r="R42" s="1310">
        <v>0</v>
      </c>
      <c r="S42" s="1309"/>
      <c r="T42" s="1310">
        <v>704489.8898469978</v>
      </c>
      <c r="U42" s="1309">
        <v>2244745.39</v>
      </c>
      <c r="V42" s="1310">
        <v>1260995.7673413164</v>
      </c>
      <c r="W42" s="1310">
        <v>0</v>
      </c>
      <c r="X42" s="1310">
        <v>0</v>
      </c>
      <c r="Y42" s="1310">
        <v>0</v>
      </c>
      <c r="Z42" s="1311">
        <v>0</v>
      </c>
      <c r="AA42" s="1311">
        <v>0</v>
      </c>
      <c r="AB42" s="1311">
        <v>0</v>
      </c>
      <c r="AC42" s="1311">
        <v>0</v>
      </c>
      <c r="AD42" s="1311">
        <v>0</v>
      </c>
      <c r="AE42" s="1311">
        <v>0</v>
      </c>
      <c r="AF42" s="1311">
        <v>0</v>
      </c>
      <c r="AG42" s="1311">
        <v>0</v>
      </c>
      <c r="AH42" s="1311">
        <v>0</v>
      </c>
      <c r="AI42" s="1311">
        <v>0</v>
      </c>
      <c r="AJ42" s="1311">
        <v>0</v>
      </c>
      <c r="AK42" s="1311">
        <v>0</v>
      </c>
      <c r="AL42" s="1311">
        <v>0</v>
      </c>
      <c r="AM42" s="1311">
        <v>0</v>
      </c>
      <c r="AN42" s="1311">
        <v>0</v>
      </c>
      <c r="AO42" s="1311">
        <v>0</v>
      </c>
      <c r="AP42" s="1311">
        <v>0</v>
      </c>
      <c r="AQ42" s="1312">
        <v>0</v>
      </c>
      <c r="AR42" s="487"/>
      <c r="AS42" s="1286">
        <v>0</v>
      </c>
      <c r="AT42" s="487"/>
      <c r="AU42" s="487"/>
      <c r="AV42" s="487"/>
      <c r="AW42" s="487"/>
      <c r="AX42" s="487"/>
      <c r="AY42" s="487"/>
      <c r="AZ42" s="487"/>
      <c r="BA42" s="487"/>
    </row>
    <row r="43" spans="1:92" ht="33.75">
      <c r="B43" s="185"/>
      <c r="C43" s="265" t="s">
        <v>459</v>
      </c>
      <c r="D43" s="1364">
        <v>1</v>
      </c>
      <c r="E43" s="1304" t="s">
        <v>249</v>
      </c>
      <c r="F43" s="1384">
        <v>1353127.5003190441</v>
      </c>
      <c r="G43" s="1306">
        <v>1353127.5003190441</v>
      </c>
      <c r="H43" s="1295"/>
      <c r="I43" s="1354">
        <v>0</v>
      </c>
      <c r="J43" s="1309">
        <v>0</v>
      </c>
      <c r="K43" s="1309">
        <v>0</v>
      </c>
      <c r="L43" s="1310">
        <v>0</v>
      </c>
      <c r="M43" s="1309"/>
      <c r="N43" s="1310">
        <v>369034.77281428478</v>
      </c>
      <c r="O43" s="1309"/>
      <c r="P43" s="1310">
        <v>0</v>
      </c>
      <c r="Q43" s="1309"/>
      <c r="R43" s="1310">
        <v>369034.77281428478</v>
      </c>
      <c r="S43" s="1309">
        <v>571252.05000000005</v>
      </c>
      <c r="T43" s="1310">
        <v>246023.18187618983</v>
      </c>
      <c r="U43" s="1309">
        <v>1140602.4099999999</v>
      </c>
      <c r="V43" s="1310">
        <v>246023.18187618983</v>
      </c>
      <c r="W43" s="1310">
        <v>123011.59093809492</v>
      </c>
      <c r="X43" s="1310">
        <v>0</v>
      </c>
      <c r="Y43" s="1310">
        <v>0</v>
      </c>
      <c r="Z43" s="1311">
        <v>0</v>
      </c>
      <c r="AA43" s="1311">
        <v>0</v>
      </c>
      <c r="AB43" s="1311">
        <v>0</v>
      </c>
      <c r="AC43" s="1311">
        <v>0</v>
      </c>
      <c r="AD43" s="1311">
        <v>0</v>
      </c>
      <c r="AE43" s="1311">
        <v>0</v>
      </c>
      <c r="AF43" s="1311">
        <v>0</v>
      </c>
      <c r="AG43" s="1311">
        <v>0</v>
      </c>
      <c r="AH43" s="1311">
        <v>0</v>
      </c>
      <c r="AI43" s="1311">
        <v>0</v>
      </c>
      <c r="AJ43" s="1311">
        <v>0</v>
      </c>
      <c r="AK43" s="1311">
        <v>0</v>
      </c>
      <c r="AL43" s="1311">
        <v>0</v>
      </c>
      <c r="AM43" s="1311">
        <v>0</v>
      </c>
      <c r="AN43" s="1311">
        <v>0</v>
      </c>
      <c r="AO43" s="1311">
        <v>0</v>
      </c>
      <c r="AP43" s="1311">
        <v>0</v>
      </c>
      <c r="AQ43" s="1312">
        <v>0</v>
      </c>
      <c r="AR43" s="487"/>
      <c r="AS43" s="1286">
        <v>1102575.56</v>
      </c>
      <c r="AT43" s="487"/>
      <c r="AU43" s="487"/>
      <c r="AV43" s="487"/>
      <c r="AW43" s="487"/>
      <c r="AX43" s="487"/>
      <c r="AY43" s="487"/>
      <c r="AZ43" s="487"/>
      <c r="BA43" s="487"/>
    </row>
    <row r="44" spans="1:92" ht="33.75">
      <c r="B44" s="185"/>
      <c r="C44" s="265" t="s">
        <v>408</v>
      </c>
      <c r="D44" s="1364">
        <v>1</v>
      </c>
      <c r="E44" s="1304" t="s">
        <v>249</v>
      </c>
      <c r="F44" s="1384">
        <v>3366998.75</v>
      </c>
      <c r="G44" s="1306">
        <v>3366998.75</v>
      </c>
      <c r="H44" s="1295"/>
      <c r="I44" s="1354">
        <v>0</v>
      </c>
      <c r="J44" s="1391">
        <v>0</v>
      </c>
      <c r="K44" s="1309">
        <v>0</v>
      </c>
      <c r="L44" s="1310">
        <v>3366998.75</v>
      </c>
      <c r="M44" s="1309"/>
      <c r="N44" s="1310">
        <v>0</v>
      </c>
      <c r="O44" s="1309"/>
      <c r="P44" s="1310">
        <v>0</v>
      </c>
      <c r="Q44" s="1309">
        <v>6344110.9999999991</v>
      </c>
      <c r="R44" s="1310">
        <v>0</v>
      </c>
      <c r="S44" s="1309">
        <v>62958.63</v>
      </c>
      <c r="T44" s="1310">
        <v>0</v>
      </c>
      <c r="U44" s="1309"/>
      <c r="V44" s="1310">
        <v>0</v>
      </c>
      <c r="W44" s="1310">
        <v>0</v>
      </c>
      <c r="X44" s="1310">
        <v>0</v>
      </c>
      <c r="Y44" s="1310">
        <v>0</v>
      </c>
      <c r="Z44" s="1311">
        <v>0</v>
      </c>
      <c r="AA44" s="1311">
        <v>0</v>
      </c>
      <c r="AB44" s="1311">
        <v>0</v>
      </c>
      <c r="AC44" s="1311">
        <v>0</v>
      </c>
      <c r="AD44" s="1311">
        <v>0</v>
      </c>
      <c r="AE44" s="1311">
        <v>0</v>
      </c>
      <c r="AF44" s="1311">
        <v>0</v>
      </c>
      <c r="AG44" s="1311">
        <v>0</v>
      </c>
      <c r="AH44" s="1311">
        <v>0</v>
      </c>
      <c r="AI44" s="1311">
        <v>0</v>
      </c>
      <c r="AJ44" s="1311">
        <v>0</v>
      </c>
      <c r="AK44" s="1311">
        <v>0</v>
      </c>
      <c r="AL44" s="1311">
        <v>0</v>
      </c>
      <c r="AM44" s="1311">
        <v>0</v>
      </c>
      <c r="AN44" s="1311">
        <v>0</v>
      </c>
      <c r="AO44" s="1311">
        <v>0</v>
      </c>
      <c r="AP44" s="1311">
        <v>0</v>
      </c>
      <c r="AQ44" s="1312">
        <v>0</v>
      </c>
      <c r="AR44" s="487"/>
      <c r="AS44" s="1286">
        <v>6407069.6300000008</v>
      </c>
      <c r="AT44" s="487"/>
      <c r="AU44" s="487"/>
      <c r="AV44" s="487"/>
      <c r="AW44" s="487"/>
      <c r="AX44" s="487"/>
      <c r="AY44" s="487"/>
      <c r="AZ44" s="487"/>
      <c r="BA44" s="487"/>
    </row>
    <row r="45" spans="1:92" ht="34.5" thickBot="1">
      <c r="B45" s="192"/>
      <c r="C45" s="266" t="s">
        <v>460</v>
      </c>
      <c r="D45" s="1392">
        <v>5</v>
      </c>
      <c r="E45" s="1393" t="s">
        <v>142</v>
      </c>
      <c r="F45" s="1394">
        <v>299835.72586952901</v>
      </c>
      <c r="G45" s="1316">
        <v>1499178.629347645</v>
      </c>
      <c r="H45" s="1295"/>
      <c r="I45" s="1395">
        <v>0</v>
      </c>
      <c r="J45" s="1333">
        <v>0</v>
      </c>
      <c r="K45" s="1333">
        <v>0</v>
      </c>
      <c r="L45" s="1334">
        <v>0</v>
      </c>
      <c r="M45" s="1333"/>
      <c r="N45" s="1334">
        <v>0</v>
      </c>
      <c r="O45" s="1333"/>
      <c r="P45" s="1334">
        <v>0</v>
      </c>
      <c r="Q45" s="1333"/>
      <c r="R45" s="1334">
        <v>0</v>
      </c>
      <c r="S45" s="1333"/>
      <c r="T45" s="1334">
        <v>0</v>
      </c>
      <c r="U45" s="1333"/>
      <c r="V45" s="1334">
        <v>299835.72586952901</v>
      </c>
      <c r="W45" s="1334">
        <v>299835.72586952901</v>
      </c>
      <c r="X45" s="1334">
        <v>299835.72586952901</v>
      </c>
      <c r="Y45" s="1334">
        <v>599671.45173905801</v>
      </c>
      <c r="Z45" s="1335">
        <v>0</v>
      </c>
      <c r="AA45" s="1335">
        <v>0</v>
      </c>
      <c r="AB45" s="1335">
        <v>0</v>
      </c>
      <c r="AC45" s="1335">
        <v>0</v>
      </c>
      <c r="AD45" s="1335">
        <v>0</v>
      </c>
      <c r="AE45" s="1335">
        <v>0</v>
      </c>
      <c r="AF45" s="1335">
        <v>0</v>
      </c>
      <c r="AG45" s="1335">
        <v>0</v>
      </c>
      <c r="AH45" s="1335">
        <v>0</v>
      </c>
      <c r="AI45" s="1335">
        <v>0</v>
      </c>
      <c r="AJ45" s="1335">
        <v>0</v>
      </c>
      <c r="AK45" s="1335">
        <v>0</v>
      </c>
      <c r="AL45" s="1335">
        <v>0</v>
      </c>
      <c r="AM45" s="1335">
        <v>0</v>
      </c>
      <c r="AN45" s="1335">
        <v>0</v>
      </c>
      <c r="AO45" s="1335">
        <v>0</v>
      </c>
      <c r="AP45" s="1335">
        <v>0</v>
      </c>
      <c r="AQ45" s="1336">
        <v>0</v>
      </c>
      <c r="AR45" s="487"/>
      <c r="AS45" s="1286">
        <v>0</v>
      </c>
      <c r="AT45" s="487"/>
      <c r="AU45" s="487"/>
      <c r="AV45" s="487"/>
      <c r="AW45" s="487"/>
      <c r="AX45" s="487"/>
      <c r="AY45" s="487"/>
      <c r="AZ45" s="487"/>
      <c r="BA45" s="487"/>
    </row>
    <row r="46" spans="1:92" ht="13.5" thickBot="1">
      <c r="E46" s="1322"/>
      <c r="F46" s="511"/>
      <c r="G46" s="511"/>
      <c r="I46" s="574"/>
      <c r="J46" s="574"/>
      <c r="K46" s="574"/>
      <c r="L46" s="1323"/>
      <c r="M46" s="1324"/>
      <c r="N46" s="1323"/>
      <c r="O46" s="1324"/>
      <c r="P46" s="1323"/>
      <c r="Q46" s="1324"/>
      <c r="R46" s="1323"/>
      <c r="S46" s="1324"/>
      <c r="T46" s="1323"/>
      <c r="U46" s="1324"/>
      <c r="V46" s="1323"/>
      <c r="W46" s="1323"/>
      <c r="X46" s="1323"/>
      <c r="Y46" s="1323"/>
      <c r="Z46" s="1323"/>
      <c r="AA46" s="1323"/>
      <c r="AB46" s="1323"/>
      <c r="AC46" s="1323"/>
      <c r="AD46" s="1323"/>
      <c r="AE46" s="1323"/>
      <c r="AF46" s="1323"/>
      <c r="AG46" s="1323"/>
      <c r="AH46" s="1323"/>
      <c r="AI46" s="1323"/>
      <c r="AJ46" s="1323"/>
      <c r="AK46" s="1323"/>
      <c r="AL46" s="1323"/>
      <c r="AM46" s="1323"/>
      <c r="AN46" s="1323"/>
      <c r="AO46" s="1323"/>
      <c r="AP46" s="1323"/>
      <c r="AQ46" s="1323"/>
      <c r="AR46" s="487"/>
      <c r="AS46" s="1286"/>
      <c r="AT46" s="487"/>
      <c r="AU46" s="487"/>
      <c r="AV46" s="487"/>
      <c r="AW46" s="487"/>
      <c r="AX46" s="487"/>
      <c r="AY46" s="487"/>
      <c r="AZ46" s="487"/>
      <c r="BA46" s="487"/>
    </row>
    <row r="47" spans="1:92" ht="13.5" thickBot="1">
      <c r="B47" s="357">
        <v>3</v>
      </c>
      <c r="C47" s="194" t="s">
        <v>391</v>
      </c>
      <c r="D47" s="180"/>
      <c r="E47" s="1356"/>
      <c r="F47" s="512"/>
      <c r="G47" s="1357">
        <v>880538.77128137951</v>
      </c>
      <c r="H47" s="1280"/>
      <c r="I47" s="1281">
        <v>87023.583369052707</v>
      </c>
      <c r="J47" s="1281">
        <v>43673.537443111301</v>
      </c>
      <c r="K47" s="1281">
        <v>85663.1968465932</v>
      </c>
      <c r="L47" s="1282">
        <v>478645.37134107272</v>
      </c>
      <c r="M47" s="1284">
        <v>34155.4</v>
      </c>
      <c r="N47" s="1282">
        <v>6445.8877800595983</v>
      </c>
      <c r="O47" s="1284">
        <v>0</v>
      </c>
      <c r="P47" s="1282">
        <v>6445.8877800595983</v>
      </c>
      <c r="Q47" s="1284">
        <v>27817.38</v>
      </c>
      <c r="R47" s="1282">
        <v>6445.8877800595983</v>
      </c>
      <c r="S47" s="1284">
        <v>74781.08</v>
      </c>
      <c r="T47" s="1282">
        <v>6445.8877800595983</v>
      </c>
      <c r="U47" s="1284">
        <f>U48+U53+U58</f>
        <v>151507.68000000002</v>
      </c>
      <c r="V47" s="1282">
        <v>6445.8877800595983</v>
      </c>
      <c r="W47" s="1282">
        <v>6445.8877800595983</v>
      </c>
      <c r="X47" s="1282">
        <v>6445.8877800595983</v>
      </c>
      <c r="Y47" s="1282">
        <v>6445.8877800595983</v>
      </c>
      <c r="Z47" s="1285">
        <v>6445.8877800595983</v>
      </c>
      <c r="AA47" s="1285">
        <v>6445.8877800595983</v>
      </c>
      <c r="AB47" s="1285">
        <v>6445.8877800595983</v>
      </c>
      <c r="AC47" s="1285">
        <v>6445.8877800595983</v>
      </c>
      <c r="AD47" s="1285">
        <v>6445.8877800595983</v>
      </c>
      <c r="AE47" s="1285">
        <v>6445.8877800595983</v>
      </c>
      <c r="AF47" s="1285">
        <v>6445.8877800595983</v>
      </c>
      <c r="AG47" s="1285">
        <v>6445.8877800595983</v>
      </c>
      <c r="AH47" s="1285">
        <v>6445.8877800595983</v>
      </c>
      <c r="AI47" s="1285">
        <v>6445.8877800595983</v>
      </c>
      <c r="AJ47" s="1285">
        <v>6445.8877800595983</v>
      </c>
      <c r="AK47" s="1285">
        <v>6445.8877800595983</v>
      </c>
      <c r="AL47" s="1285">
        <v>6445.8877800595983</v>
      </c>
      <c r="AM47" s="1285">
        <v>6445.8877800595983</v>
      </c>
      <c r="AN47" s="1285">
        <v>6445.8877800595983</v>
      </c>
      <c r="AO47" s="1285">
        <v>6445.8877800595983</v>
      </c>
      <c r="AP47" s="1285">
        <v>6445.8877800595983</v>
      </c>
      <c r="AQ47" s="1285">
        <v>6445.8877800595983</v>
      </c>
      <c r="AR47" s="487"/>
      <c r="AS47" s="1286">
        <v>150585.52999999991</v>
      </c>
      <c r="AT47" s="487"/>
      <c r="AU47" s="487"/>
      <c r="AV47" s="487"/>
      <c r="AW47" s="487"/>
      <c r="AX47" s="487"/>
      <c r="AY47" s="487"/>
      <c r="AZ47" s="487"/>
      <c r="BA47" s="487"/>
    </row>
    <row r="48" spans="1:92" ht="13.5" thickBot="1">
      <c r="A48" s="885"/>
      <c r="B48" s="796" t="s">
        <v>158</v>
      </c>
      <c r="C48" s="797" t="s">
        <v>159</v>
      </c>
      <c r="D48" s="798"/>
      <c r="E48" s="1396"/>
      <c r="F48" s="800"/>
      <c r="G48" s="801">
        <v>880538.77128137951</v>
      </c>
      <c r="H48" s="1287"/>
      <c r="I48" s="1397">
        <v>87023.583369052707</v>
      </c>
      <c r="J48" s="1397">
        <v>43673.537443111301</v>
      </c>
      <c r="K48" s="1397">
        <v>85663.1968465932</v>
      </c>
      <c r="L48" s="1398">
        <v>478645.37134107272</v>
      </c>
      <c r="M48" s="1397">
        <v>34155.4</v>
      </c>
      <c r="N48" s="1398">
        <v>6445.8877800595983</v>
      </c>
      <c r="O48" s="1397">
        <v>0</v>
      </c>
      <c r="P48" s="1398">
        <v>6445.8877800595983</v>
      </c>
      <c r="Q48" s="1397">
        <v>27817.38</v>
      </c>
      <c r="R48" s="1398">
        <v>6445.8877800595983</v>
      </c>
      <c r="S48" s="1397">
        <v>74781.08</v>
      </c>
      <c r="T48" s="1398">
        <v>6445.8877800595983</v>
      </c>
      <c r="U48" s="1397">
        <f>SUM(U49:U51)</f>
        <v>138764.89000000001</v>
      </c>
      <c r="V48" s="1398">
        <v>6445.8877800595983</v>
      </c>
      <c r="W48" s="1398">
        <v>6445.8877800595983</v>
      </c>
      <c r="X48" s="1398">
        <v>6445.8877800595983</v>
      </c>
      <c r="Y48" s="1398">
        <v>6445.8877800595983</v>
      </c>
      <c r="Z48" s="1399">
        <v>6445.8877800595983</v>
      </c>
      <c r="AA48" s="1399">
        <v>6445.8877800595983</v>
      </c>
      <c r="AB48" s="1399">
        <v>6445.8877800595983</v>
      </c>
      <c r="AC48" s="1399">
        <v>6445.8877800595983</v>
      </c>
      <c r="AD48" s="1399">
        <v>6445.8877800595983</v>
      </c>
      <c r="AE48" s="1399">
        <v>6445.8877800595983</v>
      </c>
      <c r="AF48" s="1399">
        <v>6445.8877800595983</v>
      </c>
      <c r="AG48" s="1399">
        <v>6445.8877800595983</v>
      </c>
      <c r="AH48" s="1399">
        <v>6445.8877800595983</v>
      </c>
      <c r="AI48" s="1399">
        <v>6445.8877800595983</v>
      </c>
      <c r="AJ48" s="1399">
        <v>6445.8877800595983</v>
      </c>
      <c r="AK48" s="1399">
        <v>6445.8877800595983</v>
      </c>
      <c r="AL48" s="1399">
        <v>6445.8877800595983</v>
      </c>
      <c r="AM48" s="1399">
        <v>6445.8877800595983</v>
      </c>
      <c r="AN48" s="1399">
        <v>6445.8877800595983</v>
      </c>
      <c r="AO48" s="1399">
        <v>6445.8877800595983</v>
      </c>
      <c r="AP48" s="1399">
        <v>6445.8877800595983</v>
      </c>
      <c r="AQ48" s="1399">
        <v>6445.8877800595983</v>
      </c>
      <c r="AR48" s="488"/>
      <c r="AS48" s="1286">
        <v>150585.52999999991</v>
      </c>
      <c r="AT48" s="488"/>
      <c r="AU48" s="488"/>
      <c r="AV48" s="488"/>
      <c r="AW48" s="488"/>
      <c r="AX48" s="488"/>
      <c r="AY48" s="488"/>
      <c r="AZ48" s="488"/>
      <c r="BA48" s="488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</row>
    <row r="49" spans="1:92">
      <c r="B49" s="185"/>
      <c r="C49" s="273" t="s">
        <v>270</v>
      </c>
      <c r="D49" s="1400">
        <v>6200</v>
      </c>
      <c r="E49" s="1401" t="s">
        <v>142</v>
      </c>
      <c r="F49" s="1402">
        <v>60.954164350464545</v>
      </c>
      <c r="G49" s="1403">
        <v>377915.8189728802</v>
      </c>
      <c r="H49" s="1295"/>
      <c r="I49" s="1353">
        <v>87023.583369052707</v>
      </c>
      <c r="J49" s="1345">
        <v>43673.537443111301</v>
      </c>
      <c r="K49" s="1345">
        <v>73179.728099107073</v>
      </c>
      <c r="L49" s="1346">
        <v>6445.8877800595983</v>
      </c>
      <c r="M49" s="1345">
        <v>16215.4</v>
      </c>
      <c r="N49" s="1346">
        <v>6445.8877800595983</v>
      </c>
      <c r="O49" s="1345"/>
      <c r="P49" s="1346">
        <v>6445.8877800595983</v>
      </c>
      <c r="Q49" s="1345">
        <v>27817.38</v>
      </c>
      <c r="R49" s="1346">
        <v>6445.8877800595983</v>
      </c>
      <c r="S49" s="1345">
        <v>74781.08</v>
      </c>
      <c r="T49" s="1346">
        <v>6445.8877800595983</v>
      </c>
      <c r="U49" s="1345">
        <v>138764.89000000001</v>
      </c>
      <c r="V49" s="1346">
        <v>6445.8877800595983</v>
      </c>
      <c r="W49" s="1346">
        <v>6445.8877800595983</v>
      </c>
      <c r="X49" s="1346">
        <v>6445.8877800595983</v>
      </c>
      <c r="Y49" s="1346">
        <v>6445.8877800595983</v>
      </c>
      <c r="Z49" s="1347">
        <v>6445.8877800595983</v>
      </c>
      <c r="AA49" s="1347">
        <v>6445.8877800595983</v>
      </c>
      <c r="AB49" s="1347">
        <v>6445.8877800595983</v>
      </c>
      <c r="AC49" s="1347">
        <v>6445.8877800595983</v>
      </c>
      <c r="AD49" s="1347">
        <v>6445.8877800595983</v>
      </c>
      <c r="AE49" s="1347">
        <v>6445.8877800595983</v>
      </c>
      <c r="AF49" s="1347">
        <v>6445.8877800595983</v>
      </c>
      <c r="AG49" s="1347">
        <v>6445.8877800595983</v>
      </c>
      <c r="AH49" s="1347">
        <v>6445.8877800595983</v>
      </c>
      <c r="AI49" s="1347">
        <v>6445.8877800595983</v>
      </c>
      <c r="AJ49" s="1347">
        <v>6445.8877800595983</v>
      </c>
      <c r="AK49" s="1347">
        <v>6445.8877800595983</v>
      </c>
      <c r="AL49" s="1347">
        <v>6445.8877800595983</v>
      </c>
      <c r="AM49" s="1347">
        <v>6445.8877800595983</v>
      </c>
      <c r="AN49" s="1347">
        <v>6445.8877800595983</v>
      </c>
      <c r="AO49" s="1347">
        <v>6445.8877800595983</v>
      </c>
      <c r="AP49" s="1347">
        <v>6445.8877800595983</v>
      </c>
      <c r="AQ49" s="1347">
        <v>6445.8877800595983</v>
      </c>
      <c r="AR49" s="487"/>
      <c r="AS49" s="1286">
        <v>150585.52999999997</v>
      </c>
      <c r="AT49" s="487"/>
      <c r="AU49" s="487"/>
      <c r="AV49" s="487"/>
      <c r="AW49" s="487"/>
      <c r="AX49" s="487"/>
      <c r="AY49" s="487"/>
      <c r="AZ49" s="487"/>
      <c r="BA49" s="487"/>
    </row>
    <row r="50" spans="1:92">
      <c r="B50" s="185"/>
      <c r="C50" s="265" t="s">
        <v>255</v>
      </c>
      <c r="D50" s="1364">
        <v>4938.9518199464437</v>
      </c>
      <c r="E50" s="1304" t="s">
        <v>254</v>
      </c>
      <c r="F50" s="1384">
        <v>101.76713007780455</v>
      </c>
      <c r="G50" s="1306">
        <v>502622.95230849925</v>
      </c>
      <c r="H50" s="1295"/>
      <c r="I50" s="1354">
        <v>0</v>
      </c>
      <c r="J50" s="1309">
        <v>0</v>
      </c>
      <c r="K50" s="1309">
        <v>12483.468747486124</v>
      </c>
      <c r="L50" s="1310">
        <v>472199.48356101313</v>
      </c>
      <c r="M50" s="1309">
        <v>17940</v>
      </c>
      <c r="N50" s="1310">
        <v>0</v>
      </c>
      <c r="O50" s="1309"/>
      <c r="P50" s="1310">
        <v>0</v>
      </c>
      <c r="Q50" s="1309"/>
      <c r="R50" s="1310">
        <v>0</v>
      </c>
      <c r="S50" s="1309"/>
      <c r="T50" s="1310">
        <v>0</v>
      </c>
      <c r="U50" s="1309"/>
      <c r="V50" s="1310">
        <v>0</v>
      </c>
      <c r="W50" s="1310">
        <v>0</v>
      </c>
      <c r="X50" s="1310">
        <v>0</v>
      </c>
      <c r="Y50" s="1310">
        <v>0</v>
      </c>
      <c r="Z50" s="1311">
        <v>0</v>
      </c>
      <c r="AA50" s="1311">
        <v>0</v>
      </c>
      <c r="AB50" s="1311">
        <v>0</v>
      </c>
      <c r="AC50" s="1311">
        <v>0</v>
      </c>
      <c r="AD50" s="1311">
        <v>0</v>
      </c>
      <c r="AE50" s="1311">
        <v>0</v>
      </c>
      <c r="AF50" s="1311">
        <v>0</v>
      </c>
      <c r="AG50" s="1311">
        <v>0</v>
      </c>
      <c r="AH50" s="1311">
        <v>0</v>
      </c>
      <c r="AI50" s="1311">
        <v>0</v>
      </c>
      <c r="AJ50" s="1311">
        <v>0</v>
      </c>
      <c r="AK50" s="1311">
        <v>0</v>
      </c>
      <c r="AL50" s="1311">
        <v>0</v>
      </c>
      <c r="AM50" s="1311">
        <v>0</v>
      </c>
      <c r="AN50" s="1311">
        <v>0</v>
      </c>
      <c r="AO50" s="1311">
        <v>0</v>
      </c>
      <c r="AP50" s="1311">
        <v>0</v>
      </c>
      <c r="AQ50" s="1312">
        <v>0</v>
      </c>
      <c r="AR50" s="487"/>
      <c r="AS50" s="1286">
        <v>0</v>
      </c>
      <c r="AT50" s="487"/>
      <c r="AU50" s="487"/>
      <c r="AV50" s="487"/>
      <c r="AW50" s="487"/>
      <c r="AX50" s="487"/>
      <c r="AY50" s="487"/>
      <c r="AZ50" s="487"/>
      <c r="BA50" s="487"/>
    </row>
    <row r="51" spans="1:92" ht="13.5" thickBot="1">
      <c r="B51" s="186"/>
      <c r="C51" s="187"/>
      <c r="D51" s="1392"/>
      <c r="E51" s="1393"/>
      <c r="F51" s="1404"/>
      <c r="G51" s="1405"/>
      <c r="H51" s="1406"/>
      <c r="I51" s="1407"/>
      <c r="J51" s="1408"/>
      <c r="K51" s="1408"/>
      <c r="L51" s="1409"/>
      <c r="M51" s="1408"/>
      <c r="N51" s="1409"/>
      <c r="O51" s="1408"/>
      <c r="P51" s="1334"/>
      <c r="Q51" s="1408"/>
      <c r="R51" s="1334"/>
      <c r="S51" s="1408"/>
      <c r="T51" s="1334"/>
      <c r="U51" s="1408"/>
      <c r="V51" s="1334"/>
      <c r="W51" s="1334"/>
      <c r="X51" s="1334"/>
      <c r="Y51" s="1334"/>
      <c r="Z51" s="1335"/>
      <c r="AA51" s="1335"/>
      <c r="AB51" s="1335"/>
      <c r="AC51" s="1335"/>
      <c r="AD51" s="1335"/>
      <c r="AE51" s="1335"/>
      <c r="AF51" s="1335"/>
      <c r="AG51" s="1335"/>
      <c r="AH51" s="1335"/>
      <c r="AI51" s="1335"/>
      <c r="AJ51" s="1335"/>
      <c r="AK51" s="1335"/>
      <c r="AL51" s="1335"/>
      <c r="AM51" s="1335"/>
      <c r="AN51" s="1335"/>
      <c r="AO51" s="1335"/>
      <c r="AP51" s="1335"/>
      <c r="AQ51" s="1336"/>
      <c r="AR51" s="487"/>
      <c r="AS51" s="1286">
        <v>0</v>
      </c>
      <c r="AT51" s="487"/>
      <c r="AU51" s="487"/>
      <c r="AV51" s="487"/>
      <c r="AW51" s="487"/>
      <c r="AX51" s="487"/>
      <c r="AY51" s="487"/>
      <c r="AZ51" s="487"/>
      <c r="BA51" s="487"/>
    </row>
    <row r="52" spans="1:92" ht="13.5" thickBot="1">
      <c r="E52" s="1322"/>
      <c r="F52" s="486"/>
      <c r="G52" s="511"/>
      <c r="AR52" s="487"/>
      <c r="AS52" s="1286">
        <v>0</v>
      </c>
      <c r="AT52" s="487"/>
      <c r="AU52" s="487"/>
      <c r="AV52" s="487"/>
      <c r="AW52" s="487"/>
      <c r="AX52" s="487"/>
      <c r="AY52" s="487"/>
      <c r="AZ52" s="487"/>
      <c r="BA52" s="487"/>
    </row>
    <row r="53" spans="1:92" ht="13.5" thickBot="1">
      <c r="A53" s="885"/>
      <c r="B53" s="802" t="s">
        <v>160</v>
      </c>
      <c r="C53" s="460" t="s">
        <v>161</v>
      </c>
      <c r="D53" s="461"/>
      <c r="E53" s="1325"/>
      <c r="F53" s="803"/>
      <c r="G53" s="524">
        <v>0</v>
      </c>
      <c r="H53" s="1287"/>
      <c r="I53" s="1410"/>
      <c r="J53" s="1411"/>
      <c r="K53" s="1411"/>
      <c r="L53" s="1412"/>
      <c r="M53" s="1412"/>
      <c r="N53" s="1412"/>
      <c r="O53" s="1412"/>
      <c r="P53" s="1412"/>
      <c r="Q53" s="1412"/>
      <c r="R53" s="1412"/>
      <c r="S53" s="1412"/>
      <c r="T53" s="1412"/>
      <c r="U53" s="1412"/>
      <c r="V53" s="1412"/>
      <c r="W53" s="1412"/>
      <c r="X53" s="1412"/>
      <c r="Y53" s="1412"/>
      <c r="Z53" s="1412"/>
      <c r="AA53" s="1412"/>
      <c r="AB53" s="1412"/>
      <c r="AC53" s="1412"/>
      <c r="AD53" s="1412"/>
      <c r="AE53" s="1412"/>
      <c r="AF53" s="1412"/>
      <c r="AG53" s="1412"/>
      <c r="AH53" s="1412"/>
      <c r="AI53" s="1412"/>
      <c r="AJ53" s="1412"/>
      <c r="AK53" s="1412"/>
      <c r="AL53" s="1412"/>
      <c r="AM53" s="1412"/>
      <c r="AN53" s="1412"/>
      <c r="AO53" s="1412"/>
      <c r="AP53" s="1412"/>
      <c r="AQ53" s="1413"/>
      <c r="AR53" s="488"/>
      <c r="AS53" s="1286">
        <v>0</v>
      </c>
      <c r="AT53" s="488"/>
      <c r="AU53" s="488"/>
      <c r="AV53" s="488"/>
      <c r="AW53" s="488"/>
      <c r="AX53" s="488"/>
      <c r="AY53" s="488"/>
      <c r="AZ53" s="488"/>
      <c r="BA53" s="488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</row>
    <row r="54" spans="1:92" ht="13.5" thickTop="1">
      <c r="B54" s="195"/>
      <c r="C54" s="196"/>
      <c r="D54" s="1414"/>
      <c r="E54" s="1415"/>
      <c r="F54" s="1416"/>
      <c r="G54" s="1403"/>
      <c r="H54" s="1295"/>
      <c r="I54" s="1417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  <c r="AH54" s="1418"/>
      <c r="AI54" s="1418"/>
      <c r="AJ54" s="1418"/>
      <c r="AK54" s="1418"/>
      <c r="AL54" s="1418"/>
      <c r="AM54" s="1418"/>
      <c r="AN54" s="1418"/>
      <c r="AO54" s="1418"/>
      <c r="AP54" s="1418"/>
      <c r="AQ54" s="1419"/>
      <c r="AR54" s="487"/>
      <c r="AS54" s="1286">
        <v>0</v>
      </c>
      <c r="AT54" s="487"/>
      <c r="AU54" s="487"/>
      <c r="AV54" s="487"/>
      <c r="AW54" s="487"/>
      <c r="AX54" s="487"/>
      <c r="AY54" s="487"/>
      <c r="AZ54" s="487"/>
      <c r="BA54" s="487"/>
    </row>
    <row r="55" spans="1:92">
      <c r="B55" s="185"/>
      <c r="C55" s="196"/>
      <c r="D55" s="1420"/>
      <c r="E55" s="1421"/>
      <c r="F55" s="1422"/>
      <c r="G55" s="1383"/>
      <c r="H55" s="1295"/>
      <c r="I55" s="1423"/>
      <c r="J55" s="1424"/>
      <c r="K55" s="1424"/>
      <c r="L55" s="1424"/>
      <c r="M55" s="1424"/>
      <c r="N55" s="1424"/>
      <c r="O55" s="1424"/>
      <c r="P55" s="1424"/>
      <c r="Q55" s="1424"/>
      <c r="R55" s="1424"/>
      <c r="S55" s="1424"/>
      <c r="T55" s="1424"/>
      <c r="U55" s="1424"/>
      <c r="V55" s="1424"/>
      <c r="W55" s="1424"/>
      <c r="X55" s="1424"/>
      <c r="Y55" s="1424"/>
      <c r="Z55" s="1424"/>
      <c r="AA55" s="1424"/>
      <c r="AB55" s="1424"/>
      <c r="AC55" s="1424"/>
      <c r="AD55" s="1424"/>
      <c r="AE55" s="1424"/>
      <c r="AF55" s="1424"/>
      <c r="AG55" s="1424"/>
      <c r="AH55" s="1424"/>
      <c r="AI55" s="1424"/>
      <c r="AJ55" s="1424"/>
      <c r="AK55" s="1424"/>
      <c r="AL55" s="1424"/>
      <c r="AM55" s="1424"/>
      <c r="AN55" s="1424"/>
      <c r="AO55" s="1424"/>
      <c r="AP55" s="1424"/>
      <c r="AQ55" s="1425"/>
      <c r="AR55" s="487"/>
      <c r="AS55" s="1286">
        <v>0</v>
      </c>
      <c r="AT55" s="487"/>
      <c r="AU55" s="487"/>
      <c r="AV55" s="487"/>
      <c r="AW55" s="487"/>
      <c r="AX55" s="487"/>
      <c r="AY55" s="487"/>
      <c r="AZ55" s="487"/>
      <c r="BA55" s="487"/>
    </row>
    <row r="56" spans="1:92" ht="13.5" thickBot="1">
      <c r="B56" s="192"/>
      <c r="C56" s="197"/>
      <c r="D56" s="1313"/>
      <c r="E56" s="1393"/>
      <c r="F56" s="1426"/>
      <c r="G56" s="499"/>
      <c r="H56" s="1427"/>
      <c r="I56" s="1428"/>
      <c r="J56" s="1429"/>
      <c r="K56" s="1429"/>
      <c r="L56" s="1429"/>
      <c r="M56" s="1429"/>
      <c r="N56" s="1429"/>
      <c r="O56" s="1429"/>
      <c r="P56" s="1429"/>
      <c r="Q56" s="1429"/>
      <c r="R56" s="1429"/>
      <c r="S56" s="1429"/>
      <c r="T56" s="1429"/>
      <c r="U56" s="1429"/>
      <c r="V56" s="1429"/>
      <c r="W56" s="1429"/>
      <c r="X56" s="1429"/>
      <c r="Y56" s="1429"/>
      <c r="Z56" s="1429"/>
      <c r="AA56" s="1429"/>
      <c r="AB56" s="1429"/>
      <c r="AC56" s="1429"/>
      <c r="AD56" s="1429"/>
      <c r="AE56" s="1429"/>
      <c r="AF56" s="1429"/>
      <c r="AG56" s="1429"/>
      <c r="AH56" s="1429"/>
      <c r="AI56" s="1429"/>
      <c r="AJ56" s="1429"/>
      <c r="AK56" s="1429"/>
      <c r="AL56" s="1429"/>
      <c r="AM56" s="1429"/>
      <c r="AN56" s="1429"/>
      <c r="AO56" s="1429"/>
      <c r="AP56" s="1429"/>
      <c r="AQ56" s="1430"/>
      <c r="AR56" s="487"/>
      <c r="AS56" s="1286">
        <v>0</v>
      </c>
      <c r="AT56" s="487"/>
      <c r="AU56" s="487"/>
      <c r="AV56" s="487"/>
      <c r="AW56" s="487"/>
      <c r="AX56" s="487"/>
      <c r="AY56" s="487"/>
      <c r="AZ56" s="487"/>
      <c r="BA56" s="487"/>
    </row>
    <row r="57" spans="1:92" ht="13.5" thickBot="1">
      <c r="E57" s="1322"/>
      <c r="F57" s="486"/>
      <c r="G57" s="511"/>
      <c r="AR57" s="487"/>
      <c r="AS57" s="1286">
        <v>0</v>
      </c>
      <c r="AT57" s="487"/>
      <c r="AU57" s="487"/>
      <c r="AV57" s="487"/>
      <c r="AW57" s="487"/>
      <c r="AX57" s="487"/>
      <c r="AY57" s="487"/>
      <c r="AZ57" s="487"/>
      <c r="BA57" s="487"/>
    </row>
    <row r="58" spans="1:92" ht="13.5" thickBot="1">
      <c r="A58" s="885"/>
      <c r="B58" s="786" t="s">
        <v>162</v>
      </c>
      <c r="C58" s="804" t="s">
        <v>163</v>
      </c>
      <c r="D58" s="461"/>
      <c r="E58" s="1325"/>
      <c r="F58" s="803"/>
      <c r="G58" s="524">
        <v>0</v>
      </c>
      <c r="H58" s="1287"/>
      <c r="I58" s="1431"/>
      <c r="J58" s="1431"/>
      <c r="K58" s="1431"/>
      <c r="L58" s="1328"/>
      <c r="M58" s="1397">
        <v>0</v>
      </c>
      <c r="N58" s="1328"/>
      <c r="O58" s="1328"/>
      <c r="P58" s="1328"/>
      <c r="Q58" s="1328"/>
      <c r="R58" s="1328"/>
      <c r="S58" s="1328"/>
      <c r="T58" s="1328"/>
      <c r="U58" s="1328">
        <f>SUM(U59:U62)</f>
        <v>12742.79</v>
      </c>
      <c r="V58" s="1328"/>
      <c r="W58" s="1328"/>
      <c r="X58" s="1328"/>
      <c r="Y58" s="1328"/>
      <c r="Z58" s="1328"/>
      <c r="AA58" s="1328"/>
      <c r="AB58" s="1328"/>
      <c r="AC58" s="1328"/>
      <c r="AD58" s="1328"/>
      <c r="AE58" s="1328"/>
      <c r="AF58" s="1328"/>
      <c r="AG58" s="1328"/>
      <c r="AH58" s="1328"/>
      <c r="AI58" s="1328"/>
      <c r="AJ58" s="1328"/>
      <c r="AK58" s="1328"/>
      <c r="AL58" s="1328"/>
      <c r="AM58" s="1328"/>
      <c r="AN58" s="1328"/>
      <c r="AO58" s="1328"/>
      <c r="AP58" s="1328"/>
      <c r="AQ58" s="1328"/>
      <c r="AR58" s="488"/>
      <c r="AS58" s="1286">
        <v>0</v>
      </c>
      <c r="AT58" s="488"/>
      <c r="AU58" s="488"/>
      <c r="AV58" s="488"/>
      <c r="AW58" s="488"/>
      <c r="AX58" s="488"/>
      <c r="AY58" s="488"/>
      <c r="AZ58" s="488"/>
      <c r="BA58" s="488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</row>
    <row r="59" spans="1:92">
      <c r="B59" s="185"/>
      <c r="C59" s="189" t="s">
        <v>800</v>
      </c>
      <c r="D59" s="1414"/>
      <c r="E59" s="1401"/>
      <c r="F59" s="1416"/>
      <c r="G59" s="1403"/>
      <c r="H59" s="1295"/>
      <c r="I59" s="1417"/>
      <c r="J59" s="1418"/>
      <c r="K59" s="1418"/>
      <c r="L59" s="1418"/>
      <c r="M59" s="1432"/>
      <c r="N59" s="1418"/>
      <c r="O59" s="1418"/>
      <c r="P59" s="1418"/>
      <c r="Q59" s="1418"/>
      <c r="R59" s="1418"/>
      <c r="S59" s="1418"/>
      <c r="T59" s="1418"/>
      <c r="U59" s="1418">
        <v>12742.79</v>
      </c>
      <c r="V59" s="1418"/>
      <c r="W59" s="1418"/>
      <c r="X59" s="1418"/>
      <c r="Y59" s="1418"/>
      <c r="Z59" s="1418"/>
      <c r="AA59" s="1418"/>
      <c r="AB59" s="1418"/>
      <c r="AC59" s="1418"/>
      <c r="AD59" s="1418"/>
      <c r="AE59" s="1418"/>
      <c r="AF59" s="1418"/>
      <c r="AG59" s="1418"/>
      <c r="AH59" s="1418"/>
      <c r="AI59" s="1418"/>
      <c r="AJ59" s="1418"/>
      <c r="AK59" s="1418"/>
      <c r="AL59" s="1418"/>
      <c r="AM59" s="1418"/>
      <c r="AN59" s="1418"/>
      <c r="AO59" s="1418"/>
      <c r="AP59" s="1418"/>
      <c r="AQ59" s="1419"/>
      <c r="AR59" s="487"/>
      <c r="AS59" s="1286">
        <v>0</v>
      </c>
      <c r="AT59" s="487"/>
      <c r="AU59" s="487"/>
      <c r="AV59" s="487"/>
      <c r="AW59" s="487"/>
      <c r="AX59" s="487"/>
      <c r="AY59" s="487"/>
      <c r="AZ59" s="487"/>
      <c r="BA59" s="487"/>
    </row>
    <row r="60" spans="1:92">
      <c r="B60" s="185"/>
      <c r="C60" s="189"/>
      <c r="D60" s="1420"/>
      <c r="E60" s="1421"/>
      <c r="F60" s="1422"/>
      <c r="G60" s="1433"/>
      <c r="H60" s="1295"/>
      <c r="I60" s="1423"/>
      <c r="J60" s="1424"/>
      <c r="K60" s="1424"/>
      <c r="L60" s="1424"/>
      <c r="M60" s="1434"/>
      <c r="N60" s="1424"/>
      <c r="O60" s="1424"/>
      <c r="P60" s="1424"/>
      <c r="Q60" s="1424"/>
      <c r="R60" s="1424"/>
      <c r="S60" s="1424"/>
      <c r="T60" s="1424"/>
      <c r="U60" s="1424"/>
      <c r="V60" s="1424"/>
      <c r="W60" s="1424"/>
      <c r="X60" s="1424"/>
      <c r="Y60" s="1424"/>
      <c r="Z60" s="1424"/>
      <c r="AA60" s="1424"/>
      <c r="AB60" s="1424"/>
      <c r="AC60" s="1424"/>
      <c r="AD60" s="1424"/>
      <c r="AE60" s="1424"/>
      <c r="AF60" s="1424"/>
      <c r="AG60" s="1424"/>
      <c r="AH60" s="1424"/>
      <c r="AI60" s="1424"/>
      <c r="AJ60" s="1424"/>
      <c r="AK60" s="1424"/>
      <c r="AL60" s="1424"/>
      <c r="AM60" s="1424"/>
      <c r="AN60" s="1424"/>
      <c r="AO60" s="1424"/>
      <c r="AP60" s="1424"/>
      <c r="AQ60" s="1425"/>
      <c r="AR60" s="487"/>
      <c r="AS60" s="1286">
        <v>0</v>
      </c>
      <c r="AT60" s="487"/>
      <c r="AU60" s="487"/>
      <c r="AV60" s="487"/>
      <c r="AW60" s="487"/>
      <c r="AX60" s="487"/>
      <c r="AY60" s="487"/>
      <c r="AZ60" s="487"/>
      <c r="BA60" s="487"/>
    </row>
    <row r="61" spans="1:92">
      <c r="B61" s="185"/>
      <c r="C61" s="189"/>
      <c r="D61" s="1420"/>
      <c r="E61" s="1421"/>
      <c r="F61" s="1422"/>
      <c r="G61" s="1433"/>
      <c r="H61" s="1295"/>
      <c r="I61" s="1423"/>
      <c r="J61" s="1424"/>
      <c r="K61" s="1424"/>
      <c r="L61" s="1424"/>
      <c r="M61" s="1434"/>
      <c r="N61" s="1424"/>
      <c r="O61" s="1424"/>
      <c r="P61" s="1424"/>
      <c r="Q61" s="1424"/>
      <c r="R61" s="1424"/>
      <c r="S61" s="1424"/>
      <c r="T61" s="1424"/>
      <c r="U61" s="1424"/>
      <c r="V61" s="1424"/>
      <c r="W61" s="1424"/>
      <c r="X61" s="1424"/>
      <c r="Y61" s="1424"/>
      <c r="Z61" s="1424"/>
      <c r="AA61" s="1424"/>
      <c r="AB61" s="1424"/>
      <c r="AC61" s="1424"/>
      <c r="AD61" s="1424"/>
      <c r="AE61" s="1424"/>
      <c r="AF61" s="1424"/>
      <c r="AG61" s="1424"/>
      <c r="AH61" s="1424"/>
      <c r="AI61" s="1424"/>
      <c r="AJ61" s="1424"/>
      <c r="AK61" s="1424"/>
      <c r="AL61" s="1424"/>
      <c r="AM61" s="1424"/>
      <c r="AN61" s="1424"/>
      <c r="AO61" s="1424"/>
      <c r="AP61" s="1424"/>
      <c r="AQ61" s="1425"/>
      <c r="AR61" s="487"/>
      <c r="AS61" s="1286">
        <v>0</v>
      </c>
      <c r="AT61" s="487"/>
      <c r="AU61" s="487"/>
      <c r="AV61" s="487"/>
      <c r="AW61" s="487"/>
      <c r="AX61" s="487"/>
      <c r="AY61" s="487"/>
      <c r="AZ61" s="487"/>
      <c r="BA61" s="487"/>
    </row>
    <row r="62" spans="1:92" ht="13.5" thickBot="1">
      <c r="B62" s="192"/>
      <c r="C62" s="187"/>
      <c r="D62" s="1313"/>
      <c r="E62" s="1314"/>
      <c r="F62" s="1426"/>
      <c r="G62" s="1316"/>
      <c r="H62" s="1295"/>
      <c r="I62" s="1428"/>
      <c r="J62" s="1429"/>
      <c r="K62" s="1429"/>
      <c r="L62" s="1429"/>
      <c r="M62" s="1408"/>
      <c r="N62" s="1429"/>
      <c r="O62" s="1429"/>
      <c r="P62" s="1429"/>
      <c r="Q62" s="1429"/>
      <c r="R62" s="1429"/>
      <c r="S62" s="1429"/>
      <c r="T62" s="1429"/>
      <c r="U62" s="1429"/>
      <c r="V62" s="1429"/>
      <c r="W62" s="1429"/>
      <c r="X62" s="1429"/>
      <c r="Y62" s="1429"/>
      <c r="Z62" s="1429"/>
      <c r="AA62" s="1429"/>
      <c r="AB62" s="1429"/>
      <c r="AC62" s="1429"/>
      <c r="AD62" s="1429"/>
      <c r="AE62" s="1429"/>
      <c r="AF62" s="1429"/>
      <c r="AG62" s="1429"/>
      <c r="AH62" s="1429"/>
      <c r="AI62" s="1429"/>
      <c r="AJ62" s="1429"/>
      <c r="AK62" s="1429"/>
      <c r="AL62" s="1429"/>
      <c r="AM62" s="1429"/>
      <c r="AN62" s="1429"/>
      <c r="AO62" s="1429"/>
      <c r="AP62" s="1429"/>
      <c r="AQ62" s="1430"/>
      <c r="AR62" s="487"/>
      <c r="AS62" s="1286">
        <v>0</v>
      </c>
      <c r="AT62" s="487"/>
      <c r="AU62" s="487"/>
      <c r="AV62" s="487"/>
      <c r="AW62" s="487"/>
      <c r="AX62" s="487"/>
      <c r="AY62" s="487"/>
      <c r="AZ62" s="487"/>
      <c r="BA62" s="487"/>
    </row>
    <row r="63" spans="1:92" ht="13.5" thickBot="1">
      <c r="E63" s="1322"/>
      <c r="F63" s="486"/>
      <c r="G63" s="511"/>
      <c r="I63" s="1270"/>
      <c r="J63" s="1270"/>
      <c r="K63" s="1270"/>
      <c r="AR63" s="487"/>
      <c r="AS63" s="1286">
        <v>0</v>
      </c>
      <c r="AT63" s="487"/>
      <c r="AU63" s="487"/>
      <c r="AV63" s="487"/>
      <c r="AW63" s="487"/>
      <c r="AX63" s="487"/>
      <c r="AY63" s="487"/>
      <c r="AZ63" s="487"/>
      <c r="BA63" s="487"/>
    </row>
    <row r="64" spans="1:92" ht="13.5" thickBot="1">
      <c r="B64" s="202" t="s">
        <v>164</v>
      </c>
      <c r="C64" s="194" t="s">
        <v>165</v>
      </c>
      <c r="D64" s="180"/>
      <c r="E64" s="1356"/>
      <c r="F64" s="500"/>
      <c r="G64" s="1435">
        <v>0</v>
      </c>
      <c r="H64" s="1280"/>
      <c r="I64" s="1328"/>
      <c r="J64" s="1328"/>
      <c r="K64" s="1328"/>
      <c r="L64" s="1328"/>
      <c r="M64" s="1436">
        <v>6650.39</v>
      </c>
      <c r="N64" s="1328"/>
      <c r="O64" s="1436">
        <v>19289.89</v>
      </c>
      <c r="P64" s="1328"/>
      <c r="Q64" s="1436">
        <v>65518.600000000006</v>
      </c>
      <c r="R64" s="1328"/>
      <c r="S64" s="1436">
        <v>29572.379999999994</v>
      </c>
      <c r="T64" s="1328"/>
      <c r="U64" s="1436">
        <f>SUM(U65:U71)</f>
        <v>91012.65</v>
      </c>
      <c r="V64" s="1328"/>
      <c r="W64" s="1328"/>
      <c r="X64" s="1328"/>
      <c r="Y64" s="1328"/>
      <c r="Z64" s="1328"/>
      <c r="AA64" s="1328"/>
      <c r="AB64" s="1328"/>
      <c r="AC64" s="1328"/>
      <c r="AD64" s="1328"/>
      <c r="AE64" s="1328"/>
      <c r="AF64" s="1328"/>
      <c r="AG64" s="1328"/>
      <c r="AH64" s="1328"/>
      <c r="AI64" s="1328"/>
      <c r="AJ64" s="1328"/>
      <c r="AK64" s="1328"/>
      <c r="AL64" s="1328"/>
      <c r="AM64" s="1328"/>
      <c r="AN64" s="1328"/>
      <c r="AO64" s="1328"/>
      <c r="AP64" s="1328"/>
      <c r="AQ64" s="1328"/>
      <c r="AR64" s="487"/>
      <c r="AS64" s="1286">
        <v>191636.36</v>
      </c>
      <c r="AT64" s="487"/>
      <c r="AU64" s="487"/>
      <c r="AV64" s="487"/>
      <c r="AW64" s="487"/>
      <c r="AX64" s="487"/>
      <c r="AY64" s="487"/>
      <c r="AZ64" s="487"/>
      <c r="BA64" s="487"/>
    </row>
    <row r="65" spans="2:92" ht="13.5" thickTop="1">
      <c r="B65" s="185"/>
      <c r="C65" s="196"/>
      <c r="D65" s="1414"/>
      <c r="E65" s="1401"/>
      <c r="F65" s="1416"/>
      <c r="G65" s="1437"/>
      <c r="H65" s="1295"/>
      <c r="I65" s="1417"/>
      <c r="J65" s="1418"/>
      <c r="K65" s="1418"/>
      <c r="L65" s="1418"/>
      <c r="M65" s="1432">
        <v>6650.39</v>
      </c>
      <c r="N65" s="1418"/>
      <c r="O65" s="1418">
        <v>19289.89</v>
      </c>
      <c r="P65" s="1418"/>
      <c r="Q65" s="1418">
        <v>65518.600000000006</v>
      </c>
      <c r="R65" s="1418"/>
      <c r="S65" s="1418">
        <v>29572.379999999994</v>
      </c>
      <c r="T65" s="1418"/>
      <c r="U65" s="1418">
        <v>91012.65</v>
      </c>
      <c r="V65" s="1418"/>
      <c r="W65" s="1418"/>
      <c r="X65" s="1418"/>
      <c r="Y65" s="1418"/>
      <c r="Z65" s="1418"/>
      <c r="AA65" s="1418"/>
      <c r="AB65" s="1418"/>
      <c r="AC65" s="1418"/>
      <c r="AD65" s="1418"/>
      <c r="AE65" s="1418"/>
      <c r="AF65" s="1418"/>
      <c r="AG65" s="1418"/>
      <c r="AH65" s="1418"/>
      <c r="AI65" s="1418"/>
      <c r="AJ65" s="1418"/>
      <c r="AK65" s="1418"/>
      <c r="AL65" s="1418"/>
      <c r="AM65" s="1418"/>
      <c r="AN65" s="1418"/>
      <c r="AO65" s="1418"/>
      <c r="AP65" s="1418"/>
      <c r="AQ65" s="1419"/>
      <c r="AR65" s="488"/>
      <c r="AS65" s="1286">
        <v>191636.36</v>
      </c>
      <c r="AT65" s="488"/>
      <c r="AU65" s="488"/>
      <c r="AV65" s="488"/>
      <c r="AW65" s="488"/>
      <c r="AX65" s="488"/>
      <c r="AY65" s="488"/>
      <c r="AZ65" s="488"/>
      <c r="BA65" s="488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</row>
    <row r="66" spans="2:92">
      <c r="B66" s="185"/>
      <c r="C66" s="196"/>
      <c r="D66" s="1414"/>
      <c r="E66" s="1401"/>
      <c r="F66" s="1416"/>
      <c r="G66" s="1403"/>
      <c r="H66" s="1295"/>
      <c r="I66" s="1417"/>
      <c r="J66" s="1418"/>
      <c r="K66" s="1418"/>
      <c r="L66" s="1418"/>
      <c r="M66" s="1418"/>
      <c r="N66" s="1418"/>
      <c r="O66" s="1418"/>
      <c r="P66" s="1418"/>
      <c r="Q66" s="1418"/>
      <c r="R66" s="1418"/>
      <c r="S66" s="1418"/>
      <c r="T66" s="1418"/>
      <c r="U66" s="1418"/>
      <c r="V66" s="1418"/>
      <c r="W66" s="1418"/>
      <c r="X66" s="1418"/>
      <c r="Y66" s="1418"/>
      <c r="Z66" s="1418"/>
      <c r="AA66" s="1418"/>
      <c r="AB66" s="1418"/>
      <c r="AC66" s="1418"/>
      <c r="AD66" s="1418"/>
      <c r="AE66" s="1418"/>
      <c r="AF66" s="1418"/>
      <c r="AG66" s="1418"/>
      <c r="AH66" s="1418"/>
      <c r="AI66" s="1418"/>
      <c r="AJ66" s="1418"/>
      <c r="AK66" s="1418"/>
      <c r="AL66" s="1418"/>
      <c r="AM66" s="1418"/>
      <c r="AN66" s="1418"/>
      <c r="AO66" s="1418"/>
      <c r="AP66" s="1418"/>
      <c r="AQ66" s="1419"/>
      <c r="AR66" s="488"/>
      <c r="AS66" s="1286">
        <v>0</v>
      </c>
      <c r="AT66" s="488"/>
      <c r="AU66" s="488"/>
      <c r="AV66" s="488"/>
      <c r="AW66" s="488"/>
      <c r="AX66" s="488"/>
      <c r="AY66" s="488"/>
      <c r="AZ66" s="488"/>
      <c r="BA66" s="488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173"/>
      <c r="CL66" s="173"/>
      <c r="CM66" s="173"/>
      <c r="CN66" s="173"/>
    </row>
    <row r="67" spans="2:92">
      <c r="B67" s="185"/>
      <c r="C67" s="196"/>
      <c r="D67" s="1414"/>
      <c r="E67" s="1401"/>
      <c r="F67" s="1416"/>
      <c r="G67" s="1403"/>
      <c r="H67" s="1295"/>
      <c r="I67" s="1417"/>
      <c r="J67" s="1418"/>
      <c r="K67" s="1418"/>
      <c r="L67" s="1418"/>
      <c r="M67" s="1418"/>
      <c r="N67" s="1418"/>
      <c r="O67" s="1418"/>
      <c r="P67" s="1418"/>
      <c r="Q67" s="1418"/>
      <c r="R67" s="1418"/>
      <c r="S67" s="1418"/>
      <c r="T67" s="1418"/>
      <c r="U67" s="1418"/>
      <c r="V67" s="1418"/>
      <c r="W67" s="1418"/>
      <c r="X67" s="1418"/>
      <c r="Y67" s="1418"/>
      <c r="Z67" s="1418"/>
      <c r="AA67" s="1418"/>
      <c r="AB67" s="1418"/>
      <c r="AC67" s="1418"/>
      <c r="AD67" s="1418"/>
      <c r="AE67" s="1418"/>
      <c r="AF67" s="1418"/>
      <c r="AG67" s="1418"/>
      <c r="AH67" s="1418"/>
      <c r="AI67" s="1418"/>
      <c r="AJ67" s="1418"/>
      <c r="AK67" s="1418"/>
      <c r="AL67" s="1418"/>
      <c r="AM67" s="1418"/>
      <c r="AN67" s="1418"/>
      <c r="AO67" s="1418"/>
      <c r="AP67" s="1418"/>
      <c r="AQ67" s="1419"/>
      <c r="AR67" s="488"/>
      <c r="AS67" s="1286">
        <v>0</v>
      </c>
      <c r="AT67" s="488"/>
      <c r="AU67" s="488"/>
      <c r="AV67" s="488"/>
      <c r="AW67" s="488"/>
      <c r="AX67" s="488"/>
      <c r="AY67" s="488"/>
      <c r="AZ67" s="488"/>
      <c r="BA67" s="488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  <c r="BP67" s="173"/>
      <c r="BQ67" s="173"/>
      <c r="BR67" s="173"/>
      <c r="BS67" s="173"/>
      <c r="BT67" s="173"/>
      <c r="BU67" s="173"/>
      <c r="BV67" s="173"/>
      <c r="BW67" s="173"/>
      <c r="BX67" s="173"/>
      <c r="BY67" s="173"/>
      <c r="BZ67" s="173"/>
      <c r="CA67" s="173"/>
      <c r="CB67" s="173"/>
      <c r="CC67" s="173"/>
      <c r="CD67" s="173"/>
      <c r="CE67" s="173"/>
      <c r="CF67" s="173"/>
      <c r="CG67" s="173"/>
      <c r="CH67" s="173"/>
      <c r="CI67" s="173"/>
      <c r="CJ67" s="173"/>
      <c r="CK67" s="173"/>
      <c r="CL67" s="173"/>
      <c r="CM67" s="173"/>
      <c r="CN67" s="173"/>
    </row>
    <row r="68" spans="2:92">
      <c r="B68" s="185"/>
      <c r="C68" s="196"/>
      <c r="D68" s="1414"/>
      <c r="E68" s="1401"/>
      <c r="F68" s="1416"/>
      <c r="G68" s="1403"/>
      <c r="H68" s="1295"/>
      <c r="I68" s="1417"/>
      <c r="J68" s="1418"/>
      <c r="K68" s="1418"/>
      <c r="L68" s="1418"/>
      <c r="M68" s="1418"/>
      <c r="N68" s="1418"/>
      <c r="O68" s="1418"/>
      <c r="P68" s="1418"/>
      <c r="Q68" s="1418"/>
      <c r="R68" s="1418"/>
      <c r="S68" s="1418"/>
      <c r="T68" s="1418"/>
      <c r="U68" s="1418"/>
      <c r="V68" s="1418"/>
      <c r="W68" s="1418"/>
      <c r="X68" s="1418"/>
      <c r="Y68" s="1418"/>
      <c r="Z68" s="1418"/>
      <c r="AA68" s="1418"/>
      <c r="AB68" s="1418"/>
      <c r="AC68" s="1418"/>
      <c r="AD68" s="1418"/>
      <c r="AE68" s="1418"/>
      <c r="AF68" s="1418"/>
      <c r="AG68" s="1418"/>
      <c r="AH68" s="1418"/>
      <c r="AI68" s="1418"/>
      <c r="AJ68" s="1418"/>
      <c r="AK68" s="1418"/>
      <c r="AL68" s="1418"/>
      <c r="AM68" s="1418"/>
      <c r="AN68" s="1418"/>
      <c r="AO68" s="1418"/>
      <c r="AP68" s="1418"/>
      <c r="AQ68" s="1419"/>
      <c r="AR68" s="488"/>
      <c r="AS68" s="1286">
        <v>0</v>
      </c>
      <c r="AT68" s="488"/>
      <c r="AU68" s="488"/>
      <c r="AV68" s="488"/>
      <c r="AW68" s="488"/>
      <c r="AX68" s="488"/>
      <c r="AY68" s="488"/>
      <c r="AZ68" s="488"/>
      <c r="BA68" s="488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  <c r="BQ68" s="173"/>
      <c r="BR68" s="173"/>
      <c r="BS68" s="173"/>
      <c r="BT68" s="173"/>
      <c r="BU68" s="173"/>
      <c r="BV68" s="173"/>
      <c r="BW68" s="173"/>
      <c r="BX68" s="173"/>
      <c r="BY68" s="173"/>
      <c r="BZ68" s="173"/>
      <c r="CA68" s="173"/>
      <c r="CB68" s="173"/>
      <c r="CC68" s="173"/>
      <c r="CD68" s="173"/>
      <c r="CE68" s="173"/>
      <c r="CF68" s="173"/>
      <c r="CG68" s="173"/>
      <c r="CH68" s="173"/>
      <c r="CI68" s="173"/>
      <c r="CJ68" s="173"/>
      <c r="CK68" s="173"/>
      <c r="CL68" s="173"/>
      <c r="CM68" s="173"/>
      <c r="CN68" s="173"/>
    </row>
    <row r="69" spans="2:92">
      <c r="B69" s="185"/>
      <c r="C69" s="196"/>
      <c r="D69" s="1414"/>
      <c r="E69" s="1401"/>
      <c r="F69" s="1416"/>
      <c r="G69" s="1403"/>
      <c r="H69" s="1295"/>
      <c r="I69" s="1417"/>
      <c r="J69" s="1418"/>
      <c r="K69" s="1418"/>
      <c r="L69" s="1418"/>
      <c r="M69" s="1418"/>
      <c r="N69" s="1418"/>
      <c r="O69" s="1418"/>
      <c r="P69" s="1418"/>
      <c r="Q69" s="1418"/>
      <c r="R69" s="1418"/>
      <c r="S69" s="1418"/>
      <c r="T69" s="1418"/>
      <c r="U69" s="1418"/>
      <c r="V69" s="1418"/>
      <c r="W69" s="1418"/>
      <c r="X69" s="1418"/>
      <c r="Y69" s="1418"/>
      <c r="Z69" s="1418"/>
      <c r="AA69" s="1418"/>
      <c r="AB69" s="1418"/>
      <c r="AC69" s="1418"/>
      <c r="AD69" s="1418"/>
      <c r="AE69" s="1418"/>
      <c r="AF69" s="1418"/>
      <c r="AG69" s="1418"/>
      <c r="AH69" s="1418"/>
      <c r="AI69" s="1418"/>
      <c r="AJ69" s="1418"/>
      <c r="AK69" s="1418"/>
      <c r="AL69" s="1418"/>
      <c r="AM69" s="1418"/>
      <c r="AN69" s="1418"/>
      <c r="AO69" s="1418"/>
      <c r="AP69" s="1418"/>
      <c r="AQ69" s="1419"/>
      <c r="AR69" s="488"/>
      <c r="AS69" s="1286">
        <v>0</v>
      </c>
      <c r="AT69" s="488"/>
      <c r="AU69" s="488"/>
      <c r="AV69" s="488"/>
      <c r="AW69" s="488"/>
      <c r="AX69" s="488"/>
      <c r="AY69" s="488"/>
      <c r="AZ69" s="488"/>
      <c r="BA69" s="488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  <c r="BQ69" s="173"/>
      <c r="BR69" s="173"/>
      <c r="BS69" s="173"/>
      <c r="BT69" s="173"/>
      <c r="BU69" s="173"/>
      <c r="BV69" s="173"/>
      <c r="BW69" s="173"/>
      <c r="BX69" s="173"/>
      <c r="BY69" s="173"/>
      <c r="BZ69" s="173"/>
      <c r="CA69" s="173"/>
      <c r="CB69" s="173"/>
      <c r="CC69" s="173"/>
      <c r="CD69" s="173"/>
      <c r="CE69" s="173"/>
      <c r="CF69" s="173"/>
      <c r="CG69" s="173"/>
      <c r="CH69" s="173"/>
      <c r="CI69" s="173"/>
      <c r="CJ69" s="173"/>
      <c r="CK69" s="173"/>
      <c r="CL69" s="173"/>
      <c r="CM69" s="173"/>
      <c r="CN69" s="173"/>
    </row>
    <row r="70" spans="2:92">
      <c r="B70" s="185"/>
      <c r="C70" s="196"/>
      <c r="D70" s="1420"/>
      <c r="E70" s="1421"/>
      <c r="F70" s="1422"/>
      <c r="G70" s="1433"/>
      <c r="H70" s="1295"/>
      <c r="I70" s="1423"/>
      <c r="J70" s="1424"/>
      <c r="K70" s="1424"/>
      <c r="L70" s="1424"/>
      <c r="M70" s="1424"/>
      <c r="N70" s="1424"/>
      <c r="O70" s="1424"/>
      <c r="P70" s="1424"/>
      <c r="Q70" s="1424"/>
      <c r="R70" s="1424"/>
      <c r="S70" s="1424"/>
      <c r="T70" s="1424"/>
      <c r="U70" s="1424"/>
      <c r="V70" s="1424"/>
      <c r="W70" s="1424"/>
      <c r="X70" s="1424"/>
      <c r="Y70" s="1424"/>
      <c r="Z70" s="1424"/>
      <c r="AA70" s="1424"/>
      <c r="AB70" s="1424"/>
      <c r="AC70" s="1424"/>
      <c r="AD70" s="1424"/>
      <c r="AE70" s="1424"/>
      <c r="AF70" s="1424"/>
      <c r="AG70" s="1424"/>
      <c r="AH70" s="1424"/>
      <c r="AI70" s="1424"/>
      <c r="AJ70" s="1424"/>
      <c r="AK70" s="1424"/>
      <c r="AL70" s="1424"/>
      <c r="AM70" s="1424"/>
      <c r="AN70" s="1424"/>
      <c r="AO70" s="1424"/>
      <c r="AP70" s="1424"/>
      <c r="AQ70" s="1425"/>
      <c r="AR70" s="488"/>
      <c r="AS70" s="1286">
        <v>0</v>
      </c>
      <c r="AT70" s="488"/>
      <c r="AU70" s="488"/>
      <c r="AV70" s="488"/>
      <c r="AW70" s="488"/>
      <c r="AX70" s="488"/>
      <c r="AY70" s="488"/>
      <c r="AZ70" s="488"/>
      <c r="BA70" s="488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3"/>
      <c r="BW70" s="173"/>
      <c r="BX70" s="173"/>
      <c r="BY70" s="173"/>
      <c r="BZ70" s="173"/>
      <c r="CA70" s="173"/>
      <c r="CB70" s="173"/>
      <c r="CC70" s="173"/>
      <c r="CD70" s="173"/>
      <c r="CE70" s="173"/>
      <c r="CF70" s="173"/>
      <c r="CG70" s="173"/>
      <c r="CH70" s="173"/>
      <c r="CI70" s="173"/>
      <c r="CJ70" s="173"/>
      <c r="CK70" s="173"/>
      <c r="CL70" s="173"/>
      <c r="CM70" s="173"/>
      <c r="CN70" s="173"/>
    </row>
    <row r="71" spans="2:92" ht="13.5" thickBot="1">
      <c r="B71" s="192"/>
      <c r="C71" s="197"/>
      <c r="D71" s="1329"/>
      <c r="E71" s="1330"/>
      <c r="F71" s="1438"/>
      <c r="G71" s="1316"/>
      <c r="H71" s="1295"/>
      <c r="I71" s="1439"/>
      <c r="J71" s="1335"/>
      <c r="K71" s="1335"/>
      <c r="L71" s="1335"/>
      <c r="M71" s="1335"/>
      <c r="N71" s="1335"/>
      <c r="O71" s="1335"/>
      <c r="P71" s="1335"/>
      <c r="Q71" s="1335"/>
      <c r="R71" s="1335"/>
      <c r="S71" s="1335"/>
      <c r="T71" s="1335"/>
      <c r="U71" s="1335"/>
      <c r="V71" s="1335"/>
      <c r="W71" s="1335"/>
      <c r="X71" s="1335"/>
      <c r="Y71" s="1335"/>
      <c r="Z71" s="1335"/>
      <c r="AA71" s="1335"/>
      <c r="AB71" s="1335"/>
      <c r="AC71" s="1335"/>
      <c r="AD71" s="1335"/>
      <c r="AE71" s="1335"/>
      <c r="AF71" s="1335"/>
      <c r="AG71" s="1335"/>
      <c r="AH71" s="1335"/>
      <c r="AI71" s="1335"/>
      <c r="AJ71" s="1335"/>
      <c r="AK71" s="1335"/>
      <c r="AL71" s="1335"/>
      <c r="AM71" s="1335"/>
      <c r="AN71" s="1335"/>
      <c r="AO71" s="1335"/>
      <c r="AP71" s="1335"/>
      <c r="AQ71" s="1336"/>
      <c r="AR71" s="488"/>
      <c r="AS71" s="1286">
        <v>0</v>
      </c>
      <c r="AT71" s="488"/>
      <c r="AU71" s="488"/>
      <c r="AV71" s="488"/>
      <c r="AW71" s="488"/>
      <c r="AX71" s="488"/>
      <c r="AY71" s="488"/>
      <c r="AZ71" s="488"/>
      <c r="BA71" s="488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  <c r="BQ71" s="173"/>
      <c r="BR71" s="173"/>
      <c r="BS71" s="173"/>
      <c r="BT71" s="173"/>
      <c r="BU71" s="173"/>
      <c r="BV71" s="173"/>
      <c r="BW71" s="173"/>
      <c r="BX71" s="173"/>
      <c r="BY71" s="173"/>
      <c r="BZ71" s="173"/>
      <c r="CA71" s="173"/>
      <c r="CB71" s="173"/>
      <c r="CC71" s="173"/>
      <c r="CD71" s="173"/>
      <c r="CE71" s="173"/>
      <c r="CF71" s="173"/>
      <c r="CG71" s="173"/>
      <c r="CH71" s="173"/>
      <c r="CI71" s="173"/>
      <c r="CJ71" s="173"/>
      <c r="CK71" s="173"/>
      <c r="CL71" s="173"/>
      <c r="CM71" s="173"/>
      <c r="CN71" s="173"/>
    </row>
    <row r="72" spans="2:92" ht="13.5" thickBot="1">
      <c r="F72" s="486"/>
      <c r="G72" s="511"/>
      <c r="H72" s="1440"/>
      <c r="I72" s="1441"/>
      <c r="J72" s="1441"/>
      <c r="K72" s="1441"/>
      <c r="L72" s="1441"/>
      <c r="M72" s="1441"/>
      <c r="N72" s="1441"/>
      <c r="O72" s="1441"/>
      <c r="P72" s="1441"/>
      <c r="Q72" s="1441"/>
      <c r="R72" s="1441"/>
      <c r="S72" s="1441"/>
      <c r="T72" s="1441"/>
      <c r="U72" s="1441"/>
      <c r="V72" s="1441"/>
      <c r="W72" s="1441"/>
      <c r="X72" s="1441"/>
      <c r="Y72" s="1441"/>
      <c r="Z72" s="1441"/>
      <c r="AA72" s="1441"/>
      <c r="AB72" s="1441"/>
      <c r="AC72" s="1441"/>
      <c r="AD72" s="1441"/>
      <c r="AE72" s="1441"/>
      <c r="AF72" s="1441"/>
      <c r="AG72" s="1441"/>
      <c r="AH72" s="1441"/>
      <c r="AI72" s="1441"/>
      <c r="AJ72" s="1441"/>
      <c r="AK72" s="1441"/>
      <c r="AL72" s="1441"/>
      <c r="AM72" s="1441"/>
      <c r="AN72" s="1441"/>
      <c r="AO72" s="1441"/>
      <c r="AP72" s="1441"/>
      <c r="AQ72" s="1441"/>
      <c r="AR72" s="487"/>
      <c r="AS72" s="1286">
        <v>0</v>
      </c>
      <c r="AT72" s="487"/>
      <c r="AU72" s="487"/>
      <c r="AV72" s="487"/>
      <c r="AW72" s="487"/>
      <c r="AX72" s="487"/>
      <c r="AY72" s="487"/>
      <c r="AZ72" s="487"/>
      <c r="BA72" s="487"/>
    </row>
    <row r="73" spans="2:92" ht="13.5" thickBot="1">
      <c r="B73" s="178"/>
      <c r="C73" s="179" t="s">
        <v>166</v>
      </c>
      <c r="D73" s="180"/>
      <c r="E73" s="181"/>
      <c r="F73" s="500"/>
      <c r="G73" s="1357">
        <v>24619612.451216497</v>
      </c>
      <c r="H73" s="1280"/>
      <c r="I73" s="1281">
        <v>563316.99957136728</v>
      </c>
      <c r="J73" s="1281">
        <v>345639.16425320646</v>
      </c>
      <c r="K73" s="1281">
        <v>408922.78175528918</v>
      </c>
      <c r="L73" s="1282">
        <v>5501146.8979918091</v>
      </c>
      <c r="M73" s="1281">
        <v>124150.79</v>
      </c>
      <c r="N73" s="1282">
        <v>1024965.5025402769</v>
      </c>
      <c r="O73" s="1281">
        <v>872288.69000000006</v>
      </c>
      <c r="P73" s="1282">
        <v>479193.40131925279</v>
      </c>
      <c r="Q73" s="1281">
        <v>9961543.6899999995</v>
      </c>
      <c r="R73" s="1282">
        <v>1713105.5265664214</v>
      </c>
      <c r="S73" s="1281">
        <v>1666902.62</v>
      </c>
      <c r="T73" s="1282">
        <v>1191741.8254753242</v>
      </c>
      <c r="U73" s="1281">
        <f>U8+U31+U47+U64</f>
        <v>3808992.16</v>
      </c>
      <c r="V73" s="1282">
        <v>1924124.4288391718</v>
      </c>
      <c r="W73" s="1282">
        <v>999778.07055976056</v>
      </c>
      <c r="X73" s="1282">
        <v>2653505.4796216656</v>
      </c>
      <c r="Y73" s="1282">
        <v>2353010.2054911945</v>
      </c>
      <c r="Z73" s="1285">
        <v>68386.753752136574</v>
      </c>
      <c r="AA73" s="1285">
        <v>68386.753752136574</v>
      </c>
      <c r="AB73" s="1285">
        <v>68386.753752136574</v>
      </c>
      <c r="AC73" s="1285">
        <v>63098.753752136574</v>
      </c>
      <c r="AD73" s="1285">
        <v>63098.753752136574</v>
      </c>
      <c r="AE73" s="1285">
        <v>63098.753752136574</v>
      </c>
      <c r="AF73" s="1285">
        <v>63098.753752136574</v>
      </c>
      <c r="AG73" s="1285">
        <v>63098.753752136574</v>
      </c>
      <c r="AH73" s="1285">
        <v>68793.753752136574</v>
      </c>
      <c r="AI73" s="1285">
        <v>59438.753752136574</v>
      </c>
      <c r="AJ73" s="1285">
        <v>59438.753752136574</v>
      </c>
      <c r="AK73" s="1285">
        <v>59438.753752136574</v>
      </c>
      <c r="AL73" s="1285">
        <v>59438.753752136574</v>
      </c>
      <c r="AM73" s="1285">
        <v>68793.753752136574</v>
      </c>
      <c r="AN73" s="1285">
        <v>60252.753752136574</v>
      </c>
      <c r="AO73" s="1285">
        <v>61066.753752136574</v>
      </c>
      <c r="AP73" s="1285">
        <v>62284.753752136574</v>
      </c>
      <c r="AQ73" s="1285">
        <v>59460.753752136574</v>
      </c>
      <c r="AR73" s="487"/>
      <c r="AS73" s="1286">
        <v>9009723.7803066596</v>
      </c>
      <c r="AT73" s="487"/>
      <c r="AU73" s="487"/>
      <c r="AV73" s="487"/>
      <c r="AW73" s="487"/>
      <c r="AX73" s="487"/>
      <c r="AY73" s="487"/>
      <c r="AZ73" s="487"/>
      <c r="BA73" s="487"/>
    </row>
    <row r="74" spans="2:92">
      <c r="AR74" s="487"/>
      <c r="AS74" s="1286">
        <v>0</v>
      </c>
      <c r="AT74" s="487"/>
      <c r="AU74" s="487"/>
      <c r="AV74" s="487"/>
      <c r="AW74" s="487"/>
      <c r="AX74" s="487"/>
      <c r="AY74" s="487"/>
      <c r="AZ74" s="487"/>
      <c r="BA74" s="487"/>
    </row>
    <row r="75" spans="2:92" ht="13.5" thickBot="1">
      <c r="I75" s="574" t="s">
        <v>361</v>
      </c>
      <c r="J75" s="574" t="s">
        <v>362</v>
      </c>
      <c r="K75" s="574" t="s">
        <v>363</v>
      </c>
      <c r="L75" s="1323" t="s">
        <v>364</v>
      </c>
      <c r="M75" s="1323"/>
      <c r="N75" s="1323" t="s">
        <v>365</v>
      </c>
      <c r="O75" s="1323"/>
      <c r="P75" s="1323" t="s">
        <v>366</v>
      </c>
      <c r="Q75" s="1323"/>
      <c r="R75" s="1323" t="s">
        <v>367</v>
      </c>
      <c r="S75" s="1323"/>
      <c r="T75" s="1323" t="s">
        <v>368</v>
      </c>
      <c r="U75" s="1323"/>
      <c r="V75" s="1323" t="s">
        <v>369</v>
      </c>
      <c r="W75" s="1323" t="s">
        <v>370</v>
      </c>
      <c r="X75" s="1323" t="s">
        <v>371</v>
      </c>
      <c r="Y75" s="1323" t="s">
        <v>372</v>
      </c>
      <c r="Z75" s="1323" t="s">
        <v>373</v>
      </c>
      <c r="AA75" s="1323" t="s">
        <v>374</v>
      </c>
      <c r="AB75" s="1323" t="s">
        <v>375</v>
      </c>
      <c r="AC75" s="1323" t="s">
        <v>376</v>
      </c>
      <c r="AD75" s="1323" t="s">
        <v>377</v>
      </c>
      <c r="AE75" s="1323" t="s">
        <v>378</v>
      </c>
      <c r="AF75" s="1323" t="s">
        <v>379</v>
      </c>
      <c r="AG75" s="1323" t="s">
        <v>380</v>
      </c>
      <c r="AH75" s="1323" t="s">
        <v>381</v>
      </c>
      <c r="AI75" s="1323" t="s">
        <v>382</v>
      </c>
      <c r="AJ75" s="1323" t="s">
        <v>383</v>
      </c>
      <c r="AK75" s="1323" t="s">
        <v>384</v>
      </c>
      <c r="AL75" s="1323" t="s">
        <v>385</v>
      </c>
      <c r="AM75" s="1323" t="s">
        <v>386</v>
      </c>
      <c r="AN75" s="1323" t="s">
        <v>387</v>
      </c>
      <c r="AO75" s="1323" t="s">
        <v>388</v>
      </c>
      <c r="AP75" s="1323" t="s">
        <v>389</v>
      </c>
      <c r="AQ75" s="1323" t="s">
        <v>390</v>
      </c>
      <c r="AR75" s="487"/>
      <c r="AS75" s="1286">
        <v>0</v>
      </c>
      <c r="AT75" s="487"/>
      <c r="AU75" s="487"/>
      <c r="AV75" s="487"/>
      <c r="AW75" s="487"/>
      <c r="AX75" s="487"/>
      <c r="AY75" s="487"/>
      <c r="AZ75" s="487"/>
      <c r="BA75" s="487"/>
    </row>
    <row r="76" spans="2:92" ht="13.5" thickBot="1">
      <c r="D76" s="1442"/>
      <c r="F76" s="786" t="s">
        <v>87</v>
      </c>
      <c r="G76" s="1443">
        <v>6492685.6762927352</v>
      </c>
      <c r="H76" s="1444">
        <v>0</v>
      </c>
      <c r="I76" s="1445">
        <v>408428.3754822117</v>
      </c>
      <c r="J76" s="1445">
        <v>329783.01199834509</v>
      </c>
      <c r="K76" s="1445">
        <v>226602.31678867349</v>
      </c>
      <c r="L76" s="1445">
        <v>1796897.8700486552</v>
      </c>
      <c r="M76" s="1445"/>
      <c r="N76" s="1445">
        <v>15393.887780059598</v>
      </c>
      <c r="O76" s="1445"/>
      <c r="P76" s="1445">
        <v>15597.887780059598</v>
      </c>
      <c r="Q76" s="1445"/>
      <c r="R76" s="1445">
        <v>14581.887780059598</v>
      </c>
      <c r="S76" s="1445"/>
      <c r="T76" s="1445">
        <v>14581.887780059598</v>
      </c>
      <c r="U76" s="1445"/>
      <c r="V76" s="1445">
        <v>14581.887780059598</v>
      </c>
      <c r="W76" s="1445">
        <v>15189.887780059598</v>
      </c>
      <c r="X76" s="1445">
        <v>14785.887780059598</v>
      </c>
      <c r="Y76" s="1445">
        <v>14275.887780059598</v>
      </c>
      <c r="Z76" s="1445">
        <v>14275.887780059598</v>
      </c>
      <c r="AA76" s="1445">
        <v>14275.887780059598</v>
      </c>
      <c r="AB76" s="1445">
        <v>14275.887780059598</v>
      </c>
      <c r="AC76" s="1445">
        <v>12851.887780059598</v>
      </c>
      <c r="AD76" s="1445">
        <v>12851.887780059598</v>
      </c>
      <c r="AE76" s="1445">
        <v>12851.887780059598</v>
      </c>
      <c r="AF76" s="1445">
        <v>12851.887780059598</v>
      </c>
      <c r="AG76" s="1445">
        <v>12851.887780059598</v>
      </c>
      <c r="AH76" s="1445">
        <v>14377.887780059598</v>
      </c>
      <c r="AI76" s="1445">
        <v>11835.887780059598</v>
      </c>
      <c r="AJ76" s="1445">
        <v>11835.887780059598</v>
      </c>
      <c r="AK76" s="1445">
        <v>11835.887780059598</v>
      </c>
      <c r="AL76" s="1445">
        <v>11835.887780059598</v>
      </c>
      <c r="AM76" s="1445">
        <v>14377.887780059598</v>
      </c>
      <c r="AN76" s="1445">
        <v>12039.887780059598</v>
      </c>
      <c r="AO76" s="1445">
        <v>12243.887780059598</v>
      </c>
      <c r="AP76" s="1445">
        <v>12647.887780059598</v>
      </c>
      <c r="AQ76" s="1445">
        <v>9799.8877800595983</v>
      </c>
      <c r="AR76" s="487"/>
      <c r="AS76" s="1286">
        <v>-3382067.0196933001</v>
      </c>
      <c r="AT76" s="487"/>
      <c r="AU76" s="487"/>
      <c r="AV76" s="487"/>
      <c r="AW76" s="487"/>
      <c r="AX76" s="487"/>
      <c r="AY76" s="487"/>
      <c r="AZ76" s="487"/>
      <c r="BA76" s="487"/>
    </row>
    <row r="77" spans="2:92" ht="13.5" thickBot="1">
      <c r="D77" s="1442"/>
      <c r="F77" s="786" t="s">
        <v>88</v>
      </c>
      <c r="G77" s="1443">
        <v>17035648.300179016</v>
      </c>
      <c r="H77" s="1444">
        <v>0</v>
      </c>
      <c r="I77" s="1445">
        <v>37879.125589369905</v>
      </c>
      <c r="J77" s="1445">
        <v>571.94869673148537</v>
      </c>
      <c r="K77" s="1445">
        <v>116006.07352586275</v>
      </c>
      <c r="L77" s="1445">
        <v>3671187.1619710769</v>
      </c>
      <c r="M77" s="1445"/>
      <c r="N77" s="1445">
        <v>976509.74878814025</v>
      </c>
      <c r="O77" s="1445"/>
      <c r="P77" s="1445">
        <v>430533.64756711625</v>
      </c>
      <c r="Q77" s="1445"/>
      <c r="R77" s="1445">
        <v>1665461.7728142848</v>
      </c>
      <c r="S77" s="1445"/>
      <c r="T77" s="1445">
        <v>1144098.0717231876</v>
      </c>
      <c r="U77" s="1445"/>
      <c r="V77" s="1445">
        <v>1876480.6750870352</v>
      </c>
      <c r="W77" s="1445">
        <v>951526.31680762395</v>
      </c>
      <c r="X77" s="1445">
        <v>2605657.7258695289</v>
      </c>
      <c r="Y77" s="1445">
        <v>2305672.4517390579</v>
      </c>
      <c r="Z77" s="1445">
        <v>21049</v>
      </c>
      <c r="AA77" s="1445">
        <v>21049</v>
      </c>
      <c r="AB77" s="1445">
        <v>21049</v>
      </c>
      <c r="AC77" s="1445">
        <v>17185</v>
      </c>
      <c r="AD77" s="1445">
        <v>17185</v>
      </c>
      <c r="AE77" s="1445">
        <v>17185</v>
      </c>
      <c r="AF77" s="1445">
        <v>17185</v>
      </c>
      <c r="AG77" s="1445">
        <v>17185</v>
      </c>
      <c r="AH77" s="1445">
        <v>21354</v>
      </c>
      <c r="AI77" s="1445">
        <v>14541</v>
      </c>
      <c r="AJ77" s="1445">
        <v>14541</v>
      </c>
      <c r="AK77" s="1445">
        <v>14541</v>
      </c>
      <c r="AL77" s="1445">
        <v>14541</v>
      </c>
      <c r="AM77" s="1445">
        <v>21354</v>
      </c>
      <c r="AN77" s="1445">
        <v>15151</v>
      </c>
      <c r="AO77" s="1445">
        <v>15761</v>
      </c>
      <c r="AP77" s="1445">
        <v>16575</v>
      </c>
      <c r="AQ77" s="1445">
        <v>16599</v>
      </c>
      <c r="AR77" s="487"/>
      <c r="AS77" s="1286">
        <v>-940033.58000000007</v>
      </c>
      <c r="AT77" s="487"/>
      <c r="AU77" s="487"/>
      <c r="AV77" s="487"/>
      <c r="AW77" s="487"/>
      <c r="AX77" s="487"/>
      <c r="AY77" s="487"/>
      <c r="AZ77" s="487"/>
      <c r="BA77" s="487"/>
    </row>
    <row r="78" spans="2:92" ht="13.5" thickBot="1">
      <c r="D78" s="1442"/>
      <c r="F78" s="786" t="s">
        <v>171</v>
      </c>
      <c r="G78" s="1443">
        <v>1091278.4747447469</v>
      </c>
      <c r="H78" s="1444">
        <v>0</v>
      </c>
      <c r="I78" s="1445">
        <v>117009.49849978567</v>
      </c>
      <c r="J78" s="1445">
        <v>15284.203558129915</v>
      </c>
      <c r="K78" s="1445">
        <v>66314.391440752952</v>
      </c>
      <c r="L78" s="1445">
        <v>33061.865972076979</v>
      </c>
      <c r="M78" s="1445"/>
      <c r="N78" s="1445">
        <v>33061.865972076979</v>
      </c>
      <c r="O78" s="1445"/>
      <c r="P78" s="1445">
        <v>33061.865972076979</v>
      </c>
      <c r="Q78" s="1445"/>
      <c r="R78" s="1445">
        <v>33061.865972076979</v>
      </c>
      <c r="S78" s="1445"/>
      <c r="T78" s="1445">
        <v>33061.865972076979</v>
      </c>
      <c r="U78" s="1445"/>
      <c r="V78" s="1445">
        <v>33061.865972076979</v>
      </c>
      <c r="W78" s="1445">
        <v>33061.865972076979</v>
      </c>
      <c r="X78" s="1445">
        <v>33061.865972076979</v>
      </c>
      <c r="Y78" s="1445">
        <v>33061.865972076979</v>
      </c>
      <c r="Z78" s="1445">
        <v>33061.865972076979</v>
      </c>
      <c r="AA78" s="1445">
        <v>33061.865972076979</v>
      </c>
      <c r="AB78" s="1445">
        <v>33061.865972076979</v>
      </c>
      <c r="AC78" s="1445">
        <v>33061.865972076979</v>
      </c>
      <c r="AD78" s="1445">
        <v>33061.865972076979</v>
      </c>
      <c r="AE78" s="1445">
        <v>33061.865972076979</v>
      </c>
      <c r="AF78" s="1445">
        <v>33061.865972076979</v>
      </c>
      <c r="AG78" s="1445">
        <v>33061.865972076979</v>
      </c>
      <c r="AH78" s="1445">
        <v>33061.865972076979</v>
      </c>
      <c r="AI78" s="1445">
        <v>33061.865972076979</v>
      </c>
      <c r="AJ78" s="1445">
        <v>33061.865972076979</v>
      </c>
      <c r="AK78" s="1445">
        <v>33061.865972076979</v>
      </c>
      <c r="AL78" s="1445">
        <v>33061.865972076979</v>
      </c>
      <c r="AM78" s="1445">
        <v>33061.865972076979</v>
      </c>
      <c r="AN78" s="1445">
        <v>33061.865972076979</v>
      </c>
      <c r="AO78" s="1445">
        <v>33061.865972076979</v>
      </c>
      <c r="AP78" s="1445">
        <v>33061.865972076979</v>
      </c>
      <c r="AQ78" s="1445">
        <v>33061.865972076979</v>
      </c>
      <c r="AR78" s="487"/>
      <c r="AS78" s="1286">
        <v>0</v>
      </c>
      <c r="AT78" s="487"/>
      <c r="AU78" s="487"/>
      <c r="AV78" s="487"/>
      <c r="AW78" s="487"/>
      <c r="AX78" s="487"/>
      <c r="AY78" s="487"/>
      <c r="AZ78" s="487"/>
      <c r="BA78" s="487"/>
    </row>
    <row r="79" spans="2:92" ht="13.5" thickBot="1">
      <c r="D79" s="1442"/>
      <c r="G79" s="1446">
        <v>24619612.4512165</v>
      </c>
      <c r="H79" s="1279">
        <v>0</v>
      </c>
      <c r="I79" s="1285">
        <v>563316.99957136728</v>
      </c>
      <c r="J79" s="1285">
        <v>345639.16425320646</v>
      </c>
      <c r="K79" s="1285">
        <v>408922.78175528918</v>
      </c>
      <c r="L79" s="1285">
        <v>5501146.8979918091</v>
      </c>
      <c r="M79" s="1285"/>
      <c r="N79" s="1285">
        <v>1024965.5025402769</v>
      </c>
      <c r="O79" s="1285"/>
      <c r="P79" s="1285">
        <v>479193.40131925279</v>
      </c>
      <c r="Q79" s="1285"/>
      <c r="R79" s="1285">
        <v>1713105.5265664214</v>
      </c>
      <c r="S79" s="1285"/>
      <c r="T79" s="1285">
        <v>1191741.8254753242</v>
      </c>
      <c r="U79" s="1285"/>
      <c r="V79" s="1285">
        <v>1924124.4288391718</v>
      </c>
      <c r="W79" s="1285">
        <v>999778.07055976056</v>
      </c>
      <c r="X79" s="1285">
        <v>2653505.4796216656</v>
      </c>
      <c r="Y79" s="1285">
        <v>2353010.2054911945</v>
      </c>
      <c r="Z79" s="1285">
        <v>68386.753752136574</v>
      </c>
      <c r="AA79" s="1285">
        <v>68386.753752136574</v>
      </c>
      <c r="AB79" s="1285">
        <v>68386.753752136574</v>
      </c>
      <c r="AC79" s="1285">
        <v>63098.753752136574</v>
      </c>
      <c r="AD79" s="1285">
        <v>63098.753752136574</v>
      </c>
      <c r="AE79" s="1285">
        <v>63098.753752136574</v>
      </c>
      <c r="AF79" s="1285">
        <v>63098.753752136574</v>
      </c>
      <c r="AG79" s="1285">
        <v>63098.753752136574</v>
      </c>
      <c r="AH79" s="1285">
        <v>68793.753752136574</v>
      </c>
      <c r="AI79" s="1285">
        <v>59438.753752136574</v>
      </c>
      <c r="AJ79" s="1285">
        <v>59438.753752136574</v>
      </c>
      <c r="AK79" s="1285">
        <v>59438.753752136574</v>
      </c>
      <c r="AL79" s="1285">
        <v>59438.753752136574</v>
      </c>
      <c r="AM79" s="1285">
        <v>68793.753752136574</v>
      </c>
      <c r="AN79" s="1285">
        <v>60252.753752136574</v>
      </c>
      <c r="AO79" s="1285">
        <v>61066.753752136574</v>
      </c>
      <c r="AP79" s="1285">
        <v>62284.753752136574</v>
      </c>
      <c r="AQ79" s="1285">
        <v>59460.753752136574</v>
      </c>
      <c r="AR79" s="487"/>
      <c r="AS79" s="1286">
        <v>-4322100.5996933393</v>
      </c>
      <c r="AT79" s="487"/>
      <c r="AU79" s="487"/>
      <c r="AV79" s="487"/>
      <c r="AW79" s="487"/>
      <c r="AX79" s="487"/>
      <c r="AY79" s="487"/>
      <c r="AZ79" s="487"/>
      <c r="BA79" s="487"/>
    </row>
    <row r="80" spans="2:92" ht="13.5" thickBot="1">
      <c r="G80" s="1279"/>
      <c r="AR80" s="487"/>
      <c r="AS80" s="1286">
        <v>0</v>
      </c>
      <c r="AT80" s="487"/>
      <c r="AU80" s="487"/>
      <c r="AV80" s="487"/>
      <c r="AW80" s="487"/>
      <c r="AX80" s="487"/>
      <c r="AY80" s="487"/>
      <c r="AZ80" s="487"/>
      <c r="BA80" s="487"/>
    </row>
    <row r="81" spans="7:53">
      <c r="AR81" s="487"/>
      <c r="AT81" s="487"/>
      <c r="AU81" s="487"/>
      <c r="AV81" s="487"/>
      <c r="AW81" s="487"/>
      <c r="AX81" s="487"/>
      <c r="AY81" s="487"/>
      <c r="AZ81" s="487"/>
      <c r="BA81" s="487"/>
    </row>
    <row r="82" spans="7:53">
      <c r="AR82" s="487"/>
      <c r="AT82" s="487"/>
      <c r="AU82" s="487"/>
      <c r="AV82" s="487"/>
      <c r="AW82" s="487"/>
      <c r="AX82" s="487"/>
      <c r="AY82" s="487"/>
      <c r="AZ82" s="487"/>
      <c r="BA82" s="487"/>
    </row>
    <row r="83" spans="7:53">
      <c r="O83" s="1270">
        <v>872288.69000000006</v>
      </c>
      <c r="Q83" s="1270">
        <v>9961543.6899999995</v>
      </c>
      <c r="S83" s="1270">
        <v>1666902.62</v>
      </c>
      <c r="U83" s="1270">
        <f>U73</f>
        <v>3808992.16</v>
      </c>
    </row>
    <row r="84" spans="7:53">
      <c r="Q84" s="1270">
        <v>0</v>
      </c>
    </row>
    <row r="85" spans="7:53">
      <c r="L85" s="1537" t="s">
        <v>801</v>
      </c>
      <c r="M85" s="1537" t="s">
        <v>802</v>
      </c>
      <c r="N85" s="1537"/>
      <c r="O85" s="1537"/>
      <c r="P85" s="1537"/>
    </row>
    <row r="86" spans="7:53">
      <c r="L86" s="1537">
        <v>9910153.1538930833</v>
      </c>
      <c r="M86" s="1537">
        <v>13331824.379999999</v>
      </c>
      <c r="N86" s="1537"/>
      <c r="O86" s="1537">
        <v>4409006.2559012752</v>
      </c>
      <c r="P86" s="1537">
        <v>13207673.59</v>
      </c>
    </row>
    <row r="87" spans="7:53">
      <c r="I87" s="1538"/>
      <c r="J87" s="1538"/>
      <c r="K87" s="1538"/>
      <c r="L87" s="1539"/>
      <c r="M87" s="1539"/>
      <c r="N87" s="1539"/>
      <c r="O87" s="1539"/>
      <c r="P87" s="1539"/>
      <c r="Q87" s="1539"/>
      <c r="R87" s="1539"/>
      <c r="S87" s="1539"/>
      <c r="T87" s="1539"/>
      <c r="U87" s="1539"/>
      <c r="V87" s="1539"/>
      <c r="W87" s="1539"/>
      <c r="X87" s="1539"/>
      <c r="Y87" s="1539"/>
      <c r="Z87" s="1539"/>
      <c r="AA87" s="1539"/>
      <c r="AB87" s="1539"/>
      <c r="AC87" s="1539"/>
      <c r="AD87" s="1539"/>
      <c r="AE87" s="1539"/>
    </row>
    <row r="88" spans="7:53">
      <c r="I88" s="1538"/>
      <c r="J88" s="1538"/>
      <c r="K88" s="1538"/>
      <c r="L88" s="1539"/>
      <c r="M88" s="1539"/>
      <c r="N88" s="1539"/>
      <c r="O88" s="1539"/>
      <c r="P88" s="1539"/>
      <c r="Q88" s="1539"/>
      <c r="R88" s="1539"/>
      <c r="S88" s="1539"/>
      <c r="T88" s="1539"/>
      <c r="U88" s="1539"/>
      <c r="V88" s="1539"/>
      <c r="W88" s="1539"/>
      <c r="X88" s="1539"/>
      <c r="Y88" s="1539"/>
      <c r="Z88" s="1539"/>
      <c r="AA88" s="1539"/>
      <c r="AB88" s="1539"/>
      <c r="AC88" s="1539"/>
      <c r="AD88" s="1539"/>
      <c r="AE88" s="1539"/>
    </row>
    <row r="89" spans="7:53">
      <c r="G89" s="157"/>
      <c r="H89" s="157"/>
      <c r="I89" s="1540"/>
      <c r="J89" s="1540"/>
      <c r="K89" s="1540"/>
      <c r="L89" s="1540"/>
      <c r="M89" s="1540"/>
      <c r="N89" s="1539"/>
      <c r="O89" s="1539"/>
      <c r="P89" s="1539"/>
      <c r="Q89" s="1539"/>
      <c r="R89" s="1539"/>
      <c r="S89" s="1539"/>
      <c r="T89" s="1539"/>
      <c r="U89" s="1539"/>
      <c r="V89" s="1539"/>
      <c r="W89" s="1539"/>
      <c r="X89" s="1539"/>
      <c r="Y89" s="1539"/>
      <c r="Z89" s="1539"/>
      <c r="AA89" s="1539"/>
      <c r="AB89" s="1539"/>
      <c r="AC89" s="1539"/>
      <c r="AD89" s="1539"/>
      <c r="AE89" s="1539"/>
    </row>
    <row r="90" spans="7:53">
      <c r="G90" s="157"/>
      <c r="H90" s="157"/>
      <c r="I90" s="1540"/>
      <c r="J90" s="1540"/>
      <c r="K90" s="1540"/>
      <c r="L90" s="1540"/>
      <c r="M90" s="1540"/>
      <c r="N90" s="1539"/>
      <c r="O90" s="1539"/>
      <c r="P90" s="1539"/>
      <c r="Q90" s="1539"/>
      <c r="R90" s="1539"/>
      <c r="S90" s="1539"/>
      <c r="T90" s="1539"/>
      <c r="U90" s="1539"/>
      <c r="V90" s="1539"/>
      <c r="W90" s="1539"/>
      <c r="X90" s="1539"/>
      <c r="Y90" s="1539"/>
      <c r="Z90" s="1539"/>
      <c r="AA90" s="1539"/>
      <c r="AB90" s="1539"/>
      <c r="AC90" s="1539"/>
      <c r="AD90" s="1539"/>
      <c r="AE90" s="1539"/>
    </row>
    <row r="91" spans="7:53">
      <c r="G91" s="157"/>
      <c r="H91" s="157"/>
      <c r="I91" s="1540"/>
      <c r="J91" s="1540"/>
      <c r="K91" s="1540"/>
      <c r="L91" s="1540"/>
      <c r="M91" s="1540"/>
      <c r="N91" s="1539"/>
      <c r="O91" s="1539"/>
      <c r="P91" s="1539"/>
      <c r="Q91" s="1539"/>
      <c r="R91" s="1539"/>
      <c r="S91" s="1539"/>
      <c r="T91" s="1539"/>
      <c r="U91" s="1539"/>
      <c r="V91" s="1539"/>
      <c r="W91" s="1539"/>
      <c r="X91" s="1539"/>
      <c r="Y91" s="1539"/>
      <c r="Z91" s="1539"/>
      <c r="AA91" s="1539"/>
      <c r="AB91" s="1539"/>
      <c r="AC91" s="1539"/>
      <c r="AD91" s="1539"/>
      <c r="AE91" s="1539"/>
    </row>
    <row r="92" spans="7:53">
      <c r="G92" s="157"/>
      <c r="H92" s="157"/>
      <c r="I92" s="157"/>
      <c r="J92" s="157"/>
      <c r="K92" s="157"/>
      <c r="L92" s="157"/>
      <c r="M92" s="157"/>
      <c r="O92" s="1539"/>
      <c r="P92" s="1539"/>
      <c r="Q92" s="1539"/>
      <c r="R92" s="1539"/>
      <c r="S92" s="1539"/>
      <c r="T92" s="1539"/>
      <c r="U92" s="1539"/>
      <c r="V92" s="1539"/>
      <c r="W92" s="1539"/>
      <c r="X92" s="1539"/>
      <c r="Y92" s="1539"/>
      <c r="Z92" s="1539"/>
      <c r="AA92" s="1539"/>
      <c r="AB92" s="1539"/>
      <c r="AC92" s="1539"/>
      <c r="AD92" s="1539"/>
      <c r="AE92" s="1539"/>
    </row>
    <row r="93" spans="7:53">
      <c r="G93" s="1447" t="s">
        <v>804</v>
      </c>
      <c r="H93" s="1063"/>
      <c r="I93" s="1447" t="s">
        <v>364</v>
      </c>
      <c r="J93" s="1447" t="s">
        <v>365</v>
      </c>
      <c r="K93" s="1447" t="s">
        <v>366</v>
      </c>
      <c r="L93" s="1447" t="s">
        <v>367</v>
      </c>
      <c r="M93" s="1447" t="s">
        <v>368</v>
      </c>
      <c r="N93" s="1447" t="s">
        <v>121</v>
      </c>
      <c r="O93" s="1539"/>
      <c r="P93" s="1538"/>
      <c r="Q93" s="1538"/>
      <c r="R93" s="1538"/>
      <c r="S93" s="1538"/>
      <c r="T93" s="1538"/>
      <c r="U93" s="1538"/>
      <c r="V93" s="1539"/>
      <c r="W93" s="1539"/>
      <c r="X93" s="1539"/>
      <c r="Y93" s="1539"/>
      <c r="Z93" s="1539"/>
      <c r="AA93" s="1539"/>
      <c r="AB93" s="1539"/>
      <c r="AC93" s="1539"/>
      <c r="AD93" s="1539"/>
      <c r="AE93" s="1539"/>
    </row>
    <row r="94" spans="7:53">
      <c r="G94" s="1447"/>
      <c r="H94" s="1063"/>
      <c r="I94" s="1448">
        <v>2019</v>
      </c>
      <c r="J94" s="1448">
        <v>2020</v>
      </c>
      <c r="K94" s="1448">
        <v>2021</v>
      </c>
      <c r="L94" s="1448">
        <v>2022</v>
      </c>
      <c r="M94" s="1448">
        <v>2023</v>
      </c>
      <c r="N94" s="171"/>
      <c r="O94" s="1539"/>
      <c r="P94" s="1539"/>
      <c r="Q94" s="1539"/>
      <c r="R94" s="1539"/>
      <c r="S94" s="1539"/>
      <c r="T94" s="1539"/>
      <c r="U94" s="1539"/>
      <c r="V94" s="1539"/>
      <c r="W94" s="1539"/>
      <c r="X94" s="1539"/>
      <c r="Y94" s="1539"/>
      <c r="Z94" s="1539"/>
      <c r="AA94" s="1539"/>
      <c r="AB94" s="1539"/>
      <c r="AC94" s="1539"/>
      <c r="AD94" s="1539"/>
      <c r="AE94" s="1539"/>
    </row>
    <row r="95" spans="7:53">
      <c r="G95" s="1447" t="s">
        <v>724</v>
      </c>
      <c r="H95" s="1063"/>
      <c r="I95" s="1447">
        <f>M9+M22+M26+M32+M48</f>
        <v>112030.39000000001</v>
      </c>
      <c r="J95" s="1447">
        <f>O9+O22+O26+O32+O48</f>
        <v>509255.34</v>
      </c>
      <c r="K95" s="1447">
        <f>Q9+Q22+Q26+Q32+Q48</f>
        <v>2951756.9099999997</v>
      </c>
      <c r="L95" s="1447">
        <f>S9+S22+S26+S32+S48</f>
        <v>145041.21000000002</v>
      </c>
      <c r="M95" s="1447">
        <f>U9+U22+U26+U32+U48</f>
        <v>248407.43</v>
      </c>
      <c r="N95" s="1311">
        <f>SUM(I95:M95)</f>
        <v>3966491.28</v>
      </c>
      <c r="O95" s="1538"/>
      <c r="P95" s="1539"/>
      <c r="Q95" s="1538"/>
      <c r="R95" s="1539"/>
      <c r="S95" s="1539"/>
      <c r="T95" s="1539"/>
      <c r="U95" s="1539"/>
      <c r="V95" s="1539"/>
      <c r="W95" s="1539"/>
      <c r="X95" s="1539"/>
      <c r="Y95" s="1539"/>
      <c r="Z95" s="1539"/>
      <c r="AA95" s="1539"/>
      <c r="AB95" s="1539"/>
      <c r="AC95" s="1539"/>
      <c r="AD95" s="1539"/>
      <c r="AE95" s="1539"/>
    </row>
    <row r="96" spans="7:53">
      <c r="G96" s="1447" t="s">
        <v>726</v>
      </c>
      <c r="H96" s="1063"/>
      <c r="I96" s="1447">
        <f>M19+M39+M53</f>
        <v>5470.01</v>
      </c>
      <c r="J96" s="1447">
        <f>O19+O39+O53</f>
        <v>343743.46</v>
      </c>
      <c r="K96" s="1447">
        <f>Q19+Q39+Q53</f>
        <v>6944268.1799999997</v>
      </c>
      <c r="L96" s="1447">
        <f>S19+S39+S53</f>
        <v>1492289.03</v>
      </c>
      <c r="M96" s="1447">
        <f>U19+U39+U53</f>
        <v>3456829.29</v>
      </c>
      <c r="N96" s="1311">
        <f t="shared" ref="N96:N98" si="0">SUM(I96:M96)</f>
        <v>12242599.969999999</v>
      </c>
      <c r="O96" s="1538"/>
      <c r="P96" s="1539"/>
      <c r="Q96" s="1539"/>
      <c r="R96" s="1539"/>
      <c r="S96" s="1539"/>
      <c r="T96" s="1539"/>
      <c r="U96" s="1539"/>
      <c r="V96" s="1539"/>
      <c r="W96" s="1539"/>
      <c r="X96" s="1539"/>
      <c r="Y96" s="1539"/>
      <c r="Z96" s="1539"/>
      <c r="AA96" s="1539"/>
      <c r="AB96" s="1539"/>
      <c r="AC96" s="1539"/>
      <c r="AD96" s="1539"/>
      <c r="AE96" s="1539"/>
    </row>
    <row r="97" spans="7:31">
      <c r="G97" s="1447" t="s">
        <v>805</v>
      </c>
      <c r="H97" s="1063"/>
      <c r="I97" s="1447">
        <f>M64</f>
        <v>6650.39</v>
      </c>
      <c r="J97" s="1447">
        <f>O64</f>
        <v>19289.89</v>
      </c>
      <c r="K97" s="1447">
        <f>Q64</f>
        <v>65518.600000000006</v>
      </c>
      <c r="L97" s="1447">
        <f>S64</f>
        <v>29572.379999999994</v>
      </c>
      <c r="M97" s="1447">
        <f>U64+U58</f>
        <v>103755.44</v>
      </c>
      <c r="N97" s="1311">
        <f t="shared" si="0"/>
        <v>224786.7</v>
      </c>
      <c r="O97" s="1539"/>
      <c r="P97" s="1539"/>
      <c r="Q97" s="1539"/>
      <c r="R97" s="1539"/>
      <c r="S97" s="1539"/>
      <c r="T97" s="1539"/>
      <c r="U97" s="1539"/>
      <c r="V97" s="1539"/>
      <c r="W97" s="1539"/>
      <c r="X97" s="1539"/>
      <c r="Y97" s="1539"/>
      <c r="Z97" s="1539"/>
      <c r="AA97" s="1539"/>
      <c r="AB97" s="1539"/>
      <c r="AC97" s="1539"/>
      <c r="AD97" s="1539"/>
      <c r="AE97" s="1539"/>
    </row>
    <row r="98" spans="7:31">
      <c r="G98" s="1063" t="s">
        <v>121</v>
      </c>
      <c r="H98" s="1063"/>
      <c r="I98" s="1447">
        <f>SUM(I95:I97)</f>
        <v>124150.79000000001</v>
      </c>
      <c r="J98" s="1447">
        <f>SUM(J95:J97)</f>
        <v>872288.69000000006</v>
      </c>
      <c r="K98" s="1447">
        <f>SUM(K95:K97)</f>
        <v>9961543.6899999995</v>
      </c>
      <c r="L98" s="1447">
        <f>SUM(L95:L97)</f>
        <v>1666902.6199999999</v>
      </c>
      <c r="M98" s="1447">
        <f t="shared" ref="M98" si="1">SUM(M95:M97)</f>
        <v>3808992.16</v>
      </c>
      <c r="N98" s="1311">
        <f t="shared" si="0"/>
        <v>16433877.949999999</v>
      </c>
      <c r="O98" s="1539"/>
      <c r="P98" s="1539"/>
      <c r="Q98" s="1539"/>
      <c r="R98" s="1539"/>
      <c r="S98" s="1539"/>
      <c r="T98" s="1539"/>
      <c r="U98" s="1539"/>
      <c r="V98" s="1539"/>
      <c r="W98" s="1539"/>
      <c r="X98" s="1539"/>
      <c r="Y98" s="1539"/>
      <c r="Z98" s="1539"/>
      <c r="AA98" s="1539"/>
      <c r="AB98" s="1539"/>
      <c r="AC98" s="1539"/>
      <c r="AD98" s="1539"/>
      <c r="AE98" s="1539"/>
    </row>
    <row r="99" spans="7:31">
      <c r="O99" s="1539"/>
      <c r="P99" s="1539"/>
      <c r="Q99" s="1539"/>
      <c r="R99" s="1539"/>
      <c r="S99" s="1539"/>
      <c r="T99" s="1539"/>
      <c r="U99" s="1539"/>
      <c r="V99" s="1539"/>
      <c r="W99" s="1539"/>
      <c r="X99" s="1539"/>
      <c r="Y99" s="1539"/>
      <c r="Z99" s="1539"/>
      <c r="AA99" s="1539"/>
      <c r="AB99" s="1539"/>
      <c r="AC99" s="1539"/>
      <c r="AD99" s="1539"/>
      <c r="AE99" s="1539"/>
    </row>
    <row r="100" spans="7:31">
      <c r="G100" s="1311" t="s">
        <v>782</v>
      </c>
      <c r="H100" s="1063"/>
      <c r="I100" s="1462">
        <v>43313</v>
      </c>
      <c r="J100" s="1462">
        <v>43678</v>
      </c>
      <c r="K100" s="1462">
        <v>44044</v>
      </c>
      <c r="L100" s="1462">
        <v>44409</v>
      </c>
      <c r="M100" s="1462">
        <v>44774</v>
      </c>
      <c r="N100" s="1270" t="s">
        <v>952</v>
      </c>
      <c r="O100" s="1539"/>
      <c r="P100" s="1539"/>
      <c r="Q100" s="1539"/>
      <c r="R100" s="1539"/>
      <c r="S100" s="1539"/>
      <c r="T100" s="1539"/>
      <c r="U100" s="1539"/>
      <c r="V100" s="1539"/>
      <c r="W100" s="1539"/>
      <c r="X100" s="1539"/>
      <c r="Y100" s="1539"/>
      <c r="Z100" s="1539"/>
      <c r="AA100" s="1539"/>
      <c r="AB100" s="1539"/>
      <c r="AC100" s="1539"/>
      <c r="AD100" s="1539"/>
      <c r="AE100" s="1539"/>
    </row>
    <row r="101" spans="7:31">
      <c r="G101" s="1063"/>
      <c r="H101" s="1063"/>
      <c r="I101" s="1463">
        <v>5056.5600000000004</v>
      </c>
      <c r="J101" s="1463">
        <v>5229.93</v>
      </c>
      <c r="K101" s="1463">
        <v>5357.46</v>
      </c>
      <c r="L101" s="1463">
        <v>5876.05</v>
      </c>
      <c r="M101" s="1463">
        <v>6388.87</v>
      </c>
      <c r="O101" s="1539"/>
      <c r="P101" s="1539"/>
      <c r="Q101" s="1539"/>
      <c r="R101" s="1539"/>
      <c r="S101" s="1539"/>
      <c r="T101" s="1539"/>
      <c r="U101" s="1539"/>
      <c r="V101" s="1539"/>
      <c r="W101" s="1539"/>
      <c r="X101" s="1539"/>
      <c r="Y101" s="1539"/>
      <c r="Z101" s="1539"/>
      <c r="AA101" s="1539"/>
      <c r="AB101" s="1539"/>
      <c r="AC101" s="1539"/>
      <c r="AD101" s="1539"/>
      <c r="AE101" s="1539"/>
    </row>
    <row r="102" spans="7:31">
      <c r="G102" s="1063" t="s">
        <v>806</v>
      </c>
      <c r="H102" s="1063"/>
      <c r="I102" s="1463">
        <v>4028.44</v>
      </c>
      <c r="J102" s="1270"/>
      <c r="K102" s="1270"/>
      <c r="O102" s="1539"/>
      <c r="P102" s="1539"/>
      <c r="Q102" s="1539"/>
      <c r="R102" s="1539"/>
      <c r="S102" s="1539"/>
      <c r="T102" s="1539"/>
      <c r="U102" s="1539"/>
      <c r="V102" s="1539"/>
      <c r="W102" s="1539"/>
      <c r="X102" s="1539"/>
      <c r="Y102" s="1539"/>
      <c r="Z102" s="1539"/>
      <c r="AA102" s="1539"/>
      <c r="AB102" s="1539"/>
      <c r="AC102" s="1539"/>
      <c r="AD102" s="1539"/>
      <c r="AE102" s="1539"/>
    </row>
    <row r="103" spans="7:31">
      <c r="O103" s="1539"/>
      <c r="P103" s="1539"/>
      <c r="Q103" s="1539"/>
      <c r="R103" s="1539"/>
      <c r="S103" s="1539"/>
      <c r="T103" s="1539"/>
      <c r="U103" s="1539"/>
      <c r="V103" s="1539"/>
      <c r="W103" s="1539"/>
      <c r="X103" s="1539"/>
      <c r="Y103" s="1539"/>
      <c r="Z103" s="1539"/>
      <c r="AA103" s="1539"/>
      <c r="AB103" s="1539"/>
      <c r="AC103" s="1539"/>
      <c r="AD103" s="1539"/>
      <c r="AE103" s="1539"/>
    </row>
    <row r="104" spans="7:31">
      <c r="G104" s="1447" t="s">
        <v>807</v>
      </c>
      <c r="H104" s="1063"/>
      <c r="I104" s="1447" t="s">
        <v>364</v>
      </c>
      <c r="J104" s="1447" t="s">
        <v>365</v>
      </c>
      <c r="K104" s="1447" t="s">
        <v>366</v>
      </c>
      <c r="L104" s="1447" t="s">
        <v>367</v>
      </c>
      <c r="M104" s="1447" t="s">
        <v>368</v>
      </c>
      <c r="N104" s="1447" t="s">
        <v>121</v>
      </c>
      <c r="O104" s="1539"/>
      <c r="P104" s="1539"/>
      <c r="Q104" s="1539"/>
      <c r="R104" s="1539"/>
      <c r="S104" s="1539"/>
      <c r="T104" s="1539"/>
      <c r="U104" s="1539"/>
      <c r="V104" s="1539"/>
      <c r="W104" s="1539"/>
      <c r="X104" s="1539"/>
      <c r="Y104" s="1539"/>
      <c r="Z104" s="1539"/>
      <c r="AA104" s="1539"/>
      <c r="AB104" s="1539"/>
      <c r="AC104" s="1539"/>
      <c r="AD104" s="1539"/>
      <c r="AE104" s="1539"/>
    </row>
    <row r="105" spans="7:31">
      <c r="G105" s="1447"/>
      <c r="H105" s="1063"/>
      <c r="I105" s="1448">
        <v>2019</v>
      </c>
      <c r="J105" s="1448">
        <v>2020</v>
      </c>
      <c r="K105" s="1448">
        <v>2021</v>
      </c>
      <c r="L105" s="1448">
        <v>2022</v>
      </c>
      <c r="M105" s="1448">
        <v>2023</v>
      </c>
      <c r="O105" s="1539"/>
      <c r="P105" s="1539"/>
      <c r="Q105" s="1539"/>
      <c r="R105" s="1539"/>
      <c r="S105" s="1539"/>
      <c r="T105" s="1539"/>
      <c r="U105" s="1539"/>
      <c r="V105" s="1539"/>
      <c r="W105" s="1539"/>
      <c r="X105" s="1539"/>
      <c r="Y105" s="1539"/>
      <c r="Z105" s="1539"/>
      <c r="AA105" s="1539"/>
      <c r="AB105" s="1539"/>
      <c r="AC105" s="1539"/>
      <c r="AD105" s="1539"/>
      <c r="AE105" s="1539"/>
    </row>
    <row r="106" spans="7:31">
      <c r="G106" s="1447" t="s">
        <v>724</v>
      </c>
      <c r="H106" s="1063"/>
      <c r="I106" s="1447">
        <f>I95/(I$101/$I$102)</f>
        <v>89251.923104165675</v>
      </c>
      <c r="J106" s="1311">
        <f t="shared" ref="J106:M106" si="2">J95/(J$101/$I$102)</f>
        <v>392262.3403888006</v>
      </c>
      <c r="K106" s="1311">
        <f t="shared" si="2"/>
        <v>2219517.384454648</v>
      </c>
      <c r="L106" s="1311">
        <f t="shared" si="2"/>
        <v>99435.813516290713</v>
      </c>
      <c r="M106" s="1311">
        <f t="shared" si="2"/>
        <v>156630.89518321707</v>
      </c>
      <c r="N106" s="1311">
        <f>SUM(I106:M106)</f>
        <v>2957098.3566471222</v>
      </c>
      <c r="O106" s="1539"/>
      <c r="P106" s="1539"/>
      <c r="Q106" s="1539"/>
      <c r="R106" s="1539"/>
      <c r="S106" s="1539"/>
      <c r="T106" s="1539"/>
      <c r="U106" s="1539"/>
      <c r="V106" s="1539"/>
      <c r="W106" s="1539"/>
      <c r="X106" s="1539"/>
      <c r="Y106" s="1539"/>
      <c r="Z106" s="1539"/>
      <c r="AA106" s="1539"/>
      <c r="AB106" s="1539"/>
      <c r="AC106" s="1539"/>
      <c r="AD106" s="1539"/>
      <c r="AE106" s="1539"/>
    </row>
    <row r="107" spans="7:31">
      <c r="G107" s="1447" t="s">
        <v>726</v>
      </c>
      <c r="H107" s="1063"/>
      <c r="I107" s="1447">
        <f t="shared" ref="I107:M107" si="3">I96/(I$101/$I$102)</f>
        <v>4357.8256926448012</v>
      </c>
      <c r="J107" s="1311">
        <f t="shared" si="3"/>
        <v>264774.07995946408</v>
      </c>
      <c r="K107" s="1311">
        <f t="shared" si="3"/>
        <v>5221610.1859909734</v>
      </c>
      <c r="L107" s="1311">
        <f t="shared" si="3"/>
        <v>1023067.6764175253</v>
      </c>
      <c r="M107" s="1311">
        <f t="shared" si="3"/>
        <v>2179670.1740695303</v>
      </c>
      <c r="N107" s="1311">
        <f t="shared" ref="N107:N109" si="4">SUM(I107:M107)</f>
        <v>8693479.9421301372</v>
      </c>
      <c r="O107" s="1539"/>
      <c r="P107" s="1539"/>
      <c r="Q107" s="1539"/>
      <c r="R107" s="1539"/>
      <c r="S107" s="1539"/>
      <c r="T107" s="1539"/>
      <c r="U107" s="1539"/>
      <c r="V107" s="1539"/>
      <c r="W107" s="1539"/>
      <c r="X107" s="1539"/>
      <c r="Y107" s="1539"/>
      <c r="Z107" s="1539"/>
      <c r="AA107" s="1539"/>
      <c r="AB107" s="1539"/>
      <c r="AC107" s="1539"/>
      <c r="AD107" s="1539"/>
      <c r="AE107" s="1539"/>
    </row>
    <row r="108" spans="7:31">
      <c r="G108" s="1447" t="s">
        <v>805</v>
      </c>
      <c r="H108" s="1063"/>
      <c r="I108" s="1447">
        <f t="shared" ref="I108:M108" si="5">I97/(I$101/$I$102)</f>
        <v>5298.2061107946902</v>
      </c>
      <c r="J108" s="1311">
        <f t="shared" si="5"/>
        <v>14858.356511769754</v>
      </c>
      <c r="K108" s="1311">
        <f t="shared" si="5"/>
        <v>49265.463294919617</v>
      </c>
      <c r="L108" s="1311">
        <f t="shared" si="5"/>
        <v>20273.918446439355</v>
      </c>
      <c r="M108" s="1311">
        <f t="shared" si="5"/>
        <v>65421.986159305168</v>
      </c>
      <c r="N108" s="1311">
        <f t="shared" si="4"/>
        <v>155117.9305232286</v>
      </c>
      <c r="O108" s="1539"/>
      <c r="P108" s="1539"/>
      <c r="Q108" s="1539"/>
      <c r="R108" s="1539"/>
      <c r="S108" s="1539"/>
      <c r="T108" s="1539"/>
      <c r="U108" s="1539"/>
      <c r="V108" s="1539"/>
      <c r="W108" s="1539"/>
      <c r="X108" s="1539"/>
      <c r="Y108" s="1539"/>
      <c r="Z108" s="1539"/>
      <c r="AA108" s="1539"/>
      <c r="AB108" s="1539"/>
      <c r="AC108" s="1539"/>
      <c r="AD108" s="1539"/>
      <c r="AE108" s="1539"/>
    </row>
    <row r="109" spans="7:31">
      <c r="G109" s="1063" t="s">
        <v>121</v>
      </c>
      <c r="H109" s="1063"/>
      <c r="I109" s="1447">
        <f>SUM(I106:I108)</f>
        <v>98907.954907605177</v>
      </c>
      <c r="J109" s="1311">
        <f>SUM(J106:J108)</f>
        <v>671894.77686003444</v>
      </c>
      <c r="K109" s="1311">
        <f>SUM(K106:K108)</f>
        <v>7490393.033740541</v>
      </c>
      <c r="L109" s="1311">
        <f>SUM(L106:L108)</f>
        <v>1142777.4083802553</v>
      </c>
      <c r="M109" s="1311">
        <f t="shared" ref="M109" si="6">SUM(M106:M108)</f>
        <v>2401723.0554120527</v>
      </c>
      <c r="N109" s="1311">
        <f t="shared" si="4"/>
        <v>11805696.229300488</v>
      </c>
      <c r="O109" s="1539"/>
      <c r="P109" s="1539"/>
      <c r="Q109" s="1539"/>
      <c r="R109" s="1539"/>
      <c r="S109" s="1539"/>
      <c r="T109" s="1539"/>
      <c r="U109" s="1539"/>
      <c r="V109" s="1539"/>
      <c r="W109" s="1539"/>
      <c r="X109" s="1539"/>
      <c r="Y109" s="1539"/>
      <c r="Z109" s="1539"/>
      <c r="AA109" s="1539"/>
      <c r="AB109" s="1539"/>
      <c r="AC109" s="1539"/>
      <c r="AD109" s="1539"/>
      <c r="AE109" s="1539"/>
    </row>
    <row r="110" spans="7:31">
      <c r="O110" s="1539"/>
      <c r="P110" s="1539"/>
      <c r="Q110" s="1539"/>
      <c r="R110" s="1539"/>
      <c r="S110" s="1539"/>
      <c r="T110" s="1539"/>
      <c r="U110" s="1539"/>
      <c r="V110" s="1539"/>
      <c r="W110" s="1539"/>
      <c r="X110" s="1539"/>
      <c r="Y110" s="1539"/>
      <c r="Z110" s="1539"/>
      <c r="AA110" s="1539"/>
      <c r="AB110" s="1539"/>
      <c r="AC110" s="1539"/>
      <c r="AD110" s="1539"/>
      <c r="AE110" s="1539"/>
    </row>
    <row r="111" spans="7:31">
      <c r="G111" s="1447" t="s">
        <v>825</v>
      </c>
      <c r="H111" s="1063"/>
      <c r="I111" s="1447" t="s">
        <v>364</v>
      </c>
      <c r="J111" s="1447" t="s">
        <v>365</v>
      </c>
      <c r="K111" s="1447" t="s">
        <v>366</v>
      </c>
      <c r="L111" s="1447" t="s">
        <v>367</v>
      </c>
      <c r="M111" s="1447" t="s">
        <v>368</v>
      </c>
      <c r="N111" s="1447" t="s">
        <v>121</v>
      </c>
      <c r="O111" s="1539"/>
      <c r="P111" s="1539"/>
      <c r="Q111" s="1539"/>
      <c r="R111" s="1539"/>
      <c r="S111" s="1539"/>
      <c r="T111" s="1539"/>
      <c r="U111" s="1539"/>
      <c r="V111" s="1539"/>
      <c r="W111" s="1539"/>
      <c r="X111" s="1539"/>
      <c r="Y111" s="1539"/>
      <c r="Z111" s="1539"/>
      <c r="AA111" s="1539"/>
      <c r="AB111" s="1539"/>
      <c r="AC111" s="1539"/>
      <c r="AD111" s="1539"/>
      <c r="AE111" s="1539"/>
    </row>
    <row r="112" spans="7:31">
      <c r="G112" s="1447"/>
      <c r="H112" s="1063"/>
      <c r="I112" s="1448">
        <v>2019</v>
      </c>
      <c r="J112" s="1448">
        <v>2020</v>
      </c>
      <c r="K112" s="1448">
        <v>2021</v>
      </c>
      <c r="L112" s="1448">
        <v>2022</v>
      </c>
      <c r="M112" s="1448">
        <v>2023</v>
      </c>
      <c r="O112" s="1539"/>
      <c r="P112" s="1539"/>
      <c r="Q112" s="1539"/>
      <c r="R112" s="1539"/>
      <c r="S112" s="1539"/>
      <c r="T112" s="1539"/>
      <c r="U112" s="1539"/>
      <c r="V112" s="1539"/>
      <c r="W112" s="1539"/>
      <c r="X112" s="1539"/>
      <c r="Y112" s="1539"/>
      <c r="Z112" s="1539"/>
      <c r="AA112" s="1539"/>
      <c r="AB112" s="1539"/>
      <c r="AC112" s="1539"/>
      <c r="AD112" s="1539"/>
      <c r="AE112" s="1539"/>
    </row>
    <row r="113" spans="7:31">
      <c r="G113" s="1447" t="s">
        <v>724</v>
      </c>
      <c r="H113" s="1063"/>
      <c r="I113" s="1447">
        <f>-'R1 FC'!F8</f>
        <v>1359859.3479073208</v>
      </c>
      <c r="J113" s="1447">
        <f>-'R1 FC'!G8</f>
        <v>423362.0777800596</v>
      </c>
      <c r="K113" s="1447">
        <f>-'R1 FC'!H8</f>
        <v>99278.617780059591</v>
      </c>
      <c r="L113" s="1447">
        <f>-'R1 FC'!I8</f>
        <v>14581.887780059598</v>
      </c>
      <c r="M113" s="1447">
        <f>-'R1 FC'!J8</f>
        <v>14581.887780059598</v>
      </c>
      <c r="N113" s="1311">
        <f>SUM(I113:M113)</f>
        <v>1911663.8190275591</v>
      </c>
      <c r="O113" s="1539"/>
      <c r="P113" s="1539"/>
      <c r="Q113" s="1539"/>
      <c r="R113" s="1539"/>
      <c r="S113" s="1539"/>
      <c r="T113" s="1539"/>
      <c r="U113" s="1539"/>
      <c r="V113" s="1539"/>
      <c r="W113" s="1539"/>
      <c r="X113" s="1539"/>
      <c r="Y113" s="1539"/>
      <c r="Z113" s="1539"/>
      <c r="AA113" s="1539"/>
      <c r="AB113" s="1539"/>
      <c r="AC113" s="1539"/>
      <c r="AD113" s="1539"/>
      <c r="AE113" s="1539"/>
    </row>
    <row r="114" spans="7:31">
      <c r="G114" s="1447" t="s">
        <v>726</v>
      </c>
      <c r="H114" s="1063"/>
      <c r="I114" s="1447">
        <f>-'R1 FC'!F9</f>
        <v>816</v>
      </c>
      <c r="J114" s="1447">
        <f>-'R1 FC'!G9</f>
        <v>4753466.1814534497</v>
      </c>
      <c r="K114" s="1447">
        <f>-'R1 FC'!H9</f>
        <v>595557.84756711626</v>
      </c>
      <c r="L114" s="1447">
        <f>-'R1 FC'!I9</f>
        <v>1665461.7728142848</v>
      </c>
      <c r="M114" s="1447">
        <f>-'R1 FC'!J9</f>
        <v>1144098.0717231876</v>
      </c>
      <c r="N114" s="1311">
        <f t="shared" ref="N114:N116" si="7">SUM(I114:M114)</f>
        <v>8159399.8735580379</v>
      </c>
      <c r="O114" s="1539"/>
      <c r="P114" s="1539"/>
      <c r="Q114" s="1539"/>
      <c r="R114" s="1539"/>
      <c r="S114" s="1539"/>
      <c r="T114" s="1539"/>
      <c r="U114" s="1539"/>
      <c r="V114" s="1539"/>
      <c r="W114" s="1539"/>
      <c r="X114" s="1539"/>
      <c r="Y114" s="1539"/>
      <c r="Z114" s="1539"/>
      <c r="AA114" s="1539"/>
      <c r="AB114" s="1539"/>
      <c r="AC114" s="1539"/>
      <c r="AD114" s="1539"/>
      <c r="AE114" s="1539"/>
    </row>
    <row r="115" spans="7:31">
      <c r="G115" s="1447" t="s">
        <v>805</v>
      </c>
      <c r="H115" s="1063"/>
      <c r="I115" s="1447">
        <f>-'R1 FC'!F10</f>
        <v>33061.865972076979</v>
      </c>
      <c r="J115" s="1447">
        <f>-'R1 FC'!G10</f>
        <v>33061.865972076979</v>
      </c>
      <c r="K115" s="1447">
        <f>-'R1 FC'!H10</f>
        <v>33061.865972076979</v>
      </c>
      <c r="L115" s="1447">
        <f>-'R1 FC'!I10</f>
        <v>33061.865972076979</v>
      </c>
      <c r="M115" s="1447">
        <f>-'R1 FC'!J10</f>
        <v>33061.865972076979</v>
      </c>
      <c r="N115" s="1311">
        <f t="shared" si="7"/>
        <v>165309.3298603849</v>
      </c>
      <c r="O115" s="1539"/>
      <c r="P115" s="1539"/>
      <c r="Q115" s="1539"/>
      <c r="R115" s="1539"/>
      <c r="S115" s="1539"/>
      <c r="T115" s="1539"/>
      <c r="U115" s="1539"/>
      <c r="V115" s="1539"/>
      <c r="W115" s="1539"/>
      <c r="X115" s="1539"/>
      <c r="Y115" s="1539"/>
      <c r="Z115" s="1539"/>
      <c r="AA115" s="1539"/>
      <c r="AB115" s="1539"/>
      <c r="AC115" s="1539"/>
      <c r="AD115" s="1539"/>
      <c r="AE115" s="1539"/>
    </row>
    <row r="116" spans="7:31">
      <c r="G116" s="1063" t="s">
        <v>121</v>
      </c>
      <c r="H116" s="1063"/>
      <c r="I116" s="1447">
        <f>SUM(I113:I115)</f>
        <v>1393737.2138793978</v>
      </c>
      <c r="J116" s="1447">
        <f>SUM(J113:J115)</f>
        <v>5209890.1252055857</v>
      </c>
      <c r="K116" s="1447">
        <f>SUM(K113:K115)</f>
        <v>727898.33131925284</v>
      </c>
      <c r="L116" s="1447">
        <f>SUM(L113:L115)</f>
        <v>1713105.5265664214</v>
      </c>
      <c r="M116" s="1447">
        <f t="shared" ref="M116" si="8">SUM(M113:M115)</f>
        <v>1191741.8254753242</v>
      </c>
      <c r="N116" s="1311">
        <f t="shared" si="7"/>
        <v>10236373.022445982</v>
      </c>
    </row>
    <row r="118" spans="7:31">
      <c r="G118" s="1447" t="s">
        <v>826</v>
      </c>
      <c r="H118" s="1063"/>
      <c r="I118" s="1447" t="s">
        <v>364</v>
      </c>
      <c r="J118" s="1447" t="s">
        <v>365</v>
      </c>
      <c r="K118" s="1447" t="s">
        <v>366</v>
      </c>
      <c r="L118" s="1447" t="s">
        <v>367</v>
      </c>
      <c r="M118" s="1447" t="s">
        <v>368</v>
      </c>
    </row>
    <row r="119" spans="7:31">
      <c r="G119" s="1447"/>
      <c r="H119" s="1063"/>
      <c r="I119" s="1448">
        <v>2019</v>
      </c>
      <c r="J119" s="1448">
        <v>2020</v>
      </c>
      <c r="K119" s="1448">
        <v>2021</v>
      </c>
      <c r="L119" s="1448">
        <v>2022</v>
      </c>
      <c r="M119" s="1448">
        <v>2023</v>
      </c>
    </row>
    <row r="120" spans="7:31">
      <c r="G120" s="1447" t="s">
        <v>724</v>
      </c>
      <c r="H120" s="1063"/>
      <c r="I120" s="1447">
        <f>I106-I113</f>
        <v>-1270607.4248031552</v>
      </c>
      <c r="J120" s="1447">
        <f>J106-J113</f>
        <v>-31099.737391258997</v>
      </c>
      <c r="K120" s="1447">
        <f>K106-K113</f>
        <v>2120238.7666745884</v>
      </c>
      <c r="L120" s="1447">
        <f>L106-L113</f>
        <v>84853.925736231118</v>
      </c>
      <c r="M120" s="1447">
        <f>M106-M113</f>
        <v>142049.00740315748</v>
      </c>
    </row>
    <row r="121" spans="7:31">
      <c r="G121" s="1447" t="s">
        <v>726</v>
      </c>
      <c r="H121" s="1063"/>
      <c r="I121" s="1447">
        <f t="shared" ref="I121" si="9">I107-I114</f>
        <v>3541.8256926448012</v>
      </c>
      <c r="J121" s="1447">
        <f t="shared" ref="J121:K123" si="10">J107-J114</f>
        <v>-4488692.1014939854</v>
      </c>
      <c r="K121" s="1447">
        <f t="shared" si="10"/>
        <v>4626052.3384238575</v>
      </c>
      <c r="L121" s="1447">
        <f t="shared" ref="L121:M121" si="11">L107-L114</f>
        <v>-642394.0963967595</v>
      </c>
      <c r="M121" s="1447">
        <f t="shared" si="11"/>
        <v>1035572.1023463428</v>
      </c>
    </row>
    <row r="122" spans="7:31">
      <c r="G122" s="1447" t="s">
        <v>805</v>
      </c>
      <c r="H122" s="1063"/>
      <c r="I122" s="1447">
        <f t="shared" ref="I122" si="12">I108-I115</f>
        <v>-27763.659861282289</v>
      </c>
      <c r="J122" s="1447">
        <f t="shared" si="10"/>
        <v>-18203.509460307225</v>
      </c>
      <c r="K122" s="1447">
        <f t="shared" si="10"/>
        <v>16203.597322842637</v>
      </c>
      <c r="L122" s="1447">
        <f t="shared" ref="L122:M122" si="13">L108-L115</f>
        <v>-12787.947525637624</v>
      </c>
      <c r="M122" s="1447">
        <f t="shared" si="13"/>
        <v>32360.120187228189</v>
      </c>
    </row>
    <row r="123" spans="7:31">
      <c r="G123" s="1063" t="s">
        <v>121</v>
      </c>
      <c r="H123" s="1063"/>
      <c r="I123" s="1447">
        <f t="shared" ref="I123" si="14">I109-I116</f>
        <v>-1294829.2589717926</v>
      </c>
      <c r="J123" s="1447">
        <f t="shared" si="10"/>
        <v>-4537995.3483455516</v>
      </c>
      <c r="K123" s="1447">
        <f t="shared" si="10"/>
        <v>6762494.702421288</v>
      </c>
      <c r="L123" s="1447">
        <f t="shared" ref="L123:M123" si="15">L109-L116</f>
        <v>-570328.11818616604</v>
      </c>
      <c r="M123" s="1447">
        <f t="shared" si="15"/>
        <v>1209981.2299367285</v>
      </c>
    </row>
  </sheetData>
  <mergeCells count="10">
    <mergeCell ref="L4:M4"/>
    <mergeCell ref="N4:O4"/>
    <mergeCell ref="P4:Q4"/>
    <mergeCell ref="R4:S4"/>
    <mergeCell ref="T4:U4"/>
    <mergeCell ref="L6:M6"/>
    <mergeCell ref="N6:O6"/>
    <mergeCell ref="P6:Q6"/>
    <mergeCell ref="R6:S6"/>
    <mergeCell ref="T6:U6"/>
  </mergeCells>
  <phoneticPr fontId="12" type="noConversion"/>
  <conditionalFormatting sqref="I18 K18 N18:Q18 S18:U18 W18:Y18 AA18 AC18:AE18 AG18 AI18:AJ18 AL18:AM18 AO18 AQ18">
    <cfRule type="cellIs" dxfId="22" priority="1" stopIfTrue="1" operator="equal">
      <formula>"N"</formula>
    </cfRule>
  </conditionalFormatting>
  <conditionalFormatting sqref="I21 K21 N21:Q21 S21:U21 W21:Y21 AA21 AC21:AE21 AG21 AI21:AJ21 AL21:AM21 AO21 AQ21">
    <cfRule type="cellIs" dxfId="21" priority="2" stopIfTrue="1" operator="equal">
      <formula>"N"</formula>
    </cfRule>
  </conditionalFormatting>
  <conditionalFormatting sqref="I25 K25 N25:Q25 S25:U25 W25:Y25 AA25 AC25:AE25 AG25 AI25:AJ25 AL25:AM25 AO25 AQ25">
    <cfRule type="cellIs" dxfId="20" priority="3" stopIfTrue="1" operator="equal">
      <formula>"N"</formula>
    </cfRule>
  </conditionalFormatting>
  <conditionalFormatting sqref="I30 K30 N30:Q30 S30:U30 W30:Y30 AA30 AC30:AE30 AG30 AI30:AJ30 AL30:AM30 AO30 AQ30">
    <cfRule type="cellIs" dxfId="19" priority="6" stopIfTrue="1" operator="equal">
      <formula>"N"</formula>
    </cfRule>
  </conditionalFormatting>
  <conditionalFormatting sqref="I38 K38 N38:Q38 S38:U38 W38:Y38 AA38 AC38:AE38 AG38 AI38:AJ38 AL38:AM38 AO38 AQ38">
    <cfRule type="cellIs" dxfId="18" priority="4" stopIfTrue="1" operator="equal">
      <formula>"N"</formula>
    </cfRule>
  </conditionalFormatting>
  <conditionalFormatting sqref="I46 K46 N46:Q46 S46:U46 W46:Y46 AA46 AC46:AE46 AG46 AI46:AJ46 AL46:AM46 AO46 AQ46">
    <cfRule type="cellIs" dxfId="17" priority="5" stopIfTrue="1" operator="equal">
      <formula>"N"</formula>
    </cfRule>
  </conditionalFormatting>
  <conditionalFormatting sqref="I33:M33">
    <cfRule type="cellIs" dxfId="16" priority="8" stopIfTrue="1" operator="equal">
      <formula>"N"</formula>
    </cfRule>
  </conditionalFormatting>
  <conditionalFormatting sqref="I5:AP5 I6:L6 N6 P6 R6 T6:T7 V6:AQ7 I7:S7 U7 I10:AQ17 I19:AQ19 I24:AQ24 I27:AQ29 I45:AQ45 AQ55 I55:T57 U55:AP58 I58:L58 N58:T58 V60:AQ61 I60:U63 V62:AP63 N64 P64 R64 T64 I64:L65 V64:AQ70 N65:U65 I66:U70">
    <cfRule type="cellIs" dxfId="15" priority="9" stopIfTrue="1" operator="equal">
      <formula>"N"</formula>
    </cfRule>
  </conditionalFormatting>
  <conditionalFormatting sqref="I20:AP20 V49:AQ51 I49:U53 V52:AP53 I75 K75 N75:Q75 T75 W75:Y75 AA75 AC75:AE75 AG75 AI75:AJ75 AL75:AM75 AO75 AQ75">
    <cfRule type="cellIs" dxfId="14" priority="7" stopIfTrue="1" operator="equal">
      <formula>"N"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5CFCD-EBA6-41C3-A202-B3398CDEF2D6}">
  <sheetPr>
    <tabColor rgb="FFFFFF00"/>
  </sheetPr>
  <dimension ref="B3:H40"/>
  <sheetViews>
    <sheetView showGridLines="0" zoomScaleNormal="100" workbookViewId="0">
      <selection activeCell="C21" sqref="C21"/>
    </sheetView>
  </sheetViews>
  <sheetFormatPr defaultRowHeight="12.75"/>
  <cols>
    <col min="1" max="1" width="2.42578125" customWidth="1"/>
    <col min="3" max="3" width="46.85546875" customWidth="1"/>
    <col min="4" max="4" width="23" bestFit="1" customWidth="1"/>
    <col min="5" max="5" width="17.42578125" customWidth="1"/>
    <col min="6" max="6" width="21.140625" customWidth="1"/>
    <col min="7" max="7" width="16.140625" customWidth="1"/>
    <col min="8" max="8" width="15.7109375" customWidth="1"/>
  </cols>
  <sheetData>
    <row r="3" spans="2:8" ht="36" customHeight="1">
      <c r="B3" s="1563" t="s">
        <v>656</v>
      </c>
      <c r="C3" s="1563"/>
      <c r="D3" s="1203" t="s">
        <v>848</v>
      </c>
      <c r="E3" s="1202" t="s">
        <v>667</v>
      </c>
      <c r="F3" s="1203" t="s">
        <v>865</v>
      </c>
      <c r="G3" s="1203" t="s">
        <v>659</v>
      </c>
      <c r="H3" s="1203" t="s">
        <v>829</v>
      </c>
    </row>
    <row r="4" spans="2:8" ht="39" customHeight="1">
      <c r="B4" s="1189" t="s">
        <v>668</v>
      </c>
      <c r="C4" s="1189" t="s">
        <v>657</v>
      </c>
      <c r="D4" s="1189" t="s">
        <v>658</v>
      </c>
      <c r="E4" s="1189" t="s">
        <v>674</v>
      </c>
      <c r="F4" s="1465">
        <f>'E1 R2 deseq'!C56</f>
        <v>0.12012842658716449</v>
      </c>
      <c r="G4" s="1240">
        <f>'E1 R2 deseq'!C60</f>
        <v>-1.7157341283551009E-4</v>
      </c>
      <c r="H4" s="1201">
        <f>'E1 R2 reeq'!D3</f>
        <v>8.9999999999999998E-4</v>
      </c>
    </row>
    <row r="5" spans="2:8" ht="13.15" customHeight="1">
      <c r="B5" s="1560" t="s">
        <v>669</v>
      </c>
      <c r="C5" s="1557" t="s">
        <v>660</v>
      </c>
      <c r="D5" s="1191" t="s">
        <v>662</v>
      </c>
      <c r="E5" s="1191" t="s">
        <v>676</v>
      </c>
      <c r="F5" s="1558">
        <f>'E2 R2 deseq'!C57</f>
        <v>0.11515488841697064</v>
      </c>
      <c r="G5" s="1555">
        <f>'E2 R2 deseq'!C61</f>
        <v>-5.1451115830293687E-3</v>
      </c>
      <c r="H5" s="1555">
        <f>'E2 R2 reeq'!D3</f>
        <v>2.5000000000000001E-2</v>
      </c>
    </row>
    <row r="6" spans="2:8" ht="13.15" customHeight="1">
      <c r="B6" s="1560"/>
      <c r="C6" s="1557"/>
      <c r="D6" s="1191" t="s">
        <v>663</v>
      </c>
      <c r="E6" s="1191" t="s">
        <v>676</v>
      </c>
      <c r="F6" s="1561"/>
      <c r="G6" s="1562"/>
      <c r="H6" s="1562"/>
    </row>
    <row r="7" spans="2:8" ht="13.15" customHeight="1">
      <c r="B7" s="1560"/>
      <c r="C7" s="1557"/>
      <c r="D7" s="1191" t="s">
        <v>664</v>
      </c>
      <c r="E7" s="1191" t="s">
        <v>370</v>
      </c>
      <c r="F7" s="1559"/>
      <c r="G7" s="1556"/>
      <c r="H7" s="1556"/>
    </row>
    <row r="8" spans="2:8" ht="13.15" customHeight="1">
      <c r="B8" s="1560" t="s">
        <v>670</v>
      </c>
      <c r="C8" s="1557" t="s">
        <v>661</v>
      </c>
      <c r="D8" s="1191" t="s">
        <v>662</v>
      </c>
      <c r="E8" s="1191" t="s">
        <v>675</v>
      </c>
      <c r="F8" s="1558">
        <f>'E3 R2 deseq'!C58</f>
        <v>0.10937236604475409</v>
      </c>
      <c r="G8" s="1555">
        <f>'E3 R2 deseq'!C62</f>
        <v>-1.0927633955245916E-2</v>
      </c>
      <c r="H8" s="1555">
        <f>'E3 R2 reeq'!D3</f>
        <v>5.5800000000000002E-2</v>
      </c>
    </row>
    <row r="9" spans="2:8" ht="13.15" customHeight="1">
      <c r="B9" s="1560"/>
      <c r="C9" s="1557"/>
      <c r="D9" s="1191" t="s">
        <v>663</v>
      </c>
      <c r="E9" s="1191" t="s">
        <v>675</v>
      </c>
      <c r="F9" s="1561"/>
      <c r="G9" s="1562"/>
      <c r="H9" s="1562"/>
    </row>
    <row r="10" spans="2:8" ht="13.15" customHeight="1">
      <c r="B10" s="1560"/>
      <c r="C10" s="1557"/>
      <c r="D10" s="1191" t="s">
        <v>664</v>
      </c>
      <c r="E10" s="1191" t="s">
        <v>369</v>
      </c>
      <c r="F10" s="1559"/>
      <c r="G10" s="1556"/>
      <c r="H10" s="1556"/>
    </row>
    <row r="11" spans="2:8" ht="30" customHeight="1">
      <c r="B11" s="1557" t="s">
        <v>671</v>
      </c>
      <c r="C11" s="1557" t="s">
        <v>937</v>
      </c>
      <c r="D11" s="1189" t="s">
        <v>664</v>
      </c>
      <c r="E11" s="1189" t="s">
        <v>366</v>
      </c>
      <c r="F11" s="1558">
        <f>'E4 R2 deseq'!C57</f>
        <v>0.11854545654127868</v>
      </c>
      <c r="G11" s="1555">
        <f>'E4 R2 deseq'!C61</f>
        <v>-1.7545434587213221E-3</v>
      </c>
      <c r="H11" s="1555">
        <f>'E4 R2 reeq'!D3</f>
        <v>8.6999999999999994E-3</v>
      </c>
    </row>
    <row r="12" spans="2:8" ht="38.450000000000003" customHeight="1">
      <c r="B12" s="1557"/>
      <c r="C12" s="1557"/>
      <c r="D12" s="1189" t="s">
        <v>665</v>
      </c>
      <c r="E12" s="1189" t="s">
        <v>678</v>
      </c>
      <c r="F12" s="1559"/>
      <c r="G12" s="1556"/>
      <c r="H12" s="1556"/>
    </row>
    <row r="13" spans="2:8" ht="39" customHeight="1">
      <c r="B13" s="1190" t="s">
        <v>672</v>
      </c>
      <c r="C13" s="1190" t="s">
        <v>666</v>
      </c>
      <c r="D13" s="1189" t="s">
        <v>664</v>
      </c>
      <c r="E13" s="1189" t="s">
        <v>677</v>
      </c>
      <c r="F13" s="1465">
        <f>'E5 R2 deseq'!C56</f>
        <v>9.9150695240969311E-2</v>
      </c>
      <c r="G13" s="1240">
        <f>'E5 R2 deseq'!C60</f>
        <v>-2.1149304759030693E-2</v>
      </c>
      <c r="H13" s="1240">
        <f>'E5 R2 reeq'!D3</f>
        <v>0.11341438423726441</v>
      </c>
    </row>
    <row r="14" spans="2:8" ht="63.75">
      <c r="B14" s="1190" t="s">
        <v>673</v>
      </c>
      <c r="C14" s="1190" t="s">
        <v>808</v>
      </c>
      <c r="D14" s="1189" t="s">
        <v>662</v>
      </c>
      <c r="E14" s="1189" t="s">
        <v>942</v>
      </c>
      <c r="F14" s="1465">
        <f>'E6 R2 deseq'!C56</f>
        <v>0.11747112411561234</v>
      </c>
      <c r="G14" s="1240">
        <f>'E6 R2 deseq'!C60</f>
        <v>-2.8288758843876688E-3</v>
      </c>
      <c r="H14" s="1240">
        <f>'E6 R2 reeq'!D3</f>
        <v>1.37E-2</v>
      </c>
    </row>
    <row r="15" spans="2:8">
      <c r="B15" s="1560" t="s">
        <v>885</v>
      </c>
      <c r="C15" s="1557" t="s">
        <v>886</v>
      </c>
      <c r="D15" s="1191" t="s">
        <v>662</v>
      </c>
      <c r="E15" s="1191" t="s">
        <v>936</v>
      </c>
      <c r="F15" s="1558">
        <f>'E7 R2 deseq'!C56</f>
        <v>0.14279155971808333</v>
      </c>
      <c r="G15" s="1555">
        <f>'E7 R2 deseq'!C60</f>
        <v>2.2491559718083323E-2</v>
      </c>
      <c r="H15" s="1555">
        <f>'E7 R2 reeq'!D3</f>
        <v>-9.4500000000000001E-2</v>
      </c>
    </row>
    <row r="16" spans="2:8">
      <c r="B16" s="1560"/>
      <c r="C16" s="1557"/>
      <c r="D16" s="1191" t="s">
        <v>663</v>
      </c>
      <c r="E16" s="1191" t="s">
        <v>936</v>
      </c>
      <c r="F16" s="1561"/>
      <c r="G16" s="1562"/>
      <c r="H16" s="1562"/>
    </row>
    <row r="17" spans="2:8">
      <c r="B17" s="1560"/>
      <c r="C17" s="1557"/>
      <c r="D17" s="1191" t="s">
        <v>664</v>
      </c>
      <c r="E17" s="1191" t="s">
        <v>936</v>
      </c>
      <c r="F17" s="1559"/>
      <c r="G17" s="1556"/>
      <c r="H17" s="1556"/>
    </row>
    <row r="18" spans="2:8" ht="39" customHeight="1">
      <c r="B18" s="1552" t="s">
        <v>872</v>
      </c>
      <c r="C18" s="1553"/>
      <c r="D18" s="1553"/>
      <c r="E18" s="1554"/>
      <c r="F18" s="1466">
        <f>'COMB A R2 deseq'!C56</f>
        <v>9.4247426462054085E-2</v>
      </c>
      <c r="G18" s="1240">
        <f>'COMB A R2 deseq'!C60</f>
        <v>-2.6052573537945919E-2</v>
      </c>
      <c r="H18" s="1240">
        <f>'COMB A R2 reeq'!D3</f>
        <v>0.13369266773710084</v>
      </c>
    </row>
    <row r="21" spans="2:8">
      <c r="G21" s="1187"/>
    </row>
    <row r="23" spans="2:8">
      <c r="G23" s="1187"/>
      <c r="H23" s="1187"/>
    </row>
    <row r="24" spans="2:8">
      <c r="H24" s="1241"/>
    </row>
    <row r="25" spans="2:8">
      <c r="G25" s="1187"/>
      <c r="H25" s="1241"/>
    </row>
    <row r="26" spans="2:8">
      <c r="H26" s="1241"/>
    </row>
    <row r="27" spans="2:8">
      <c r="G27" s="1187"/>
      <c r="H27" s="1241"/>
    </row>
    <row r="29" spans="2:8">
      <c r="G29" s="1187"/>
    </row>
    <row r="36" spans="7:8">
      <c r="G36" s="1187"/>
      <c r="H36" s="1187"/>
    </row>
    <row r="38" spans="7:8">
      <c r="G38" s="1187"/>
      <c r="H38" s="1187"/>
    </row>
    <row r="40" spans="7:8">
      <c r="G40" s="1187"/>
      <c r="H40" s="1187"/>
    </row>
  </sheetData>
  <mergeCells count="22">
    <mergeCell ref="B3:C3"/>
    <mergeCell ref="G5:G7"/>
    <mergeCell ref="H5:H7"/>
    <mergeCell ref="G8:G10"/>
    <mergeCell ref="H8:H10"/>
    <mergeCell ref="C5:C7"/>
    <mergeCell ref="C8:C10"/>
    <mergeCell ref="B5:B7"/>
    <mergeCell ref="B8:B10"/>
    <mergeCell ref="F5:F7"/>
    <mergeCell ref="F8:F10"/>
    <mergeCell ref="B18:E18"/>
    <mergeCell ref="G11:G12"/>
    <mergeCell ref="H11:H12"/>
    <mergeCell ref="C11:C12"/>
    <mergeCell ref="B11:B12"/>
    <mergeCell ref="F11:F12"/>
    <mergeCell ref="B15:B17"/>
    <mergeCell ref="C15:C17"/>
    <mergeCell ref="F15:F17"/>
    <mergeCell ref="G15:G17"/>
    <mergeCell ref="H15:H17"/>
  </mergeCells>
  <phoneticPr fontId="12" type="noConversion"/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12407-8F06-49CF-A7EF-BB76C837C22C}">
  <sheetPr>
    <tabColor theme="5"/>
    <pageSetUpPr fitToPage="1"/>
  </sheetPr>
  <dimension ref="A1:AL371"/>
  <sheetViews>
    <sheetView workbookViewId="0">
      <selection activeCell="D7" sqref="D7"/>
    </sheetView>
  </sheetViews>
  <sheetFormatPr defaultRowHeight="12.75"/>
  <cols>
    <col min="1" max="1" width="14" style="13" bestFit="1" customWidth="1"/>
    <col min="2" max="2" width="14.85546875" style="13" customWidth="1"/>
    <col min="3" max="3" width="8.85546875" style="13"/>
    <col min="4" max="4" width="10.42578125" style="13" customWidth="1"/>
    <col min="5" max="5" width="9.140625" style="13" customWidth="1"/>
    <col min="6" max="33" width="8.85546875" style="13"/>
    <col min="34" max="34" width="11" style="13" customWidth="1"/>
    <col min="35" max="256" width="8.85546875" style="13"/>
    <col min="257" max="257" width="14" style="13" bestFit="1" customWidth="1"/>
    <col min="258" max="258" width="14.85546875" style="13" customWidth="1"/>
    <col min="259" max="260" width="8.85546875" style="13"/>
    <col min="261" max="261" width="9.140625" style="13" customWidth="1"/>
    <col min="262" max="289" width="8.85546875" style="13"/>
    <col min="290" max="290" width="11" style="13" customWidth="1"/>
    <col min="291" max="512" width="8.85546875" style="13"/>
    <col min="513" max="513" width="14" style="13" bestFit="1" customWidth="1"/>
    <col min="514" max="514" width="14.85546875" style="13" customWidth="1"/>
    <col min="515" max="516" width="8.85546875" style="13"/>
    <col min="517" max="517" width="9.140625" style="13" customWidth="1"/>
    <col min="518" max="545" width="8.85546875" style="13"/>
    <col min="546" max="546" width="11" style="13" customWidth="1"/>
    <col min="547" max="768" width="8.85546875" style="13"/>
    <col min="769" max="769" width="14" style="13" bestFit="1" customWidth="1"/>
    <col min="770" max="770" width="14.85546875" style="13" customWidth="1"/>
    <col min="771" max="772" width="8.85546875" style="13"/>
    <col min="773" max="773" width="9.140625" style="13" customWidth="1"/>
    <col min="774" max="801" width="8.85546875" style="13"/>
    <col min="802" max="802" width="11" style="13" customWidth="1"/>
    <col min="803" max="1024" width="8.85546875" style="13"/>
    <col min="1025" max="1025" width="14" style="13" bestFit="1" customWidth="1"/>
    <col min="1026" max="1026" width="14.85546875" style="13" customWidth="1"/>
    <col min="1027" max="1028" width="8.85546875" style="13"/>
    <col min="1029" max="1029" width="9.140625" style="13" customWidth="1"/>
    <col min="1030" max="1057" width="8.85546875" style="13"/>
    <col min="1058" max="1058" width="11" style="13" customWidth="1"/>
    <col min="1059" max="1280" width="8.85546875" style="13"/>
    <col min="1281" max="1281" width="14" style="13" bestFit="1" customWidth="1"/>
    <col min="1282" max="1282" width="14.85546875" style="13" customWidth="1"/>
    <col min="1283" max="1284" width="8.85546875" style="13"/>
    <col min="1285" max="1285" width="9.140625" style="13" customWidth="1"/>
    <col min="1286" max="1313" width="8.85546875" style="13"/>
    <col min="1314" max="1314" width="11" style="13" customWidth="1"/>
    <col min="1315" max="1536" width="8.85546875" style="13"/>
    <col min="1537" max="1537" width="14" style="13" bestFit="1" customWidth="1"/>
    <col min="1538" max="1538" width="14.85546875" style="13" customWidth="1"/>
    <col min="1539" max="1540" width="8.85546875" style="13"/>
    <col min="1541" max="1541" width="9.140625" style="13" customWidth="1"/>
    <col min="1542" max="1569" width="8.85546875" style="13"/>
    <col min="1570" max="1570" width="11" style="13" customWidth="1"/>
    <col min="1571" max="1792" width="8.85546875" style="13"/>
    <col min="1793" max="1793" width="14" style="13" bestFit="1" customWidth="1"/>
    <col min="1794" max="1794" width="14.85546875" style="13" customWidth="1"/>
    <col min="1795" max="1796" width="8.85546875" style="13"/>
    <col min="1797" max="1797" width="9.140625" style="13" customWidth="1"/>
    <col min="1798" max="1825" width="8.85546875" style="13"/>
    <col min="1826" max="1826" width="11" style="13" customWidth="1"/>
    <col min="1827" max="2048" width="8.85546875" style="13"/>
    <col min="2049" max="2049" width="14" style="13" bestFit="1" customWidth="1"/>
    <col min="2050" max="2050" width="14.85546875" style="13" customWidth="1"/>
    <col min="2051" max="2052" width="8.85546875" style="13"/>
    <col min="2053" max="2053" width="9.140625" style="13" customWidth="1"/>
    <col min="2054" max="2081" width="8.85546875" style="13"/>
    <col min="2082" max="2082" width="11" style="13" customWidth="1"/>
    <col min="2083" max="2304" width="8.85546875" style="13"/>
    <col min="2305" max="2305" width="14" style="13" bestFit="1" customWidth="1"/>
    <col min="2306" max="2306" width="14.85546875" style="13" customWidth="1"/>
    <col min="2307" max="2308" width="8.85546875" style="13"/>
    <col min="2309" max="2309" width="9.140625" style="13" customWidth="1"/>
    <col min="2310" max="2337" width="8.85546875" style="13"/>
    <col min="2338" max="2338" width="11" style="13" customWidth="1"/>
    <col min="2339" max="2560" width="8.85546875" style="13"/>
    <col min="2561" max="2561" width="14" style="13" bestFit="1" customWidth="1"/>
    <col min="2562" max="2562" width="14.85546875" style="13" customWidth="1"/>
    <col min="2563" max="2564" width="8.85546875" style="13"/>
    <col min="2565" max="2565" width="9.140625" style="13" customWidth="1"/>
    <col min="2566" max="2593" width="8.85546875" style="13"/>
    <col min="2594" max="2594" width="11" style="13" customWidth="1"/>
    <col min="2595" max="2816" width="8.85546875" style="13"/>
    <col min="2817" max="2817" width="14" style="13" bestFit="1" customWidth="1"/>
    <col min="2818" max="2818" width="14.85546875" style="13" customWidth="1"/>
    <col min="2819" max="2820" width="8.85546875" style="13"/>
    <col min="2821" max="2821" width="9.140625" style="13" customWidth="1"/>
    <col min="2822" max="2849" width="8.85546875" style="13"/>
    <col min="2850" max="2850" width="11" style="13" customWidth="1"/>
    <col min="2851" max="3072" width="8.85546875" style="13"/>
    <col min="3073" max="3073" width="14" style="13" bestFit="1" customWidth="1"/>
    <col min="3074" max="3074" width="14.85546875" style="13" customWidth="1"/>
    <col min="3075" max="3076" width="8.85546875" style="13"/>
    <col min="3077" max="3077" width="9.140625" style="13" customWidth="1"/>
    <col min="3078" max="3105" width="8.85546875" style="13"/>
    <col min="3106" max="3106" width="11" style="13" customWidth="1"/>
    <col min="3107" max="3328" width="8.85546875" style="13"/>
    <col min="3329" max="3329" width="14" style="13" bestFit="1" customWidth="1"/>
    <col min="3330" max="3330" width="14.85546875" style="13" customWidth="1"/>
    <col min="3331" max="3332" width="8.85546875" style="13"/>
    <col min="3333" max="3333" width="9.140625" style="13" customWidth="1"/>
    <col min="3334" max="3361" width="8.85546875" style="13"/>
    <col min="3362" max="3362" width="11" style="13" customWidth="1"/>
    <col min="3363" max="3584" width="8.85546875" style="13"/>
    <col min="3585" max="3585" width="14" style="13" bestFit="1" customWidth="1"/>
    <col min="3586" max="3586" width="14.85546875" style="13" customWidth="1"/>
    <col min="3587" max="3588" width="8.85546875" style="13"/>
    <col min="3589" max="3589" width="9.140625" style="13" customWidth="1"/>
    <col min="3590" max="3617" width="8.85546875" style="13"/>
    <col min="3618" max="3618" width="11" style="13" customWidth="1"/>
    <col min="3619" max="3840" width="8.85546875" style="13"/>
    <col min="3841" max="3841" width="14" style="13" bestFit="1" customWidth="1"/>
    <col min="3842" max="3842" width="14.85546875" style="13" customWidth="1"/>
    <col min="3843" max="3844" width="8.85546875" style="13"/>
    <col min="3845" max="3845" width="9.140625" style="13" customWidth="1"/>
    <col min="3846" max="3873" width="8.85546875" style="13"/>
    <col min="3874" max="3874" width="11" style="13" customWidth="1"/>
    <col min="3875" max="4096" width="8.85546875" style="13"/>
    <col min="4097" max="4097" width="14" style="13" bestFit="1" customWidth="1"/>
    <col min="4098" max="4098" width="14.85546875" style="13" customWidth="1"/>
    <col min="4099" max="4100" width="8.85546875" style="13"/>
    <col min="4101" max="4101" width="9.140625" style="13" customWidth="1"/>
    <col min="4102" max="4129" width="8.85546875" style="13"/>
    <col min="4130" max="4130" width="11" style="13" customWidth="1"/>
    <col min="4131" max="4352" width="8.85546875" style="13"/>
    <col min="4353" max="4353" width="14" style="13" bestFit="1" customWidth="1"/>
    <col min="4354" max="4354" width="14.85546875" style="13" customWidth="1"/>
    <col min="4355" max="4356" width="8.85546875" style="13"/>
    <col min="4357" max="4357" width="9.140625" style="13" customWidth="1"/>
    <col min="4358" max="4385" width="8.85546875" style="13"/>
    <col min="4386" max="4386" width="11" style="13" customWidth="1"/>
    <col min="4387" max="4608" width="8.85546875" style="13"/>
    <col min="4609" max="4609" width="14" style="13" bestFit="1" customWidth="1"/>
    <col min="4610" max="4610" width="14.85546875" style="13" customWidth="1"/>
    <col min="4611" max="4612" width="8.85546875" style="13"/>
    <col min="4613" max="4613" width="9.140625" style="13" customWidth="1"/>
    <col min="4614" max="4641" width="8.85546875" style="13"/>
    <col min="4642" max="4642" width="11" style="13" customWidth="1"/>
    <col min="4643" max="4864" width="8.85546875" style="13"/>
    <col min="4865" max="4865" width="14" style="13" bestFit="1" customWidth="1"/>
    <col min="4866" max="4866" width="14.85546875" style="13" customWidth="1"/>
    <col min="4867" max="4868" width="8.85546875" style="13"/>
    <col min="4869" max="4869" width="9.140625" style="13" customWidth="1"/>
    <col min="4870" max="4897" width="8.85546875" style="13"/>
    <col min="4898" max="4898" width="11" style="13" customWidth="1"/>
    <col min="4899" max="5120" width="8.85546875" style="13"/>
    <col min="5121" max="5121" width="14" style="13" bestFit="1" customWidth="1"/>
    <col min="5122" max="5122" width="14.85546875" style="13" customWidth="1"/>
    <col min="5123" max="5124" width="8.85546875" style="13"/>
    <col min="5125" max="5125" width="9.140625" style="13" customWidth="1"/>
    <col min="5126" max="5153" width="8.85546875" style="13"/>
    <col min="5154" max="5154" width="11" style="13" customWidth="1"/>
    <col min="5155" max="5376" width="8.85546875" style="13"/>
    <col min="5377" max="5377" width="14" style="13" bestFit="1" customWidth="1"/>
    <col min="5378" max="5378" width="14.85546875" style="13" customWidth="1"/>
    <col min="5379" max="5380" width="8.85546875" style="13"/>
    <col min="5381" max="5381" width="9.140625" style="13" customWidth="1"/>
    <col min="5382" max="5409" width="8.85546875" style="13"/>
    <col min="5410" max="5410" width="11" style="13" customWidth="1"/>
    <col min="5411" max="5632" width="8.85546875" style="13"/>
    <col min="5633" max="5633" width="14" style="13" bestFit="1" customWidth="1"/>
    <col min="5634" max="5634" width="14.85546875" style="13" customWidth="1"/>
    <col min="5635" max="5636" width="8.85546875" style="13"/>
    <col min="5637" max="5637" width="9.140625" style="13" customWidth="1"/>
    <col min="5638" max="5665" width="8.85546875" style="13"/>
    <col min="5666" max="5666" width="11" style="13" customWidth="1"/>
    <col min="5667" max="5888" width="8.85546875" style="13"/>
    <col min="5889" max="5889" width="14" style="13" bestFit="1" customWidth="1"/>
    <col min="5890" max="5890" width="14.85546875" style="13" customWidth="1"/>
    <col min="5891" max="5892" width="8.85546875" style="13"/>
    <col min="5893" max="5893" width="9.140625" style="13" customWidth="1"/>
    <col min="5894" max="5921" width="8.85546875" style="13"/>
    <col min="5922" max="5922" width="11" style="13" customWidth="1"/>
    <col min="5923" max="6144" width="8.85546875" style="13"/>
    <col min="6145" max="6145" width="14" style="13" bestFit="1" customWidth="1"/>
    <col min="6146" max="6146" width="14.85546875" style="13" customWidth="1"/>
    <col min="6147" max="6148" width="8.85546875" style="13"/>
    <col min="6149" max="6149" width="9.140625" style="13" customWidth="1"/>
    <col min="6150" max="6177" width="8.85546875" style="13"/>
    <col min="6178" max="6178" width="11" style="13" customWidth="1"/>
    <col min="6179" max="6400" width="8.85546875" style="13"/>
    <col min="6401" max="6401" width="14" style="13" bestFit="1" customWidth="1"/>
    <col min="6402" max="6402" width="14.85546875" style="13" customWidth="1"/>
    <col min="6403" max="6404" width="8.85546875" style="13"/>
    <col min="6405" max="6405" width="9.140625" style="13" customWidth="1"/>
    <col min="6406" max="6433" width="8.85546875" style="13"/>
    <col min="6434" max="6434" width="11" style="13" customWidth="1"/>
    <col min="6435" max="6656" width="8.85546875" style="13"/>
    <col min="6657" max="6657" width="14" style="13" bestFit="1" customWidth="1"/>
    <col min="6658" max="6658" width="14.85546875" style="13" customWidth="1"/>
    <col min="6659" max="6660" width="8.85546875" style="13"/>
    <col min="6661" max="6661" width="9.140625" style="13" customWidth="1"/>
    <col min="6662" max="6689" width="8.85546875" style="13"/>
    <col min="6690" max="6690" width="11" style="13" customWidth="1"/>
    <col min="6691" max="6912" width="8.85546875" style="13"/>
    <col min="6913" max="6913" width="14" style="13" bestFit="1" customWidth="1"/>
    <col min="6914" max="6914" width="14.85546875" style="13" customWidth="1"/>
    <col min="6915" max="6916" width="8.85546875" style="13"/>
    <col min="6917" max="6917" width="9.140625" style="13" customWidth="1"/>
    <col min="6918" max="6945" width="8.85546875" style="13"/>
    <col min="6946" max="6946" width="11" style="13" customWidth="1"/>
    <col min="6947" max="7168" width="8.85546875" style="13"/>
    <col min="7169" max="7169" width="14" style="13" bestFit="1" customWidth="1"/>
    <col min="7170" max="7170" width="14.85546875" style="13" customWidth="1"/>
    <col min="7171" max="7172" width="8.85546875" style="13"/>
    <col min="7173" max="7173" width="9.140625" style="13" customWidth="1"/>
    <col min="7174" max="7201" width="8.85546875" style="13"/>
    <col min="7202" max="7202" width="11" style="13" customWidth="1"/>
    <col min="7203" max="7424" width="8.85546875" style="13"/>
    <col min="7425" max="7425" width="14" style="13" bestFit="1" customWidth="1"/>
    <col min="7426" max="7426" width="14.85546875" style="13" customWidth="1"/>
    <col min="7427" max="7428" width="8.85546875" style="13"/>
    <col min="7429" max="7429" width="9.140625" style="13" customWidth="1"/>
    <col min="7430" max="7457" width="8.85546875" style="13"/>
    <col min="7458" max="7458" width="11" style="13" customWidth="1"/>
    <col min="7459" max="7680" width="8.85546875" style="13"/>
    <col min="7681" max="7681" width="14" style="13" bestFit="1" customWidth="1"/>
    <col min="7682" max="7682" width="14.85546875" style="13" customWidth="1"/>
    <col min="7683" max="7684" width="8.85546875" style="13"/>
    <col min="7685" max="7685" width="9.140625" style="13" customWidth="1"/>
    <col min="7686" max="7713" width="8.85546875" style="13"/>
    <col min="7714" max="7714" width="11" style="13" customWidth="1"/>
    <col min="7715" max="7936" width="8.85546875" style="13"/>
    <col min="7937" max="7937" width="14" style="13" bestFit="1" customWidth="1"/>
    <col min="7938" max="7938" width="14.85546875" style="13" customWidth="1"/>
    <col min="7939" max="7940" width="8.85546875" style="13"/>
    <col min="7941" max="7941" width="9.140625" style="13" customWidth="1"/>
    <col min="7942" max="7969" width="8.85546875" style="13"/>
    <col min="7970" max="7970" width="11" style="13" customWidth="1"/>
    <col min="7971" max="8192" width="8.85546875" style="13"/>
    <col min="8193" max="8193" width="14" style="13" bestFit="1" customWidth="1"/>
    <col min="8194" max="8194" width="14.85546875" style="13" customWidth="1"/>
    <col min="8195" max="8196" width="8.85546875" style="13"/>
    <col min="8197" max="8197" width="9.140625" style="13" customWidth="1"/>
    <col min="8198" max="8225" width="8.85546875" style="13"/>
    <col min="8226" max="8226" width="11" style="13" customWidth="1"/>
    <col min="8227" max="8448" width="8.85546875" style="13"/>
    <col min="8449" max="8449" width="14" style="13" bestFit="1" customWidth="1"/>
    <col min="8450" max="8450" width="14.85546875" style="13" customWidth="1"/>
    <col min="8451" max="8452" width="8.85546875" style="13"/>
    <col min="8453" max="8453" width="9.140625" style="13" customWidth="1"/>
    <col min="8454" max="8481" width="8.85546875" style="13"/>
    <col min="8482" max="8482" width="11" style="13" customWidth="1"/>
    <col min="8483" max="8704" width="8.85546875" style="13"/>
    <col min="8705" max="8705" width="14" style="13" bestFit="1" customWidth="1"/>
    <col min="8706" max="8706" width="14.85546875" style="13" customWidth="1"/>
    <col min="8707" max="8708" width="8.85546875" style="13"/>
    <col min="8709" max="8709" width="9.140625" style="13" customWidth="1"/>
    <col min="8710" max="8737" width="8.85546875" style="13"/>
    <col min="8738" max="8738" width="11" style="13" customWidth="1"/>
    <col min="8739" max="8960" width="8.85546875" style="13"/>
    <col min="8961" max="8961" width="14" style="13" bestFit="1" customWidth="1"/>
    <col min="8962" max="8962" width="14.85546875" style="13" customWidth="1"/>
    <col min="8963" max="8964" width="8.85546875" style="13"/>
    <col min="8965" max="8965" width="9.140625" style="13" customWidth="1"/>
    <col min="8966" max="8993" width="8.85546875" style="13"/>
    <col min="8994" max="8994" width="11" style="13" customWidth="1"/>
    <col min="8995" max="9216" width="8.85546875" style="13"/>
    <col min="9217" max="9217" width="14" style="13" bestFit="1" customWidth="1"/>
    <col min="9218" max="9218" width="14.85546875" style="13" customWidth="1"/>
    <col min="9219" max="9220" width="8.85546875" style="13"/>
    <col min="9221" max="9221" width="9.140625" style="13" customWidth="1"/>
    <col min="9222" max="9249" width="8.85546875" style="13"/>
    <col min="9250" max="9250" width="11" style="13" customWidth="1"/>
    <col min="9251" max="9472" width="8.85546875" style="13"/>
    <col min="9473" max="9473" width="14" style="13" bestFit="1" customWidth="1"/>
    <col min="9474" max="9474" width="14.85546875" style="13" customWidth="1"/>
    <col min="9475" max="9476" width="8.85546875" style="13"/>
    <col min="9477" max="9477" width="9.140625" style="13" customWidth="1"/>
    <col min="9478" max="9505" width="8.85546875" style="13"/>
    <col min="9506" max="9506" width="11" style="13" customWidth="1"/>
    <col min="9507" max="9728" width="8.85546875" style="13"/>
    <col min="9729" max="9729" width="14" style="13" bestFit="1" customWidth="1"/>
    <col min="9730" max="9730" width="14.85546875" style="13" customWidth="1"/>
    <col min="9731" max="9732" width="8.85546875" style="13"/>
    <col min="9733" max="9733" width="9.140625" style="13" customWidth="1"/>
    <col min="9734" max="9761" width="8.85546875" style="13"/>
    <col min="9762" max="9762" width="11" style="13" customWidth="1"/>
    <col min="9763" max="9984" width="8.85546875" style="13"/>
    <col min="9985" max="9985" width="14" style="13" bestFit="1" customWidth="1"/>
    <col min="9986" max="9986" width="14.85546875" style="13" customWidth="1"/>
    <col min="9987" max="9988" width="8.85546875" style="13"/>
    <col min="9989" max="9989" width="9.140625" style="13" customWidth="1"/>
    <col min="9990" max="10017" width="8.85546875" style="13"/>
    <col min="10018" max="10018" width="11" style="13" customWidth="1"/>
    <col min="10019" max="10240" width="8.85546875" style="13"/>
    <col min="10241" max="10241" width="14" style="13" bestFit="1" customWidth="1"/>
    <col min="10242" max="10242" width="14.85546875" style="13" customWidth="1"/>
    <col min="10243" max="10244" width="8.85546875" style="13"/>
    <col min="10245" max="10245" width="9.140625" style="13" customWidth="1"/>
    <col min="10246" max="10273" width="8.85546875" style="13"/>
    <col min="10274" max="10274" width="11" style="13" customWidth="1"/>
    <col min="10275" max="10496" width="8.85546875" style="13"/>
    <col min="10497" max="10497" width="14" style="13" bestFit="1" customWidth="1"/>
    <col min="10498" max="10498" width="14.85546875" style="13" customWidth="1"/>
    <col min="10499" max="10500" width="8.85546875" style="13"/>
    <col min="10501" max="10501" width="9.140625" style="13" customWidth="1"/>
    <col min="10502" max="10529" width="8.85546875" style="13"/>
    <col min="10530" max="10530" width="11" style="13" customWidth="1"/>
    <col min="10531" max="10752" width="8.85546875" style="13"/>
    <col min="10753" max="10753" width="14" style="13" bestFit="1" customWidth="1"/>
    <col min="10754" max="10754" width="14.85546875" style="13" customWidth="1"/>
    <col min="10755" max="10756" width="8.85546875" style="13"/>
    <col min="10757" max="10757" width="9.140625" style="13" customWidth="1"/>
    <col min="10758" max="10785" width="8.85546875" style="13"/>
    <col min="10786" max="10786" width="11" style="13" customWidth="1"/>
    <col min="10787" max="11008" width="8.85546875" style="13"/>
    <col min="11009" max="11009" width="14" style="13" bestFit="1" customWidth="1"/>
    <col min="11010" max="11010" width="14.85546875" style="13" customWidth="1"/>
    <col min="11011" max="11012" width="8.85546875" style="13"/>
    <col min="11013" max="11013" width="9.140625" style="13" customWidth="1"/>
    <col min="11014" max="11041" width="8.85546875" style="13"/>
    <col min="11042" max="11042" width="11" style="13" customWidth="1"/>
    <col min="11043" max="11264" width="8.85546875" style="13"/>
    <col min="11265" max="11265" width="14" style="13" bestFit="1" customWidth="1"/>
    <col min="11266" max="11266" width="14.85546875" style="13" customWidth="1"/>
    <col min="11267" max="11268" width="8.85546875" style="13"/>
    <col min="11269" max="11269" width="9.140625" style="13" customWidth="1"/>
    <col min="11270" max="11297" width="8.85546875" style="13"/>
    <col min="11298" max="11298" width="11" style="13" customWidth="1"/>
    <col min="11299" max="11520" width="8.85546875" style="13"/>
    <col min="11521" max="11521" width="14" style="13" bestFit="1" customWidth="1"/>
    <col min="11522" max="11522" width="14.85546875" style="13" customWidth="1"/>
    <col min="11523" max="11524" width="8.85546875" style="13"/>
    <col min="11525" max="11525" width="9.140625" style="13" customWidth="1"/>
    <col min="11526" max="11553" width="8.85546875" style="13"/>
    <col min="11554" max="11554" width="11" style="13" customWidth="1"/>
    <col min="11555" max="11776" width="8.85546875" style="13"/>
    <col min="11777" max="11777" width="14" style="13" bestFit="1" customWidth="1"/>
    <col min="11778" max="11778" width="14.85546875" style="13" customWidth="1"/>
    <col min="11779" max="11780" width="8.85546875" style="13"/>
    <col min="11781" max="11781" width="9.140625" style="13" customWidth="1"/>
    <col min="11782" max="11809" width="8.85546875" style="13"/>
    <col min="11810" max="11810" width="11" style="13" customWidth="1"/>
    <col min="11811" max="12032" width="8.85546875" style="13"/>
    <col min="12033" max="12033" width="14" style="13" bestFit="1" customWidth="1"/>
    <col min="12034" max="12034" width="14.85546875" style="13" customWidth="1"/>
    <col min="12035" max="12036" width="8.85546875" style="13"/>
    <col min="12037" max="12037" width="9.140625" style="13" customWidth="1"/>
    <col min="12038" max="12065" width="8.85546875" style="13"/>
    <col min="12066" max="12066" width="11" style="13" customWidth="1"/>
    <col min="12067" max="12288" width="8.85546875" style="13"/>
    <col min="12289" max="12289" width="14" style="13" bestFit="1" customWidth="1"/>
    <col min="12290" max="12290" width="14.85546875" style="13" customWidth="1"/>
    <col min="12291" max="12292" width="8.85546875" style="13"/>
    <col min="12293" max="12293" width="9.140625" style="13" customWidth="1"/>
    <col min="12294" max="12321" width="8.85546875" style="13"/>
    <col min="12322" max="12322" width="11" style="13" customWidth="1"/>
    <col min="12323" max="12544" width="8.85546875" style="13"/>
    <col min="12545" max="12545" width="14" style="13" bestFit="1" customWidth="1"/>
    <col min="12546" max="12546" width="14.85546875" style="13" customWidth="1"/>
    <col min="12547" max="12548" width="8.85546875" style="13"/>
    <col min="12549" max="12549" width="9.140625" style="13" customWidth="1"/>
    <col min="12550" max="12577" width="8.85546875" style="13"/>
    <col min="12578" max="12578" width="11" style="13" customWidth="1"/>
    <col min="12579" max="12800" width="8.85546875" style="13"/>
    <col min="12801" max="12801" width="14" style="13" bestFit="1" customWidth="1"/>
    <col min="12802" max="12802" width="14.85546875" style="13" customWidth="1"/>
    <col min="12803" max="12804" width="8.85546875" style="13"/>
    <col min="12805" max="12805" width="9.140625" style="13" customWidth="1"/>
    <col min="12806" max="12833" width="8.85546875" style="13"/>
    <col min="12834" max="12834" width="11" style="13" customWidth="1"/>
    <col min="12835" max="13056" width="8.85546875" style="13"/>
    <col min="13057" max="13057" width="14" style="13" bestFit="1" customWidth="1"/>
    <col min="13058" max="13058" width="14.85546875" style="13" customWidth="1"/>
    <col min="13059" max="13060" width="8.85546875" style="13"/>
    <col min="13061" max="13061" width="9.140625" style="13" customWidth="1"/>
    <col min="13062" max="13089" width="8.85546875" style="13"/>
    <col min="13090" max="13090" width="11" style="13" customWidth="1"/>
    <col min="13091" max="13312" width="8.85546875" style="13"/>
    <col min="13313" max="13313" width="14" style="13" bestFit="1" customWidth="1"/>
    <col min="13314" max="13314" width="14.85546875" style="13" customWidth="1"/>
    <col min="13315" max="13316" width="8.85546875" style="13"/>
    <col min="13317" max="13317" width="9.140625" style="13" customWidth="1"/>
    <col min="13318" max="13345" width="8.85546875" style="13"/>
    <col min="13346" max="13346" width="11" style="13" customWidth="1"/>
    <col min="13347" max="13568" width="8.85546875" style="13"/>
    <col min="13569" max="13569" width="14" style="13" bestFit="1" customWidth="1"/>
    <col min="13570" max="13570" width="14.85546875" style="13" customWidth="1"/>
    <col min="13571" max="13572" width="8.85546875" style="13"/>
    <col min="13573" max="13573" width="9.140625" style="13" customWidth="1"/>
    <col min="13574" max="13601" width="8.85546875" style="13"/>
    <col min="13602" max="13602" width="11" style="13" customWidth="1"/>
    <col min="13603" max="13824" width="8.85546875" style="13"/>
    <col min="13825" max="13825" width="14" style="13" bestFit="1" customWidth="1"/>
    <col min="13826" max="13826" width="14.85546875" style="13" customWidth="1"/>
    <col min="13827" max="13828" width="8.85546875" style="13"/>
    <col min="13829" max="13829" width="9.140625" style="13" customWidth="1"/>
    <col min="13830" max="13857" width="8.85546875" style="13"/>
    <col min="13858" max="13858" width="11" style="13" customWidth="1"/>
    <col min="13859" max="14080" width="8.85546875" style="13"/>
    <col min="14081" max="14081" width="14" style="13" bestFit="1" customWidth="1"/>
    <col min="14082" max="14082" width="14.85546875" style="13" customWidth="1"/>
    <col min="14083" max="14084" width="8.85546875" style="13"/>
    <col min="14085" max="14085" width="9.140625" style="13" customWidth="1"/>
    <col min="14086" max="14113" width="8.85546875" style="13"/>
    <col min="14114" max="14114" width="11" style="13" customWidth="1"/>
    <col min="14115" max="14336" width="8.85546875" style="13"/>
    <col min="14337" max="14337" width="14" style="13" bestFit="1" customWidth="1"/>
    <col min="14338" max="14338" width="14.85546875" style="13" customWidth="1"/>
    <col min="14339" max="14340" width="8.85546875" style="13"/>
    <col min="14341" max="14341" width="9.140625" style="13" customWidth="1"/>
    <col min="14342" max="14369" width="8.85546875" style="13"/>
    <col min="14370" max="14370" width="11" style="13" customWidth="1"/>
    <col min="14371" max="14592" width="8.85546875" style="13"/>
    <col min="14593" max="14593" width="14" style="13" bestFit="1" customWidth="1"/>
    <col min="14594" max="14594" width="14.85546875" style="13" customWidth="1"/>
    <col min="14595" max="14596" width="8.85546875" style="13"/>
    <col min="14597" max="14597" width="9.140625" style="13" customWidth="1"/>
    <col min="14598" max="14625" width="8.85546875" style="13"/>
    <col min="14626" max="14626" width="11" style="13" customWidth="1"/>
    <col min="14627" max="14848" width="8.85546875" style="13"/>
    <col min="14849" max="14849" width="14" style="13" bestFit="1" customWidth="1"/>
    <col min="14850" max="14850" width="14.85546875" style="13" customWidth="1"/>
    <col min="14851" max="14852" width="8.85546875" style="13"/>
    <col min="14853" max="14853" width="9.140625" style="13" customWidth="1"/>
    <col min="14854" max="14881" width="8.85546875" style="13"/>
    <col min="14882" max="14882" width="11" style="13" customWidth="1"/>
    <col min="14883" max="15104" width="8.85546875" style="13"/>
    <col min="15105" max="15105" width="14" style="13" bestFit="1" customWidth="1"/>
    <col min="15106" max="15106" width="14.85546875" style="13" customWidth="1"/>
    <col min="15107" max="15108" width="8.85546875" style="13"/>
    <col min="15109" max="15109" width="9.140625" style="13" customWidth="1"/>
    <col min="15110" max="15137" width="8.85546875" style="13"/>
    <col min="15138" max="15138" width="11" style="13" customWidth="1"/>
    <col min="15139" max="15360" width="8.85546875" style="13"/>
    <col min="15361" max="15361" width="14" style="13" bestFit="1" customWidth="1"/>
    <col min="15362" max="15362" width="14.85546875" style="13" customWidth="1"/>
    <col min="15363" max="15364" width="8.85546875" style="13"/>
    <col min="15365" max="15365" width="9.140625" style="13" customWidth="1"/>
    <col min="15366" max="15393" width="8.85546875" style="13"/>
    <col min="15394" max="15394" width="11" style="13" customWidth="1"/>
    <col min="15395" max="15616" width="8.85546875" style="13"/>
    <col min="15617" max="15617" width="14" style="13" bestFit="1" customWidth="1"/>
    <col min="15618" max="15618" width="14.85546875" style="13" customWidth="1"/>
    <col min="15619" max="15620" width="8.85546875" style="13"/>
    <col min="15621" max="15621" width="9.140625" style="13" customWidth="1"/>
    <col min="15622" max="15649" width="8.85546875" style="13"/>
    <col min="15650" max="15650" width="11" style="13" customWidth="1"/>
    <col min="15651" max="15872" width="8.85546875" style="13"/>
    <col min="15873" max="15873" width="14" style="13" bestFit="1" customWidth="1"/>
    <col min="15874" max="15874" width="14.85546875" style="13" customWidth="1"/>
    <col min="15875" max="15876" width="8.85546875" style="13"/>
    <col min="15877" max="15877" width="9.140625" style="13" customWidth="1"/>
    <col min="15878" max="15905" width="8.85546875" style="13"/>
    <col min="15906" max="15906" width="11" style="13" customWidth="1"/>
    <col min="15907" max="16128" width="8.85546875" style="13"/>
    <col min="16129" max="16129" width="14" style="13" bestFit="1" customWidth="1"/>
    <col min="16130" max="16130" width="14.85546875" style="13" customWidth="1"/>
    <col min="16131" max="16132" width="8.85546875" style="13"/>
    <col min="16133" max="16133" width="9.140625" style="13" customWidth="1"/>
    <col min="16134" max="16161" width="8.85546875" style="13"/>
    <col min="16162" max="16162" width="11" style="13" customWidth="1"/>
    <col min="16163" max="16384" width="8.8554687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23400979.186714821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1461">
        <f>IF('17 R1 INV'!M73+'COMB A'!B42+'COMB A'!B47+'COMB A'!B51&gt;0,'17 R1 INV'!M73+'COMB A'!B42+'COMB A'!B47+'COMB A'!B51,0)</f>
        <v>671894.77686003456</v>
      </c>
      <c r="I7" s="1461">
        <f>IF('17 R1 INV'!N73+'COMB A'!C42+'COMB A'!C47+'COMB A'!C51&gt;0,'17 R1 INV'!N73+'COMB A'!C42+'COMB A'!C47+'COMB A'!C51,0)</f>
        <v>7510100.0910010049</v>
      </c>
      <c r="J7" s="1461">
        <f>IF('17 R1 INV'!O73+'COMB A'!D42+'COMB A'!D47+'COMB A'!D51&gt;0,'17 R1 INV'!O73+'COMB A'!D42+'COMB A'!D47+'COMB A'!D51,0)</f>
        <v>1142777.4083802551</v>
      </c>
      <c r="K7" s="1461">
        <f>IF('17 R1 INV'!P73+'COMB A'!E42+'COMB A'!E47+'COMB A'!E51&gt;0,'17 R1 INV'!P73+'COMB A'!E42+'COMB A'!E47+'COMB A'!E51,0)</f>
        <v>2401723.0554120527</v>
      </c>
      <c r="L7" s="299">
        <f>'17 R1 INV'!Q73</f>
        <v>1924165.9188391753</v>
      </c>
      <c r="M7" s="299">
        <f>'17 R1 INV'!R73</f>
        <v>999778.07055976056</v>
      </c>
      <c r="N7" s="299">
        <f>'17 R1 INV'!S73</f>
        <v>2653505.4796216656</v>
      </c>
      <c r="O7" s="299">
        <f>'17 R1 INV'!T73</f>
        <v>2353010.2054911945</v>
      </c>
      <c r="P7" s="299">
        <f>'17 R1 INV'!U73</f>
        <v>68386.753752136574</v>
      </c>
      <c r="Q7" s="299">
        <f>'17 R1 INV'!V73</f>
        <v>68386.753752136574</v>
      </c>
      <c r="R7" s="299">
        <f>'17 R1 INV'!W73</f>
        <v>68386.753752136574</v>
      </c>
      <c r="S7" s="299">
        <f>'17 R1 INV'!X73</f>
        <v>63098.753752136574</v>
      </c>
      <c r="T7" s="299">
        <f>'17 R1 INV'!Y73</f>
        <v>63098.753752136574</v>
      </c>
      <c r="U7" s="299">
        <f>'17 R1 INV'!Z73</f>
        <v>63098.753752136574</v>
      </c>
      <c r="V7" s="299">
        <f>'17 R1 INV'!AA73</f>
        <v>63098.753752136574</v>
      </c>
      <c r="W7" s="299">
        <f>'17 R1 INV'!AB73</f>
        <v>63098.753752136574</v>
      </c>
      <c r="X7" s="299">
        <f>'17 R1 INV'!AC73</f>
        <v>68793.753752136574</v>
      </c>
      <c r="Y7" s="299">
        <f>'17 R1 INV'!AD73</f>
        <v>59438.753752136574</v>
      </c>
      <c r="Z7" s="299">
        <f>'17 R1 INV'!AE73</f>
        <v>59438.753752136574</v>
      </c>
      <c r="AA7" s="299">
        <f>'17 R1 INV'!AF73</f>
        <v>59438.753752136574</v>
      </c>
      <c r="AB7" s="299">
        <f>'17 R1 INV'!AG73</f>
        <v>59438.753752136574</v>
      </c>
      <c r="AC7" s="299">
        <f>'17 R1 INV'!AH73</f>
        <v>68793.753752136574</v>
      </c>
      <c r="AD7" s="299">
        <f>'17 R1 INV'!AI73</f>
        <v>60252.753752136574</v>
      </c>
      <c r="AE7" s="299">
        <f>'17 R1 INV'!AJ73</f>
        <v>61066.753752136574</v>
      </c>
      <c r="AF7" s="299">
        <f>'17 R1 INV'!AK73</f>
        <v>62284.753752136574</v>
      </c>
      <c r="AG7" s="299">
        <f>'17 R1 INV'!AL73</f>
        <v>59447.247996732927</v>
      </c>
      <c r="AH7" s="300">
        <f>SUM(D7:AG7)</f>
        <v>23400979.186714821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26875.791074401383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123445.84549485844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26875.791074401383</v>
      </c>
      <c r="I16" s="308">
        <f>I7/24</f>
        <v>312920.83712504187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436366.68261990033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26875.791074401383</v>
      </c>
      <c r="I17" s="305">
        <f>I16</f>
        <v>312920.83712504187</v>
      </c>
      <c r="J17" s="308">
        <f>J7/23</f>
        <v>49685.974277402398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486052.65689730272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26875.791074401383</v>
      </c>
      <c r="I18" s="305">
        <f t="shared" si="9"/>
        <v>312920.83712504187</v>
      </c>
      <c r="J18" s="305">
        <f>J17</f>
        <v>49685.974277402398</v>
      </c>
      <c r="K18" s="308">
        <f>K7/22</f>
        <v>109169.22979145694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595221.88668875967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26875.791074401383</v>
      </c>
      <c r="I19" s="305">
        <f t="shared" si="9"/>
        <v>312920.83712504187</v>
      </c>
      <c r="J19" s="305">
        <f t="shared" si="9"/>
        <v>49685.974277402398</v>
      </c>
      <c r="K19" s="305">
        <f>K18</f>
        <v>109169.22979145694</v>
      </c>
      <c r="L19" s="308">
        <f>L7/21</f>
        <v>91626.948516151198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686848.83520491084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26875.791074401383</v>
      </c>
      <c r="I20" s="305">
        <f t="shared" si="9"/>
        <v>312920.83712504187</v>
      </c>
      <c r="J20" s="305">
        <f t="shared" si="9"/>
        <v>49685.974277402398</v>
      </c>
      <c r="K20" s="305">
        <f t="shared" si="9"/>
        <v>109169.22979145694</v>
      </c>
      <c r="L20" s="305">
        <f>L19</f>
        <v>91626.948516151198</v>
      </c>
      <c r="M20" s="308">
        <f>M7/20</f>
        <v>49988.903527988026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736837.73873289884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26875.791074401383</v>
      </c>
      <c r="I21" s="305">
        <f t="shared" si="9"/>
        <v>312920.83712504187</v>
      </c>
      <c r="J21" s="305">
        <f t="shared" si="9"/>
        <v>49685.974277402398</v>
      </c>
      <c r="K21" s="305">
        <f t="shared" si="9"/>
        <v>109169.22979145694</v>
      </c>
      <c r="L21" s="305">
        <f t="shared" si="9"/>
        <v>91626.948516151198</v>
      </c>
      <c r="M21" s="309">
        <f>M20</f>
        <v>49988.903527988026</v>
      </c>
      <c r="N21" s="308">
        <f>N7/19</f>
        <v>139658.18313798239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876495.92187088123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26875.791074401383</v>
      </c>
      <c r="I22" s="305">
        <f t="shared" si="9"/>
        <v>312920.83712504187</v>
      </c>
      <c r="J22" s="305">
        <f t="shared" si="9"/>
        <v>49685.974277402398</v>
      </c>
      <c r="K22" s="305">
        <f t="shared" si="9"/>
        <v>109169.22979145694</v>
      </c>
      <c r="L22" s="305">
        <f t="shared" si="9"/>
        <v>91626.948516151198</v>
      </c>
      <c r="M22" s="309">
        <f t="shared" si="9"/>
        <v>49988.903527988026</v>
      </c>
      <c r="N22" s="305">
        <f>N21</f>
        <v>139658.18313798239</v>
      </c>
      <c r="O22" s="308">
        <f>O7/18</f>
        <v>130722.78919395525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1007218.7110648365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26875.791074401383</v>
      </c>
      <c r="I23" s="305">
        <f t="shared" si="9"/>
        <v>312920.83712504187</v>
      </c>
      <c r="J23" s="305">
        <f t="shared" si="9"/>
        <v>49685.974277402398</v>
      </c>
      <c r="K23" s="305">
        <f t="shared" si="9"/>
        <v>109169.22979145694</v>
      </c>
      <c r="L23" s="305">
        <f t="shared" si="9"/>
        <v>91626.948516151198</v>
      </c>
      <c r="M23" s="309">
        <f t="shared" si="9"/>
        <v>49988.903527988026</v>
      </c>
      <c r="N23" s="305">
        <f t="shared" si="9"/>
        <v>139658.18313798239</v>
      </c>
      <c r="O23" s="305">
        <f>O22</f>
        <v>130722.78919395525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1011241.4612855504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26875.791074401383</v>
      </c>
      <c r="I24" s="305">
        <f t="shared" si="9"/>
        <v>312920.83712504187</v>
      </c>
      <c r="J24" s="305">
        <f t="shared" si="9"/>
        <v>49685.974277402398</v>
      </c>
      <c r="K24" s="305">
        <f t="shared" si="9"/>
        <v>109169.22979145694</v>
      </c>
      <c r="L24" s="305">
        <f t="shared" si="9"/>
        <v>91626.948516151198</v>
      </c>
      <c r="M24" s="309">
        <f t="shared" si="9"/>
        <v>49988.903527988026</v>
      </c>
      <c r="N24" s="305">
        <f t="shared" si="9"/>
        <v>139658.18313798239</v>
      </c>
      <c r="O24" s="305">
        <f t="shared" si="9"/>
        <v>130722.78919395525</v>
      </c>
      <c r="P24" s="305">
        <f>P23</f>
        <v>4022.750220713916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1015515.6333950589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26875.791074401383</v>
      </c>
      <c r="I25" s="305">
        <f t="shared" si="9"/>
        <v>312920.83712504187</v>
      </c>
      <c r="J25" s="305">
        <f t="shared" si="9"/>
        <v>49685.974277402398</v>
      </c>
      <c r="K25" s="305">
        <f t="shared" si="9"/>
        <v>109169.22979145694</v>
      </c>
      <c r="L25" s="305">
        <f t="shared" si="9"/>
        <v>91626.948516151198</v>
      </c>
      <c r="M25" s="309">
        <f t="shared" si="9"/>
        <v>49988.903527988026</v>
      </c>
      <c r="N25" s="305">
        <f t="shared" si="9"/>
        <v>139658.18313798239</v>
      </c>
      <c r="O25" s="305">
        <f t="shared" si="9"/>
        <v>130722.78919395525</v>
      </c>
      <c r="P25" s="305">
        <f t="shared" si="9"/>
        <v>4022.750220713916</v>
      </c>
      <c r="Q25" s="305">
        <f>Q24</f>
        <v>4274.1721095085359</v>
      </c>
      <c r="R25" s="308">
        <f>R7/15</f>
        <v>4559.1169168091046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1020074.750311868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26875.791074401383</v>
      </c>
      <c r="I26" s="305">
        <f t="shared" si="9"/>
        <v>312920.83712504187</v>
      </c>
      <c r="J26" s="305">
        <f t="shared" si="9"/>
        <v>49685.974277402398</v>
      </c>
      <c r="K26" s="305">
        <f t="shared" si="9"/>
        <v>109169.22979145694</v>
      </c>
      <c r="L26" s="305">
        <f t="shared" si="9"/>
        <v>91626.948516151198</v>
      </c>
      <c r="M26" s="309">
        <f t="shared" si="9"/>
        <v>49988.903527988026</v>
      </c>
      <c r="N26" s="305">
        <f t="shared" si="9"/>
        <v>139658.18313798239</v>
      </c>
      <c r="O26" s="305">
        <f t="shared" si="9"/>
        <v>130722.78919395525</v>
      </c>
      <c r="P26" s="305">
        <f t="shared" si="9"/>
        <v>4022.750220713916</v>
      </c>
      <c r="Q26" s="305">
        <f t="shared" si="9"/>
        <v>4274.1721095085359</v>
      </c>
      <c r="R26" s="305">
        <f>R25</f>
        <v>4559.1169168091046</v>
      </c>
      <c r="S26" s="308">
        <f>S7/14</f>
        <v>4507.0538394383266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1024581.8041513064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26875.791074401383</v>
      </c>
      <c r="I27" s="305">
        <f t="shared" si="9"/>
        <v>312920.83712504187</v>
      </c>
      <c r="J27" s="305">
        <f t="shared" si="9"/>
        <v>49685.974277402398</v>
      </c>
      <c r="K27" s="305">
        <f t="shared" si="9"/>
        <v>109169.22979145694</v>
      </c>
      <c r="L27" s="305">
        <f t="shared" si="9"/>
        <v>91626.948516151198</v>
      </c>
      <c r="M27" s="309">
        <f t="shared" si="9"/>
        <v>49988.903527988026</v>
      </c>
      <c r="N27" s="305">
        <f t="shared" si="9"/>
        <v>139658.18313798239</v>
      </c>
      <c r="O27" s="305">
        <f t="shared" si="9"/>
        <v>130722.78919395525</v>
      </c>
      <c r="P27" s="305">
        <f t="shared" si="9"/>
        <v>4022.750220713916</v>
      </c>
      <c r="Q27" s="305">
        <f t="shared" si="9"/>
        <v>4274.1721095085359</v>
      </c>
      <c r="R27" s="305">
        <f t="shared" si="9"/>
        <v>4559.1169168091046</v>
      </c>
      <c r="S27" s="305">
        <f>S26</f>
        <v>4507.0538394383266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1029435.5544399323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26875.791074401383</v>
      </c>
      <c r="I28" s="305">
        <f t="shared" si="9"/>
        <v>312920.83712504187</v>
      </c>
      <c r="J28" s="305">
        <f t="shared" si="9"/>
        <v>49685.974277402398</v>
      </c>
      <c r="K28" s="305">
        <f t="shared" si="9"/>
        <v>109169.22979145694</v>
      </c>
      <c r="L28" s="305">
        <f t="shared" si="9"/>
        <v>91626.948516151198</v>
      </c>
      <c r="M28" s="309">
        <f t="shared" si="9"/>
        <v>49988.903527988026</v>
      </c>
      <c r="N28" s="305">
        <f t="shared" si="9"/>
        <v>139658.18313798239</v>
      </c>
      <c r="O28" s="305">
        <f t="shared" si="9"/>
        <v>130722.78919395525</v>
      </c>
      <c r="P28" s="305">
        <f t="shared" si="9"/>
        <v>4022.750220713916</v>
      </c>
      <c r="Q28" s="305">
        <f t="shared" si="9"/>
        <v>4274.1721095085359</v>
      </c>
      <c r="R28" s="305">
        <f t="shared" si="9"/>
        <v>4559.1169168091046</v>
      </c>
      <c r="S28" s="305">
        <f>S27</f>
        <v>4507.0538394383266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1034693.783919277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26875.791074401383</v>
      </c>
      <c r="I29" s="305">
        <f t="shared" si="10"/>
        <v>312920.83712504187</v>
      </c>
      <c r="J29" s="305">
        <f t="shared" si="10"/>
        <v>49685.974277402398</v>
      </c>
      <c r="K29" s="305">
        <f t="shared" si="10"/>
        <v>109169.22979145694</v>
      </c>
      <c r="L29" s="305">
        <f t="shared" si="10"/>
        <v>91626.948516151198</v>
      </c>
      <c r="M29" s="309">
        <f t="shared" si="10"/>
        <v>49988.903527988026</v>
      </c>
      <c r="N29" s="305">
        <f t="shared" si="10"/>
        <v>139658.18313798239</v>
      </c>
      <c r="O29" s="305">
        <f t="shared" si="10"/>
        <v>130722.78919395525</v>
      </c>
      <c r="P29" s="305">
        <f t="shared" si="10"/>
        <v>4022.750220713916</v>
      </c>
      <c r="Q29" s="305">
        <f t="shared" si="10"/>
        <v>4274.1721095085359</v>
      </c>
      <c r="R29" s="305">
        <f t="shared" si="10"/>
        <v>4559.1169168091046</v>
      </c>
      <c r="S29" s="305">
        <f t="shared" si="10"/>
        <v>4507.0538394383266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1040430.0342603803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26875.791074401383</v>
      </c>
      <c r="I30" s="305">
        <f t="shared" si="10"/>
        <v>312920.83712504187</v>
      </c>
      <c r="J30" s="305">
        <f t="shared" si="10"/>
        <v>49685.974277402398</v>
      </c>
      <c r="K30" s="305">
        <f t="shared" si="10"/>
        <v>109169.22979145694</v>
      </c>
      <c r="L30" s="305">
        <f t="shared" si="10"/>
        <v>91626.948516151198</v>
      </c>
      <c r="M30" s="309">
        <f t="shared" si="10"/>
        <v>49988.903527988026</v>
      </c>
      <c r="N30" s="305">
        <f t="shared" si="10"/>
        <v>139658.18313798239</v>
      </c>
      <c r="O30" s="305">
        <f t="shared" si="10"/>
        <v>130722.78919395525</v>
      </c>
      <c r="P30" s="305">
        <f t="shared" si="10"/>
        <v>4022.750220713916</v>
      </c>
      <c r="Q30" s="305">
        <f t="shared" si="10"/>
        <v>4274.1721095085359</v>
      </c>
      <c r="R30" s="305">
        <f t="shared" si="10"/>
        <v>4559.1169168091046</v>
      </c>
      <c r="S30" s="305">
        <f t="shared" si="10"/>
        <v>4507.0538394383266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1046739.909635594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26875.791074401383</v>
      </c>
      <c r="I31" s="305">
        <f t="shared" si="10"/>
        <v>312920.83712504187</v>
      </c>
      <c r="J31" s="305">
        <f t="shared" si="10"/>
        <v>49685.974277402398</v>
      </c>
      <c r="K31" s="305">
        <f t="shared" si="10"/>
        <v>109169.22979145694</v>
      </c>
      <c r="L31" s="305">
        <f t="shared" si="10"/>
        <v>91626.948516151198</v>
      </c>
      <c r="M31" s="309">
        <f t="shared" si="10"/>
        <v>49988.903527988026</v>
      </c>
      <c r="N31" s="305">
        <f t="shared" si="10"/>
        <v>139658.18313798239</v>
      </c>
      <c r="O31" s="305">
        <f t="shared" si="10"/>
        <v>130722.78919395525</v>
      </c>
      <c r="P31" s="305">
        <f t="shared" si="10"/>
        <v>4022.750220713916</v>
      </c>
      <c r="Q31" s="305">
        <f t="shared" si="10"/>
        <v>4274.1721095085359</v>
      </c>
      <c r="R31" s="305">
        <f t="shared" si="10"/>
        <v>4559.1169168091046</v>
      </c>
      <c r="S31" s="305">
        <f t="shared" si="10"/>
        <v>4507.0538394383266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1054383.6600524981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26875.791074401383</v>
      </c>
      <c r="I32" s="305">
        <f t="shared" si="10"/>
        <v>312920.83712504187</v>
      </c>
      <c r="J32" s="305">
        <f t="shared" si="10"/>
        <v>49685.974277402398</v>
      </c>
      <c r="K32" s="305">
        <f t="shared" si="10"/>
        <v>109169.22979145694</v>
      </c>
      <c r="L32" s="305">
        <f t="shared" si="10"/>
        <v>91626.948516151198</v>
      </c>
      <c r="M32" s="309">
        <f t="shared" si="10"/>
        <v>49988.903527988026</v>
      </c>
      <c r="N32" s="305">
        <f t="shared" si="10"/>
        <v>139658.18313798239</v>
      </c>
      <c r="O32" s="305">
        <f t="shared" si="10"/>
        <v>130722.78919395525</v>
      </c>
      <c r="P32" s="305">
        <f t="shared" si="10"/>
        <v>4022.750220713916</v>
      </c>
      <c r="Q32" s="305">
        <f t="shared" si="10"/>
        <v>4274.1721095085359</v>
      </c>
      <c r="R32" s="305">
        <f t="shared" si="10"/>
        <v>4559.1169168091046</v>
      </c>
      <c r="S32" s="305">
        <f t="shared" si="10"/>
        <v>4507.0538394383266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1061813.5042715152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26875.791074401383</v>
      </c>
      <c r="I33" s="305">
        <f t="shared" si="10"/>
        <v>312920.83712504187</v>
      </c>
      <c r="J33" s="305">
        <f t="shared" si="10"/>
        <v>49685.974277402398</v>
      </c>
      <c r="K33" s="305">
        <f t="shared" si="10"/>
        <v>109169.22979145694</v>
      </c>
      <c r="L33" s="305">
        <f t="shared" si="10"/>
        <v>91626.948516151198</v>
      </c>
      <c r="M33" s="309">
        <f t="shared" si="10"/>
        <v>49988.903527988026</v>
      </c>
      <c r="N33" s="305">
        <f t="shared" si="10"/>
        <v>139658.18313798239</v>
      </c>
      <c r="O33" s="305">
        <f t="shared" si="10"/>
        <v>130722.78919395525</v>
      </c>
      <c r="P33" s="305">
        <f t="shared" si="10"/>
        <v>4022.750220713916</v>
      </c>
      <c r="Q33" s="305">
        <f t="shared" si="10"/>
        <v>4274.1721095085359</v>
      </c>
      <c r="R33" s="305">
        <f t="shared" si="10"/>
        <v>4559.1169168091046</v>
      </c>
      <c r="S33" s="305">
        <f t="shared" si="10"/>
        <v>4507.0538394383266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1070304.7548075346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26875.791074401383</v>
      </c>
      <c r="I34" s="305">
        <f t="shared" si="10"/>
        <v>312920.83712504187</v>
      </c>
      <c r="J34" s="305">
        <f t="shared" si="10"/>
        <v>49685.974277402398</v>
      </c>
      <c r="K34" s="305">
        <f t="shared" si="10"/>
        <v>109169.22979145694</v>
      </c>
      <c r="L34" s="305">
        <f t="shared" si="10"/>
        <v>91626.948516151198</v>
      </c>
      <c r="M34" s="309">
        <f t="shared" si="10"/>
        <v>49988.903527988026</v>
      </c>
      <c r="N34" s="305">
        <f t="shared" si="10"/>
        <v>139658.18313798239</v>
      </c>
      <c r="O34" s="305">
        <f t="shared" si="10"/>
        <v>130722.78919395525</v>
      </c>
      <c r="P34" s="305">
        <f t="shared" si="10"/>
        <v>4022.750220713916</v>
      </c>
      <c r="Q34" s="305">
        <f t="shared" si="10"/>
        <v>4274.1721095085359</v>
      </c>
      <c r="R34" s="305">
        <f t="shared" si="10"/>
        <v>4559.1169168091046</v>
      </c>
      <c r="S34" s="305">
        <f t="shared" si="10"/>
        <v>4507.0538394383266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1080211.213766224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26875.791074401383</v>
      </c>
      <c r="I35" s="305">
        <f t="shared" si="10"/>
        <v>312920.83712504187</v>
      </c>
      <c r="J35" s="305">
        <f t="shared" si="10"/>
        <v>49685.974277402398</v>
      </c>
      <c r="K35" s="305">
        <f t="shared" si="10"/>
        <v>109169.22979145694</v>
      </c>
      <c r="L35" s="305">
        <f t="shared" si="10"/>
        <v>91626.948516151198</v>
      </c>
      <c r="M35" s="309">
        <f t="shared" si="10"/>
        <v>49988.903527988026</v>
      </c>
      <c r="N35" s="305">
        <f t="shared" si="10"/>
        <v>139658.18313798239</v>
      </c>
      <c r="O35" s="305">
        <f t="shared" si="10"/>
        <v>130722.78919395525</v>
      </c>
      <c r="P35" s="305">
        <f t="shared" si="10"/>
        <v>4022.750220713916</v>
      </c>
      <c r="Q35" s="305">
        <f t="shared" si="10"/>
        <v>4274.1721095085359</v>
      </c>
      <c r="R35" s="305">
        <f t="shared" si="10"/>
        <v>4559.1169168091046</v>
      </c>
      <c r="S35" s="305">
        <f t="shared" si="10"/>
        <v>4507.0538394383266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1092098.9645166514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26875.791074401383</v>
      </c>
      <c r="I36" s="305">
        <f t="shared" si="10"/>
        <v>312920.83712504187</v>
      </c>
      <c r="J36" s="305">
        <f t="shared" si="10"/>
        <v>49685.974277402398</v>
      </c>
      <c r="K36" s="305">
        <f t="shared" si="10"/>
        <v>109169.22979145694</v>
      </c>
      <c r="L36" s="305">
        <f t="shared" si="10"/>
        <v>91626.948516151198</v>
      </c>
      <c r="M36" s="309">
        <f t="shared" si="10"/>
        <v>49988.903527988026</v>
      </c>
      <c r="N36" s="305">
        <f t="shared" si="10"/>
        <v>139658.18313798239</v>
      </c>
      <c r="O36" s="305">
        <f t="shared" si="10"/>
        <v>130722.78919395525</v>
      </c>
      <c r="P36" s="305">
        <f t="shared" si="10"/>
        <v>4022.750220713916</v>
      </c>
      <c r="Q36" s="305">
        <f t="shared" si="10"/>
        <v>4274.1721095085359</v>
      </c>
      <c r="R36" s="305">
        <f t="shared" si="10"/>
        <v>4559.1169168091046</v>
      </c>
      <c r="S36" s="305">
        <f t="shared" si="10"/>
        <v>4507.0538394383266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1109297.4029546855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26875.791074401383</v>
      </c>
      <c r="I37" s="305">
        <f t="shared" si="10"/>
        <v>312920.83712504187</v>
      </c>
      <c r="J37" s="305">
        <f t="shared" si="10"/>
        <v>49685.974277402398</v>
      </c>
      <c r="K37" s="305">
        <f t="shared" si="10"/>
        <v>109169.22979145694</v>
      </c>
      <c r="L37" s="305">
        <f t="shared" si="10"/>
        <v>91626.948516151198</v>
      </c>
      <c r="M37" s="309">
        <f t="shared" si="10"/>
        <v>49988.903527988026</v>
      </c>
      <c r="N37" s="305">
        <f t="shared" si="10"/>
        <v>139658.18313798239</v>
      </c>
      <c r="O37" s="305">
        <f t="shared" si="10"/>
        <v>130722.78919395525</v>
      </c>
      <c r="P37" s="305">
        <f t="shared" si="10"/>
        <v>4022.750220713916</v>
      </c>
      <c r="Q37" s="305">
        <f t="shared" si="10"/>
        <v>4274.1721095085359</v>
      </c>
      <c r="R37" s="305">
        <f t="shared" si="10"/>
        <v>4559.1169168091046</v>
      </c>
      <c r="S37" s="305">
        <f t="shared" si="10"/>
        <v>4507.0538394383266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1129381.6542053977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26875.791074401383</v>
      </c>
      <c r="I38" s="305">
        <f t="shared" si="10"/>
        <v>312920.83712504187</v>
      </c>
      <c r="J38" s="305">
        <f t="shared" si="10"/>
        <v>49685.974277402398</v>
      </c>
      <c r="K38" s="305">
        <f t="shared" si="10"/>
        <v>109169.22979145694</v>
      </c>
      <c r="L38" s="305">
        <f t="shared" si="10"/>
        <v>91626.948516151198</v>
      </c>
      <c r="M38" s="309">
        <f t="shared" si="10"/>
        <v>49988.903527988026</v>
      </c>
      <c r="N38" s="305">
        <f t="shared" si="10"/>
        <v>139658.18313798239</v>
      </c>
      <c r="O38" s="305">
        <f t="shared" si="10"/>
        <v>130722.78919395525</v>
      </c>
      <c r="P38" s="305">
        <f t="shared" si="10"/>
        <v>4022.750220713916</v>
      </c>
      <c r="Q38" s="305">
        <f t="shared" si="10"/>
        <v>4274.1721095085359</v>
      </c>
      <c r="R38" s="305">
        <f t="shared" si="10"/>
        <v>4559.1169168091046</v>
      </c>
      <c r="S38" s="305">
        <f t="shared" si="10"/>
        <v>4507.0538394383266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1159915.031081466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26875.791074401383</v>
      </c>
      <c r="I39" s="305">
        <f t="shared" si="10"/>
        <v>312920.83712504187</v>
      </c>
      <c r="J39" s="305">
        <f t="shared" si="10"/>
        <v>49685.974277402398</v>
      </c>
      <c r="K39" s="305">
        <f t="shared" si="10"/>
        <v>109169.22979145694</v>
      </c>
      <c r="L39" s="305">
        <f t="shared" si="10"/>
        <v>91626.948516151198</v>
      </c>
      <c r="M39" s="309">
        <f t="shared" si="10"/>
        <v>49988.903527988026</v>
      </c>
      <c r="N39" s="305">
        <f t="shared" si="10"/>
        <v>139658.18313798239</v>
      </c>
      <c r="O39" s="305">
        <f t="shared" si="10"/>
        <v>130722.78919395525</v>
      </c>
      <c r="P39" s="305">
        <f t="shared" si="10"/>
        <v>4022.750220713916</v>
      </c>
      <c r="Q39" s="305">
        <f t="shared" si="10"/>
        <v>4274.1721095085359</v>
      </c>
      <c r="R39" s="305">
        <f t="shared" si="10"/>
        <v>4559.1169168091046</v>
      </c>
      <c r="S39" s="305">
        <f t="shared" si="10"/>
        <v>4507.0538394383266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1281647.0328303354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671894.77686003468</v>
      </c>
      <c r="I40" s="312">
        <f t="shared" si="12"/>
        <v>7510100.0910010021</v>
      </c>
      <c r="J40" s="312">
        <f t="shared" si="12"/>
        <v>1142777.4083802553</v>
      </c>
      <c r="K40" s="312">
        <f t="shared" si="12"/>
        <v>2401723.0554120513</v>
      </c>
      <c r="L40" s="312">
        <f t="shared" si="12"/>
        <v>1924165.9188391748</v>
      </c>
      <c r="M40" s="313">
        <f t="shared" si="12"/>
        <v>999778.07055976021</v>
      </c>
      <c r="N40" s="312">
        <f t="shared" si="12"/>
        <v>2653505.4796216646</v>
      </c>
      <c r="O40" s="312">
        <f t="shared" si="12"/>
        <v>2353010.2054911945</v>
      </c>
      <c r="P40" s="312">
        <f t="shared" si="12"/>
        <v>68386.753752136588</v>
      </c>
      <c r="Q40" s="312">
        <f t="shared" si="12"/>
        <v>68386.753752136588</v>
      </c>
      <c r="R40" s="312">
        <f t="shared" si="12"/>
        <v>68386.753752136588</v>
      </c>
      <c r="S40" s="312">
        <f t="shared" si="12"/>
        <v>63098.753752136567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23400979.186714858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6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T103:W106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4"/>
        <v>#VALUE!</v>
      </c>
      <c r="E104" s="305" t="e">
        <f t="shared" si="24"/>
        <v>#VALUE!</v>
      </c>
      <c r="F104" s="305" t="e">
        <f t="shared" si="24"/>
        <v>#VALUE!</v>
      </c>
      <c r="G104" s="305" t="e">
        <f t="shared" si="24"/>
        <v>#VALUE!</v>
      </c>
      <c r="H104" s="305" t="e">
        <f t="shared" si="24"/>
        <v>#VALUE!</v>
      </c>
      <c r="I104" s="305" t="e">
        <f t="shared" si="24"/>
        <v>#VALUE!</v>
      </c>
      <c r="J104" s="305" t="e">
        <f t="shared" si="24"/>
        <v>#VALUE!</v>
      </c>
      <c r="K104" s="305" t="e">
        <f t="shared" si="24"/>
        <v>#VALUE!</v>
      </c>
      <c r="L104" s="305" t="e">
        <f t="shared" si="24"/>
        <v>#VALUE!</v>
      </c>
      <c r="M104" s="305" t="e">
        <f t="shared" si="24"/>
        <v>#VALUE!</v>
      </c>
      <c r="N104" s="305" t="e">
        <f t="shared" si="24"/>
        <v>#VALUE!</v>
      </c>
      <c r="O104" s="305" t="e">
        <f t="shared" si="24"/>
        <v>#VALUE!</v>
      </c>
      <c r="P104" s="305" t="e">
        <f t="shared" si="24"/>
        <v>#VALUE!</v>
      </c>
      <c r="Q104" s="305" t="e">
        <f t="shared" si="24"/>
        <v>#VALUE!</v>
      </c>
      <c r="R104" s="305" t="e">
        <f t="shared" si="24"/>
        <v>#VALUE!</v>
      </c>
      <c r="S104" s="305" t="e">
        <f t="shared" si="24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4"/>
        <v>#VALUE!</v>
      </c>
      <c r="F105" s="305" t="e">
        <f t="shared" si="24"/>
        <v>#VALUE!</v>
      </c>
      <c r="G105" s="305" t="e">
        <f t="shared" si="24"/>
        <v>#VALUE!</v>
      </c>
      <c r="H105" s="305" t="e">
        <f t="shared" si="24"/>
        <v>#VALUE!</v>
      </c>
      <c r="I105" s="305" t="e">
        <f t="shared" si="24"/>
        <v>#VALUE!</v>
      </c>
      <c r="J105" s="305" t="e">
        <f t="shared" si="24"/>
        <v>#VALUE!</v>
      </c>
      <c r="K105" s="305" t="e">
        <f t="shared" si="24"/>
        <v>#VALUE!</v>
      </c>
      <c r="L105" s="305" t="e">
        <f t="shared" si="24"/>
        <v>#VALUE!</v>
      </c>
      <c r="M105" s="305" t="e">
        <f t="shared" si="24"/>
        <v>#VALUE!</v>
      </c>
      <c r="N105" s="305" t="e">
        <f t="shared" si="24"/>
        <v>#VALUE!</v>
      </c>
      <c r="O105" s="305" t="e">
        <f t="shared" si="24"/>
        <v>#VALUE!</v>
      </c>
      <c r="P105" s="305" t="e">
        <f t="shared" si="24"/>
        <v>#VALUE!</v>
      </c>
      <c r="Q105" s="305" t="e">
        <f t="shared" si="24"/>
        <v>#VALUE!</v>
      </c>
      <c r="R105" s="305" t="e">
        <f t="shared" si="24"/>
        <v>#VALUE!</v>
      </c>
      <c r="S105" s="305" t="e">
        <f t="shared" si="24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4"/>
        <v>#VALUE!</v>
      </c>
      <c r="G106" s="305" t="e">
        <f t="shared" si="24"/>
        <v>#VALUE!</v>
      </c>
      <c r="H106" s="305" t="e">
        <f t="shared" si="24"/>
        <v>#VALUE!</v>
      </c>
      <c r="I106" s="305" t="e">
        <f t="shared" si="24"/>
        <v>#VALUE!</v>
      </c>
      <c r="J106" s="305" t="e">
        <f t="shared" si="24"/>
        <v>#VALUE!</v>
      </c>
      <c r="K106" s="305" t="e">
        <f t="shared" si="24"/>
        <v>#VALUE!</v>
      </c>
      <c r="L106" s="305" t="e">
        <f t="shared" si="24"/>
        <v>#VALUE!</v>
      </c>
      <c r="M106" s="305" t="e">
        <f t="shared" si="24"/>
        <v>#VALUE!</v>
      </c>
      <c r="N106" s="305" t="e">
        <f t="shared" si="24"/>
        <v>#VALUE!</v>
      </c>
      <c r="O106" s="305" t="e">
        <f t="shared" si="24"/>
        <v>#VALUE!</v>
      </c>
      <c r="P106" s="305" t="e">
        <f t="shared" si="24"/>
        <v>#VALUE!</v>
      </c>
      <c r="Q106" s="305" t="e">
        <f t="shared" si="24"/>
        <v>#VALUE!</v>
      </c>
      <c r="R106" s="305" t="e">
        <f t="shared" si="24"/>
        <v>#VALUE!</v>
      </c>
      <c r="S106" s="305" t="e">
        <f t="shared" si="24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ref="G107:Z113" si="26">G106</f>
        <v>#VALUE!</v>
      </c>
      <c r="H107" s="305" t="e">
        <f t="shared" si="26"/>
        <v>#VALUE!</v>
      </c>
      <c r="I107" s="305" t="e">
        <f t="shared" si="26"/>
        <v>#VALUE!</v>
      </c>
      <c r="J107" s="305" t="e">
        <f t="shared" si="26"/>
        <v>#VALUE!</v>
      </c>
      <c r="K107" s="305" t="e">
        <f t="shared" si="26"/>
        <v>#VALUE!</v>
      </c>
      <c r="L107" s="305" t="e">
        <f t="shared" si="26"/>
        <v>#VALUE!</v>
      </c>
      <c r="M107" s="305" t="e">
        <f t="shared" si="26"/>
        <v>#VALUE!</v>
      </c>
      <c r="N107" s="305" t="e">
        <f t="shared" si="26"/>
        <v>#VALUE!</v>
      </c>
      <c r="O107" s="305" t="e">
        <f t="shared" si="26"/>
        <v>#VALUE!</v>
      </c>
      <c r="P107" s="305" t="e">
        <f t="shared" si="26"/>
        <v>#VALUE!</v>
      </c>
      <c r="Q107" s="305" t="e">
        <f t="shared" si="26"/>
        <v>#VALUE!</v>
      </c>
      <c r="R107" s="305" t="e">
        <f t="shared" si="26"/>
        <v>#VALUE!</v>
      </c>
      <c r="S107" s="305" t="e">
        <f t="shared" si="26"/>
        <v>#VALUE!</v>
      </c>
      <c r="T107" s="305" t="e">
        <f t="shared" si="26"/>
        <v>#VALUE!</v>
      </c>
      <c r="U107" s="305" t="e">
        <f t="shared" si="26"/>
        <v>#VALUE!</v>
      </c>
      <c r="V107" s="305" t="e">
        <f t="shared" si="26"/>
        <v>#VALUE!</v>
      </c>
      <c r="W107" s="305" t="e">
        <f t="shared" si="26"/>
        <v>#VALUE!</v>
      </c>
      <c r="X107" s="305" t="e">
        <f t="shared" si="26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6"/>
        <v>#VALUE!</v>
      </c>
      <c r="I108" s="305" t="e">
        <f t="shared" si="26"/>
        <v>#VALUE!</v>
      </c>
      <c r="J108" s="305" t="e">
        <f t="shared" si="26"/>
        <v>#VALUE!</v>
      </c>
      <c r="K108" s="305" t="e">
        <f t="shared" si="26"/>
        <v>#VALUE!</v>
      </c>
      <c r="L108" s="305" t="e">
        <f t="shared" si="26"/>
        <v>#VALUE!</v>
      </c>
      <c r="M108" s="305" t="e">
        <f t="shared" si="26"/>
        <v>#VALUE!</v>
      </c>
      <c r="N108" s="305" t="e">
        <f t="shared" si="26"/>
        <v>#VALUE!</v>
      </c>
      <c r="O108" s="305" t="e">
        <f t="shared" si="26"/>
        <v>#VALUE!</v>
      </c>
      <c r="P108" s="305" t="e">
        <f t="shared" si="26"/>
        <v>#VALUE!</v>
      </c>
      <c r="Q108" s="305" t="e">
        <f t="shared" si="26"/>
        <v>#VALUE!</v>
      </c>
      <c r="R108" s="305" t="e">
        <f t="shared" si="26"/>
        <v>#VALUE!</v>
      </c>
      <c r="S108" s="305" t="e">
        <f t="shared" si="26"/>
        <v>#VALUE!</v>
      </c>
      <c r="T108" s="305" t="e">
        <f t="shared" si="26"/>
        <v>#VALUE!</v>
      </c>
      <c r="U108" s="305" t="e">
        <f t="shared" si="26"/>
        <v>#VALUE!</v>
      </c>
      <c r="V108" s="305" t="e">
        <f t="shared" si="26"/>
        <v>#VALUE!</v>
      </c>
      <c r="W108" s="305" t="e">
        <f t="shared" si="26"/>
        <v>#VALUE!</v>
      </c>
      <c r="X108" s="305" t="e">
        <f t="shared" si="26"/>
        <v>#VALUE!</v>
      </c>
      <c r="Y108" s="305" t="e">
        <f t="shared" si="26"/>
        <v>#VALUE!</v>
      </c>
      <c r="Z108" s="305" t="e">
        <f t="shared" si="26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6"/>
        <v>#VALUE!</v>
      </c>
      <c r="J109" s="305" t="e">
        <f t="shared" si="26"/>
        <v>#VALUE!</v>
      </c>
      <c r="K109" s="305" t="e">
        <f t="shared" si="26"/>
        <v>#VALUE!</v>
      </c>
      <c r="L109" s="305" t="e">
        <f t="shared" si="26"/>
        <v>#VALUE!</v>
      </c>
      <c r="M109" s="305" t="e">
        <f t="shared" si="26"/>
        <v>#VALUE!</v>
      </c>
      <c r="N109" s="305" t="e">
        <f t="shared" si="26"/>
        <v>#VALUE!</v>
      </c>
      <c r="O109" s="305" t="e">
        <f t="shared" si="26"/>
        <v>#VALUE!</v>
      </c>
      <c r="P109" s="305" t="e">
        <f t="shared" si="26"/>
        <v>#VALUE!</v>
      </c>
      <c r="Q109" s="305" t="e">
        <f t="shared" si="26"/>
        <v>#VALUE!</v>
      </c>
      <c r="R109" s="305" t="e">
        <f t="shared" si="26"/>
        <v>#VALUE!</v>
      </c>
      <c r="S109" s="305" t="e">
        <f t="shared" si="26"/>
        <v>#VALUE!</v>
      </c>
      <c r="T109" s="305" t="e">
        <f t="shared" si="26"/>
        <v>#VALUE!</v>
      </c>
      <c r="U109" s="305" t="e">
        <f t="shared" si="26"/>
        <v>#VALUE!</v>
      </c>
      <c r="V109" s="305" t="e">
        <f t="shared" si="26"/>
        <v>#VALUE!</v>
      </c>
      <c r="W109" s="305" t="e">
        <f t="shared" si="26"/>
        <v>#VALUE!</v>
      </c>
      <c r="X109" s="305" t="e">
        <f t="shared" si="26"/>
        <v>#VALUE!</v>
      </c>
      <c r="Y109" s="305" t="e">
        <f t="shared" si="26"/>
        <v>#VALUE!</v>
      </c>
      <c r="Z109" s="305" t="e">
        <f t="shared" si="26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6"/>
        <v>#VALUE!</v>
      </c>
      <c r="K110" s="305" t="e">
        <f t="shared" si="26"/>
        <v>#VALUE!</v>
      </c>
      <c r="L110" s="305" t="e">
        <f t="shared" si="26"/>
        <v>#VALUE!</v>
      </c>
      <c r="M110" s="305" t="e">
        <f t="shared" si="26"/>
        <v>#VALUE!</v>
      </c>
      <c r="N110" s="305" t="e">
        <f t="shared" si="26"/>
        <v>#VALUE!</v>
      </c>
      <c r="O110" s="305" t="e">
        <f t="shared" si="26"/>
        <v>#VALUE!</v>
      </c>
      <c r="P110" s="305" t="e">
        <f t="shared" si="26"/>
        <v>#VALUE!</v>
      </c>
      <c r="Q110" s="305" t="e">
        <f t="shared" si="26"/>
        <v>#VALUE!</v>
      </c>
      <c r="R110" s="305" t="e">
        <f t="shared" si="26"/>
        <v>#VALUE!</v>
      </c>
      <c r="S110" s="305" t="e">
        <f t="shared" si="26"/>
        <v>#VALUE!</v>
      </c>
      <c r="T110" s="305" t="e">
        <f t="shared" si="26"/>
        <v>#VALUE!</v>
      </c>
      <c r="U110" s="305" t="e">
        <f t="shared" si="26"/>
        <v>#VALUE!</v>
      </c>
      <c r="V110" s="305" t="e">
        <f t="shared" si="26"/>
        <v>#VALUE!</v>
      </c>
      <c r="W110" s="305" t="e">
        <f t="shared" si="26"/>
        <v>#VALUE!</v>
      </c>
      <c r="X110" s="305" t="e">
        <f t="shared" si="26"/>
        <v>#VALUE!</v>
      </c>
      <c r="Y110" s="305" t="e">
        <f t="shared" si="26"/>
        <v>#VALUE!</v>
      </c>
      <c r="Z110" s="305" t="e">
        <f t="shared" si="26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6"/>
        <v>#VALUE!</v>
      </c>
      <c r="L111" s="305" t="e">
        <f t="shared" si="26"/>
        <v>#VALUE!</v>
      </c>
      <c r="M111" s="305" t="e">
        <f t="shared" si="26"/>
        <v>#VALUE!</v>
      </c>
      <c r="N111" s="305" t="e">
        <f t="shared" si="26"/>
        <v>#VALUE!</v>
      </c>
      <c r="O111" s="305" t="e">
        <f t="shared" si="26"/>
        <v>#VALUE!</v>
      </c>
      <c r="P111" s="305" t="e">
        <f t="shared" si="26"/>
        <v>#VALUE!</v>
      </c>
      <c r="Q111" s="305" t="e">
        <f t="shared" si="26"/>
        <v>#VALUE!</v>
      </c>
      <c r="R111" s="305" t="e">
        <f t="shared" si="26"/>
        <v>#VALUE!</v>
      </c>
      <c r="S111" s="305" t="e">
        <f t="shared" si="26"/>
        <v>#VALUE!</v>
      </c>
      <c r="T111" s="305" t="e">
        <f t="shared" si="26"/>
        <v>#VALUE!</v>
      </c>
      <c r="U111" s="305" t="e">
        <f t="shared" si="26"/>
        <v>#VALUE!</v>
      </c>
      <c r="V111" s="305" t="e">
        <f t="shared" si="26"/>
        <v>#VALUE!</v>
      </c>
      <c r="W111" s="305" t="e">
        <f t="shared" si="26"/>
        <v>#VALUE!</v>
      </c>
      <c r="X111" s="305" t="e">
        <f t="shared" si="26"/>
        <v>#VALUE!</v>
      </c>
      <c r="Y111" s="305" t="e">
        <f t="shared" si="26"/>
        <v>#VALUE!</v>
      </c>
      <c r="Z111" s="305" t="e">
        <f t="shared" si="26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6"/>
        <v>#VALUE!</v>
      </c>
      <c r="M112" s="305" t="e">
        <f t="shared" si="26"/>
        <v>#VALUE!</v>
      </c>
      <c r="N112" s="305" t="e">
        <f t="shared" si="26"/>
        <v>#VALUE!</v>
      </c>
      <c r="O112" s="305" t="e">
        <f t="shared" si="26"/>
        <v>#VALUE!</v>
      </c>
      <c r="P112" s="305" t="e">
        <f t="shared" si="26"/>
        <v>#VALUE!</v>
      </c>
      <c r="Q112" s="305" t="e">
        <f t="shared" si="26"/>
        <v>#VALUE!</v>
      </c>
      <c r="R112" s="305" t="e">
        <f t="shared" si="26"/>
        <v>#VALUE!</v>
      </c>
      <c r="S112" s="305" t="e">
        <f t="shared" si="26"/>
        <v>#VALUE!</v>
      </c>
      <c r="T112" s="305" t="e">
        <f t="shared" si="26"/>
        <v>#VALUE!</v>
      </c>
      <c r="U112" s="305" t="e">
        <f t="shared" si="26"/>
        <v>#VALUE!</v>
      </c>
      <c r="V112" s="305" t="e">
        <f t="shared" si="26"/>
        <v>#VALUE!</v>
      </c>
      <c r="W112" s="305" t="e">
        <f t="shared" si="26"/>
        <v>#VALUE!</v>
      </c>
      <c r="X112" s="305" t="e">
        <f t="shared" si="26"/>
        <v>#VALUE!</v>
      </c>
      <c r="Y112" s="305" t="e">
        <f t="shared" si="26"/>
        <v>#VALUE!</v>
      </c>
      <c r="Z112" s="305" t="e">
        <f t="shared" si="26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6"/>
        <v>#VALUE!</v>
      </c>
      <c r="N113" s="305" t="e">
        <f t="shared" si="26"/>
        <v>#VALUE!</v>
      </c>
      <c r="O113" s="305" t="e">
        <f t="shared" si="26"/>
        <v>#VALUE!</v>
      </c>
      <c r="P113" s="305" t="e">
        <f t="shared" si="26"/>
        <v>#VALUE!</v>
      </c>
      <c r="Q113" s="305" t="e">
        <f t="shared" si="26"/>
        <v>#VALUE!</v>
      </c>
      <c r="R113" s="305" t="e">
        <f t="shared" si="26"/>
        <v>#VALUE!</v>
      </c>
      <c r="S113" s="305" t="e">
        <f t="shared" si="26"/>
        <v>#VALUE!</v>
      </c>
      <c r="T113" s="305" t="e">
        <f t="shared" si="26"/>
        <v>#VALUE!</v>
      </c>
      <c r="U113" s="305" t="e">
        <f t="shared" si="26"/>
        <v>#VALUE!</v>
      </c>
      <c r="V113" s="305" t="e">
        <f t="shared" si="26"/>
        <v>#VALUE!</v>
      </c>
      <c r="W113" s="305" t="e">
        <f t="shared" si="26"/>
        <v>#VALUE!</v>
      </c>
      <c r="X113" s="305" t="e">
        <f t="shared" si="26"/>
        <v>#VALUE!</v>
      </c>
      <c r="Y113" s="305" t="e">
        <f t="shared" si="26"/>
        <v>#VALUE!</v>
      </c>
      <c r="Z113" s="305" t="e">
        <f t="shared" si="26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7">SUM(D83:D113)</f>
        <v>#VALUE!</v>
      </c>
      <c r="E114" s="328" t="e">
        <f t="shared" si="27"/>
        <v>#VALUE!</v>
      </c>
      <c r="F114" s="328" t="e">
        <f t="shared" si="27"/>
        <v>#VALUE!</v>
      </c>
      <c r="G114" s="328" t="e">
        <f t="shared" si="27"/>
        <v>#VALUE!</v>
      </c>
      <c r="H114" s="328" t="e">
        <f t="shared" si="27"/>
        <v>#VALUE!</v>
      </c>
      <c r="I114" s="328" t="e">
        <f t="shared" si="27"/>
        <v>#VALUE!</v>
      </c>
      <c r="J114" s="328" t="e">
        <f t="shared" si="27"/>
        <v>#VALUE!</v>
      </c>
      <c r="K114" s="328" t="e">
        <f t="shared" si="27"/>
        <v>#VALUE!</v>
      </c>
      <c r="L114" s="328" t="e">
        <f t="shared" si="27"/>
        <v>#VALUE!</v>
      </c>
      <c r="M114" s="328" t="e">
        <f t="shared" si="27"/>
        <v>#VALUE!</v>
      </c>
      <c r="N114" s="328" t="e">
        <f t="shared" si="27"/>
        <v>#VALUE!</v>
      </c>
      <c r="O114" s="328" t="e">
        <f t="shared" si="27"/>
        <v>#VALUE!</v>
      </c>
      <c r="P114" s="328" t="e">
        <f t="shared" si="27"/>
        <v>#VALUE!</v>
      </c>
      <c r="Q114" s="328" t="e">
        <f t="shared" si="27"/>
        <v>#VALUE!</v>
      </c>
      <c r="R114" s="328" t="e">
        <f t="shared" si="27"/>
        <v>#VALUE!</v>
      </c>
      <c r="S114" s="328" t="e">
        <f t="shared" si="27"/>
        <v>#VALUE!</v>
      </c>
      <c r="T114" s="328" t="e">
        <f t="shared" si="27"/>
        <v>#VALUE!</v>
      </c>
      <c r="U114" s="328" t="e">
        <f t="shared" si="27"/>
        <v>#VALUE!</v>
      </c>
      <c r="V114" s="328" t="e">
        <f t="shared" si="27"/>
        <v>#VALUE!</v>
      </c>
      <c r="W114" s="328" t="e">
        <f t="shared" si="27"/>
        <v>#VALUE!</v>
      </c>
      <c r="X114" s="328" t="e">
        <f t="shared" si="27"/>
        <v>#VALUE!</v>
      </c>
      <c r="Y114" s="328" t="e">
        <f t="shared" si="27"/>
        <v>#VALUE!</v>
      </c>
      <c r="Z114" s="328" t="e">
        <f t="shared" si="27"/>
        <v>#VALUE!</v>
      </c>
      <c r="AA114" s="328" t="e">
        <f t="shared" si="27"/>
        <v>#VALUE!</v>
      </c>
      <c r="AB114" s="328" t="e">
        <f t="shared" si="27"/>
        <v>#VALUE!</v>
      </c>
      <c r="AC114" s="328" t="e">
        <f t="shared" si="27"/>
        <v>#VALUE!</v>
      </c>
      <c r="AD114" s="328" t="e">
        <f t="shared" si="27"/>
        <v>#VALUE!</v>
      </c>
      <c r="AE114" s="328" t="e">
        <f t="shared" si="27"/>
        <v>#VALUE!</v>
      </c>
      <c r="AF114" s="329" t="e">
        <f t="shared" si="27"/>
        <v>#VALUE!</v>
      </c>
      <c r="AG114" s="329" t="e">
        <f t="shared" si="27"/>
        <v>#VALUE!</v>
      </c>
      <c r="AH114" s="315" t="e">
        <f t="shared" si="27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8">D119+1</f>
        <v>2</v>
      </c>
      <c r="F119" s="302">
        <f t="shared" si="28"/>
        <v>3</v>
      </c>
      <c r="G119" s="302">
        <f t="shared" si="28"/>
        <v>4</v>
      </c>
      <c r="H119" s="302">
        <f t="shared" si="28"/>
        <v>5</v>
      </c>
      <c r="I119" s="302">
        <f t="shared" si="28"/>
        <v>6</v>
      </c>
      <c r="J119" s="302">
        <f t="shared" si="28"/>
        <v>7</v>
      </c>
      <c r="K119" s="302">
        <f t="shared" si="28"/>
        <v>8</v>
      </c>
      <c r="L119" s="302">
        <f t="shared" si="28"/>
        <v>9</v>
      </c>
      <c r="M119" s="302">
        <f t="shared" si="28"/>
        <v>10</v>
      </c>
      <c r="N119" s="302">
        <f t="shared" si="28"/>
        <v>11</v>
      </c>
      <c r="O119" s="302">
        <f t="shared" si="28"/>
        <v>12</v>
      </c>
      <c r="P119" s="302">
        <f t="shared" si="28"/>
        <v>13</v>
      </c>
      <c r="Q119" s="302">
        <f t="shared" si="28"/>
        <v>14</v>
      </c>
      <c r="R119" s="302">
        <f t="shared" si="28"/>
        <v>15</v>
      </c>
      <c r="S119" s="302">
        <f t="shared" si="28"/>
        <v>16</v>
      </c>
      <c r="T119" s="302">
        <f t="shared" si="28"/>
        <v>17</v>
      </c>
      <c r="U119" s="302">
        <f t="shared" si="28"/>
        <v>18</v>
      </c>
      <c r="V119" s="302">
        <f t="shared" si="28"/>
        <v>19</v>
      </c>
      <c r="W119" s="302">
        <f t="shared" si="28"/>
        <v>20</v>
      </c>
      <c r="X119" s="302">
        <f t="shared" si="28"/>
        <v>21</v>
      </c>
      <c r="Y119" s="302">
        <f t="shared" si="28"/>
        <v>22</v>
      </c>
      <c r="Z119" s="302">
        <f t="shared" si="28"/>
        <v>23</v>
      </c>
      <c r="AA119" s="302">
        <f t="shared" si="28"/>
        <v>24</v>
      </c>
      <c r="AB119" s="302">
        <f t="shared" si="28"/>
        <v>25</v>
      </c>
      <c r="AC119" s="302">
        <f t="shared" si="28"/>
        <v>26</v>
      </c>
      <c r="AD119" s="302">
        <f t="shared" si="28"/>
        <v>27</v>
      </c>
      <c r="AE119" s="302">
        <f t="shared" si="28"/>
        <v>28</v>
      </c>
      <c r="AF119" s="302">
        <f t="shared" si="28"/>
        <v>29</v>
      </c>
      <c r="AG119" s="302">
        <f t="shared" si="28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9">SUM(D120:AG120)</f>
        <v>0</v>
      </c>
    </row>
    <row r="121" spans="1:34">
      <c r="C121" s="304">
        <f t="shared" ref="C121:C150" si="30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9"/>
        <v>0</v>
      </c>
    </row>
    <row r="122" spans="1:34">
      <c r="C122" s="304">
        <f t="shared" si="30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9"/>
        <v>#VALUE!</v>
      </c>
    </row>
    <row r="123" spans="1:34">
      <c r="C123" s="304">
        <f t="shared" si="30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9"/>
        <v>#VALUE!</v>
      </c>
    </row>
    <row r="124" spans="1:34">
      <c r="C124" s="304">
        <f t="shared" si="30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9"/>
        <v>#VALUE!</v>
      </c>
    </row>
    <row r="125" spans="1:34">
      <c r="C125" s="304">
        <f t="shared" si="30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9"/>
        <v>#VALUE!</v>
      </c>
    </row>
    <row r="126" spans="1:34">
      <c r="C126" s="304">
        <f t="shared" si="30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9"/>
        <v>#VALUE!</v>
      </c>
    </row>
    <row r="127" spans="1:34">
      <c r="C127" s="304">
        <f t="shared" si="30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9"/>
        <v>#VALUE!</v>
      </c>
    </row>
    <row r="128" spans="1:34">
      <c r="C128" s="304">
        <f t="shared" si="30"/>
        <v>8</v>
      </c>
      <c r="D128" s="305" t="e">
        <f t="shared" ref="D128:O139" si="31">D127</f>
        <v>#VALUE!</v>
      </c>
      <c r="E128" s="305" t="e">
        <f t="shared" si="31"/>
        <v>#VALUE!</v>
      </c>
      <c r="F128" s="305" t="e">
        <f t="shared" si="31"/>
        <v>#VALUE!</v>
      </c>
      <c r="G128" s="305" t="e">
        <f t="shared" si="31"/>
        <v>#VALUE!</v>
      </c>
      <c r="H128" s="305" t="e">
        <f t="shared" si="31"/>
        <v>#VALUE!</v>
      </c>
      <c r="I128" s="305" t="e">
        <f t="shared" si="31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9"/>
        <v>#VALUE!</v>
      </c>
    </row>
    <row r="129" spans="3:34">
      <c r="C129" s="304">
        <f t="shared" si="30"/>
        <v>9</v>
      </c>
      <c r="D129" s="305" t="e">
        <f t="shared" si="31"/>
        <v>#VALUE!</v>
      </c>
      <c r="E129" s="305" t="e">
        <f t="shared" si="31"/>
        <v>#VALUE!</v>
      </c>
      <c r="F129" s="305" t="e">
        <f t="shared" si="31"/>
        <v>#VALUE!</v>
      </c>
      <c r="G129" s="305" t="e">
        <f t="shared" si="31"/>
        <v>#VALUE!</v>
      </c>
      <c r="H129" s="305" t="e">
        <f t="shared" si="31"/>
        <v>#VALUE!</v>
      </c>
      <c r="I129" s="305" t="e">
        <f t="shared" si="31"/>
        <v>#VALUE!</v>
      </c>
      <c r="J129" s="305" t="e">
        <f t="shared" si="31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9"/>
        <v>#VALUE!</v>
      </c>
    </row>
    <row r="130" spans="3:34">
      <c r="C130" s="304">
        <f t="shared" si="30"/>
        <v>10</v>
      </c>
      <c r="D130" s="305" t="e">
        <f t="shared" si="31"/>
        <v>#VALUE!</v>
      </c>
      <c r="E130" s="305" t="e">
        <f t="shared" si="31"/>
        <v>#VALUE!</v>
      </c>
      <c r="F130" s="305" t="e">
        <f t="shared" si="31"/>
        <v>#VALUE!</v>
      </c>
      <c r="G130" s="305" t="e">
        <f t="shared" si="31"/>
        <v>#VALUE!</v>
      </c>
      <c r="H130" s="305" t="e">
        <f t="shared" si="31"/>
        <v>#VALUE!</v>
      </c>
      <c r="I130" s="305" t="e">
        <f t="shared" si="31"/>
        <v>#VALUE!</v>
      </c>
      <c r="J130" s="305" t="e">
        <f t="shared" si="31"/>
        <v>#VALUE!</v>
      </c>
      <c r="K130" s="305" t="e">
        <f t="shared" si="31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9"/>
        <v>#VALUE!</v>
      </c>
    </row>
    <row r="131" spans="3:34">
      <c r="C131" s="304">
        <f t="shared" si="30"/>
        <v>11</v>
      </c>
      <c r="D131" s="305" t="e">
        <f t="shared" si="31"/>
        <v>#VALUE!</v>
      </c>
      <c r="E131" s="305" t="e">
        <f t="shared" si="31"/>
        <v>#VALUE!</v>
      </c>
      <c r="F131" s="305" t="e">
        <f t="shared" si="31"/>
        <v>#VALUE!</v>
      </c>
      <c r="G131" s="305" t="e">
        <f t="shared" si="31"/>
        <v>#VALUE!</v>
      </c>
      <c r="H131" s="305" t="e">
        <f t="shared" si="31"/>
        <v>#VALUE!</v>
      </c>
      <c r="I131" s="305" t="e">
        <f t="shared" si="31"/>
        <v>#VALUE!</v>
      </c>
      <c r="J131" s="305" t="e">
        <f t="shared" si="31"/>
        <v>#VALUE!</v>
      </c>
      <c r="K131" s="305" t="e">
        <f t="shared" si="31"/>
        <v>#VALUE!</v>
      </c>
      <c r="L131" s="305" t="e">
        <f t="shared" si="31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9"/>
        <v>#VALUE!</v>
      </c>
    </row>
    <row r="132" spans="3:34">
      <c r="C132" s="304">
        <f t="shared" si="30"/>
        <v>12</v>
      </c>
      <c r="D132" s="305" t="e">
        <f t="shared" si="31"/>
        <v>#VALUE!</v>
      </c>
      <c r="E132" s="305" t="e">
        <f t="shared" si="31"/>
        <v>#VALUE!</v>
      </c>
      <c r="F132" s="305" t="e">
        <f t="shared" si="31"/>
        <v>#VALUE!</v>
      </c>
      <c r="G132" s="305" t="e">
        <f t="shared" si="31"/>
        <v>#VALUE!</v>
      </c>
      <c r="H132" s="305" t="e">
        <f t="shared" si="31"/>
        <v>#VALUE!</v>
      </c>
      <c r="I132" s="305" t="e">
        <f t="shared" si="31"/>
        <v>#VALUE!</v>
      </c>
      <c r="J132" s="305" t="e">
        <f t="shared" si="31"/>
        <v>#VALUE!</v>
      </c>
      <c r="K132" s="305" t="e">
        <f t="shared" si="31"/>
        <v>#VALUE!</v>
      </c>
      <c r="L132" s="305" t="e">
        <f t="shared" si="31"/>
        <v>#VALUE!</v>
      </c>
      <c r="M132" s="305" t="e">
        <f t="shared" si="31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9"/>
        <v>#VALUE!</v>
      </c>
    </row>
    <row r="133" spans="3:34">
      <c r="C133" s="304">
        <f t="shared" si="30"/>
        <v>13</v>
      </c>
      <c r="D133" s="305" t="e">
        <f t="shared" si="31"/>
        <v>#VALUE!</v>
      </c>
      <c r="E133" s="305" t="e">
        <f t="shared" si="31"/>
        <v>#VALUE!</v>
      </c>
      <c r="F133" s="305" t="e">
        <f t="shared" si="31"/>
        <v>#VALUE!</v>
      </c>
      <c r="G133" s="305" t="e">
        <f t="shared" si="31"/>
        <v>#VALUE!</v>
      </c>
      <c r="H133" s="305" t="e">
        <f t="shared" si="31"/>
        <v>#VALUE!</v>
      </c>
      <c r="I133" s="305" t="e">
        <f t="shared" si="31"/>
        <v>#VALUE!</v>
      </c>
      <c r="J133" s="305" t="e">
        <f t="shared" si="31"/>
        <v>#VALUE!</v>
      </c>
      <c r="K133" s="305" t="e">
        <f t="shared" si="31"/>
        <v>#VALUE!</v>
      </c>
      <c r="L133" s="305" t="e">
        <f t="shared" si="31"/>
        <v>#VALUE!</v>
      </c>
      <c r="M133" s="305" t="e">
        <f t="shared" si="31"/>
        <v>#VALUE!</v>
      </c>
      <c r="N133" s="305" t="e">
        <f t="shared" si="31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9"/>
        <v>#VALUE!</v>
      </c>
    </row>
    <row r="134" spans="3:34">
      <c r="C134" s="304">
        <f t="shared" si="30"/>
        <v>14</v>
      </c>
      <c r="D134" s="305" t="e">
        <f t="shared" si="31"/>
        <v>#VALUE!</v>
      </c>
      <c r="E134" s="305" t="e">
        <f t="shared" si="31"/>
        <v>#VALUE!</v>
      </c>
      <c r="F134" s="305" t="e">
        <f t="shared" si="31"/>
        <v>#VALUE!</v>
      </c>
      <c r="G134" s="305" t="e">
        <f t="shared" si="31"/>
        <v>#VALUE!</v>
      </c>
      <c r="H134" s="305" t="e">
        <f t="shared" si="31"/>
        <v>#VALUE!</v>
      </c>
      <c r="I134" s="305" t="e">
        <f t="shared" si="31"/>
        <v>#VALUE!</v>
      </c>
      <c r="J134" s="305" t="e">
        <f t="shared" si="31"/>
        <v>#VALUE!</v>
      </c>
      <c r="K134" s="305" t="e">
        <f t="shared" si="31"/>
        <v>#VALUE!</v>
      </c>
      <c r="L134" s="305" t="e">
        <f t="shared" si="31"/>
        <v>#VALUE!</v>
      </c>
      <c r="M134" s="305" t="e">
        <f t="shared" si="31"/>
        <v>#VALUE!</v>
      </c>
      <c r="N134" s="305" t="e">
        <f t="shared" si="31"/>
        <v>#VALUE!</v>
      </c>
      <c r="O134" s="305" t="e">
        <f t="shared" si="31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9"/>
        <v>#VALUE!</v>
      </c>
    </row>
    <row r="135" spans="3:34">
      <c r="C135" s="304">
        <f t="shared" si="30"/>
        <v>15</v>
      </c>
      <c r="D135" s="305" t="e">
        <f t="shared" si="31"/>
        <v>#VALUE!</v>
      </c>
      <c r="E135" s="305" t="e">
        <f t="shared" si="31"/>
        <v>#VALUE!</v>
      </c>
      <c r="F135" s="305" t="e">
        <f t="shared" si="31"/>
        <v>#VALUE!</v>
      </c>
      <c r="G135" s="305" t="e">
        <f t="shared" si="31"/>
        <v>#VALUE!</v>
      </c>
      <c r="H135" s="305" t="e">
        <f t="shared" si="31"/>
        <v>#VALUE!</v>
      </c>
      <c r="I135" s="305" t="e">
        <f t="shared" si="31"/>
        <v>#VALUE!</v>
      </c>
      <c r="J135" s="305" t="e">
        <f t="shared" si="31"/>
        <v>#VALUE!</v>
      </c>
      <c r="K135" s="305" t="e">
        <f t="shared" si="31"/>
        <v>#VALUE!</v>
      </c>
      <c r="L135" s="305" t="e">
        <f t="shared" si="31"/>
        <v>#VALUE!</v>
      </c>
      <c r="M135" s="305" t="e">
        <f t="shared" si="31"/>
        <v>#VALUE!</v>
      </c>
      <c r="N135" s="305" t="e">
        <f t="shared" si="31"/>
        <v>#VALUE!</v>
      </c>
      <c r="O135" s="305" t="e">
        <f t="shared" si="31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9"/>
        <v>#VALUE!</v>
      </c>
    </row>
    <row r="136" spans="3:34">
      <c r="C136" s="304">
        <f t="shared" si="30"/>
        <v>16</v>
      </c>
      <c r="D136" s="305" t="e">
        <f t="shared" si="31"/>
        <v>#VALUE!</v>
      </c>
      <c r="E136" s="305" t="e">
        <f t="shared" si="31"/>
        <v>#VALUE!</v>
      </c>
      <c r="F136" s="305" t="e">
        <f t="shared" si="31"/>
        <v>#VALUE!</v>
      </c>
      <c r="G136" s="305" t="e">
        <f t="shared" si="31"/>
        <v>#VALUE!</v>
      </c>
      <c r="H136" s="305" t="e">
        <f t="shared" si="31"/>
        <v>#VALUE!</v>
      </c>
      <c r="I136" s="305" t="e">
        <f t="shared" si="31"/>
        <v>#VALUE!</v>
      </c>
      <c r="J136" s="305" t="e">
        <f t="shared" si="31"/>
        <v>#VALUE!</v>
      </c>
      <c r="K136" s="305" t="e">
        <f t="shared" si="31"/>
        <v>#VALUE!</v>
      </c>
      <c r="L136" s="305" t="e">
        <f t="shared" si="31"/>
        <v>#VALUE!</v>
      </c>
      <c r="M136" s="305" t="e">
        <f t="shared" si="31"/>
        <v>#VALUE!</v>
      </c>
      <c r="N136" s="305" t="e">
        <f t="shared" si="31"/>
        <v>#VALUE!</v>
      </c>
      <c r="O136" s="305" t="e">
        <f t="shared" si="31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9"/>
        <v>#VALUE!</v>
      </c>
    </row>
    <row r="137" spans="3:34">
      <c r="C137" s="304">
        <f t="shared" si="30"/>
        <v>17</v>
      </c>
      <c r="D137" s="305"/>
      <c r="E137" s="305" t="e">
        <f t="shared" si="31"/>
        <v>#VALUE!</v>
      </c>
      <c r="F137" s="305" t="e">
        <f t="shared" si="31"/>
        <v>#VALUE!</v>
      </c>
      <c r="G137" s="305" t="e">
        <f t="shared" si="31"/>
        <v>#VALUE!</v>
      </c>
      <c r="H137" s="305" t="e">
        <f t="shared" si="31"/>
        <v>#VALUE!</v>
      </c>
      <c r="I137" s="305" t="e">
        <f t="shared" si="31"/>
        <v>#VALUE!</v>
      </c>
      <c r="J137" s="305" t="e">
        <f t="shared" si="31"/>
        <v>#VALUE!</v>
      </c>
      <c r="K137" s="305" t="e">
        <f t="shared" si="31"/>
        <v>#VALUE!</v>
      </c>
      <c r="L137" s="305" t="e">
        <f t="shared" si="31"/>
        <v>#VALUE!</v>
      </c>
      <c r="M137" s="305" t="e">
        <f t="shared" si="31"/>
        <v>#VALUE!</v>
      </c>
      <c r="N137" s="305" t="e">
        <f t="shared" si="31"/>
        <v>#VALUE!</v>
      </c>
      <c r="O137" s="305" t="e">
        <f t="shared" si="31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9"/>
        <v>#VALUE!</v>
      </c>
    </row>
    <row r="138" spans="3:34">
      <c r="C138" s="304">
        <f t="shared" si="30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1"/>
        <v>#VALUE!</v>
      </c>
      <c r="L138" s="305" t="e">
        <f t="shared" si="31"/>
        <v>#VALUE!</v>
      </c>
      <c r="M138" s="305" t="e">
        <f t="shared" si="31"/>
        <v>#VALUE!</v>
      </c>
      <c r="N138" s="305" t="e">
        <f t="shared" si="31"/>
        <v>#VALUE!</v>
      </c>
      <c r="O138" s="305" t="e">
        <f t="shared" si="31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9"/>
        <v>#VALUE!</v>
      </c>
    </row>
    <row r="139" spans="3:34">
      <c r="C139" s="304">
        <f t="shared" si="30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1"/>
        <v>#VALUE!</v>
      </c>
      <c r="L139" s="305" t="e">
        <f t="shared" si="31"/>
        <v>#VALUE!</v>
      </c>
      <c r="M139" s="305" t="e">
        <f t="shared" si="31"/>
        <v>#VALUE!</v>
      </c>
      <c r="N139" s="305" t="e">
        <f t="shared" si="31"/>
        <v>#VALUE!</v>
      </c>
      <c r="O139" s="305" t="e">
        <f t="shared" si="31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2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9"/>
        <v>#VALUE!</v>
      </c>
    </row>
    <row r="140" spans="3:34">
      <c r="C140" s="304">
        <f t="shared" si="30"/>
        <v>20</v>
      </c>
      <c r="D140" s="305"/>
      <c r="E140" s="305"/>
      <c r="F140" s="305"/>
      <c r="G140" s="305"/>
      <c r="H140" s="305" t="e">
        <f t="shared" ref="H140:R150" si="33">H139</f>
        <v>#VALUE!</v>
      </c>
      <c r="I140" s="305" t="e">
        <f t="shared" si="33"/>
        <v>#VALUE!</v>
      </c>
      <c r="J140" s="305" t="e">
        <f t="shared" si="33"/>
        <v>#VALUE!</v>
      </c>
      <c r="K140" s="305" t="e">
        <f t="shared" si="33"/>
        <v>#VALUE!</v>
      </c>
      <c r="L140" s="305" t="e">
        <f t="shared" si="33"/>
        <v>#VALUE!</v>
      </c>
      <c r="M140" s="305" t="e">
        <f t="shared" si="33"/>
        <v>#VALUE!</v>
      </c>
      <c r="N140" s="305" t="e">
        <f t="shared" si="33"/>
        <v>#VALUE!</v>
      </c>
      <c r="O140" s="305" t="e">
        <f t="shared" si="33"/>
        <v>#VALUE!</v>
      </c>
      <c r="P140" s="305" t="e">
        <f t="shared" si="33"/>
        <v>#VALUE!</v>
      </c>
      <c r="Q140" s="305" t="e">
        <f t="shared" si="33"/>
        <v>#VALUE!</v>
      </c>
      <c r="R140" s="305" t="e">
        <f t="shared" si="33"/>
        <v>#VALUE!</v>
      </c>
      <c r="S140" s="305" t="e">
        <f t="shared" si="32"/>
        <v>#VALUE!</v>
      </c>
      <c r="T140" s="305" t="e">
        <f t="shared" si="32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9"/>
        <v>#VALUE!</v>
      </c>
    </row>
    <row r="141" spans="3:34">
      <c r="C141" s="304">
        <f t="shared" si="30"/>
        <v>21</v>
      </c>
      <c r="D141" s="305"/>
      <c r="E141" s="305"/>
      <c r="F141" s="305"/>
      <c r="G141" s="305"/>
      <c r="H141" s="305"/>
      <c r="I141" s="305" t="e">
        <f t="shared" si="33"/>
        <v>#VALUE!</v>
      </c>
      <c r="J141" s="305" t="e">
        <f t="shared" si="33"/>
        <v>#VALUE!</v>
      </c>
      <c r="K141" s="305" t="e">
        <f t="shared" si="33"/>
        <v>#VALUE!</v>
      </c>
      <c r="L141" s="305" t="e">
        <f t="shared" si="33"/>
        <v>#VALUE!</v>
      </c>
      <c r="M141" s="305" t="e">
        <f t="shared" si="33"/>
        <v>#VALUE!</v>
      </c>
      <c r="N141" s="305" t="e">
        <f t="shared" si="33"/>
        <v>#VALUE!</v>
      </c>
      <c r="O141" s="305" t="e">
        <f t="shared" si="33"/>
        <v>#VALUE!</v>
      </c>
      <c r="P141" s="305" t="e">
        <f t="shared" si="33"/>
        <v>#VALUE!</v>
      </c>
      <c r="Q141" s="305" t="e">
        <f t="shared" si="33"/>
        <v>#VALUE!</v>
      </c>
      <c r="R141" s="305" t="e">
        <f t="shared" si="33"/>
        <v>#VALUE!</v>
      </c>
      <c r="S141" s="305" t="e">
        <f t="shared" si="32"/>
        <v>#VALUE!</v>
      </c>
      <c r="T141" s="305" t="e">
        <f t="shared" si="32"/>
        <v>#VALUE!</v>
      </c>
      <c r="U141" s="305" t="e">
        <f t="shared" si="32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9"/>
        <v>#VALUE!</v>
      </c>
    </row>
    <row r="142" spans="3:34">
      <c r="C142" s="330">
        <f t="shared" si="30"/>
        <v>22</v>
      </c>
      <c r="D142" s="305"/>
      <c r="E142" s="305"/>
      <c r="F142" s="305"/>
      <c r="G142" s="305"/>
      <c r="H142" s="305"/>
      <c r="I142" s="305"/>
      <c r="J142" s="305" t="e">
        <f t="shared" si="33"/>
        <v>#VALUE!</v>
      </c>
      <c r="K142" s="305" t="e">
        <f t="shared" si="33"/>
        <v>#VALUE!</v>
      </c>
      <c r="L142" s="305" t="e">
        <f t="shared" si="33"/>
        <v>#VALUE!</v>
      </c>
      <c r="M142" s="305" t="e">
        <f t="shared" si="33"/>
        <v>#VALUE!</v>
      </c>
      <c r="N142" s="305" t="e">
        <f t="shared" si="33"/>
        <v>#VALUE!</v>
      </c>
      <c r="O142" s="305" t="e">
        <f t="shared" si="33"/>
        <v>#VALUE!</v>
      </c>
      <c r="P142" s="305" t="e">
        <f t="shared" si="33"/>
        <v>#VALUE!</v>
      </c>
      <c r="Q142" s="305" t="e">
        <f t="shared" si="33"/>
        <v>#VALUE!</v>
      </c>
      <c r="R142" s="305" t="e">
        <f t="shared" si="33"/>
        <v>#VALUE!</v>
      </c>
      <c r="S142" s="305" t="e">
        <f t="shared" si="32"/>
        <v>#VALUE!</v>
      </c>
      <c r="T142" s="305" t="e">
        <f t="shared" si="32"/>
        <v>#VALUE!</v>
      </c>
      <c r="U142" s="305" t="e">
        <f t="shared" si="32"/>
        <v>#VALUE!</v>
      </c>
      <c r="V142" s="305" t="e">
        <f t="shared" si="32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9"/>
        <v>#VALUE!</v>
      </c>
    </row>
    <row r="143" spans="3:34">
      <c r="C143" s="330">
        <f t="shared" si="30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3"/>
        <v>#VALUE!</v>
      </c>
      <c r="L143" s="305" t="e">
        <f t="shared" si="33"/>
        <v>#VALUE!</v>
      </c>
      <c r="M143" s="305" t="e">
        <f t="shared" si="33"/>
        <v>#VALUE!</v>
      </c>
      <c r="N143" s="305" t="e">
        <f t="shared" si="33"/>
        <v>#VALUE!</v>
      </c>
      <c r="O143" s="305" t="e">
        <f t="shared" si="33"/>
        <v>#VALUE!</v>
      </c>
      <c r="P143" s="305" t="e">
        <f t="shared" si="33"/>
        <v>#VALUE!</v>
      </c>
      <c r="Q143" s="305" t="e">
        <f t="shared" si="33"/>
        <v>#VALUE!</v>
      </c>
      <c r="R143" s="305" t="e">
        <f t="shared" si="33"/>
        <v>#VALUE!</v>
      </c>
      <c r="S143" s="305" t="e">
        <f t="shared" si="32"/>
        <v>#VALUE!</v>
      </c>
      <c r="T143" s="305" t="e">
        <f t="shared" si="32"/>
        <v>#VALUE!</v>
      </c>
      <c r="U143" s="305" t="e">
        <f t="shared" si="32"/>
        <v>#VALUE!</v>
      </c>
      <c r="V143" s="305" t="e">
        <f t="shared" si="32"/>
        <v>#VALUE!</v>
      </c>
      <c r="W143" s="305" t="e">
        <f t="shared" si="32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9"/>
        <v>#VALUE!</v>
      </c>
    </row>
    <row r="144" spans="3:34">
      <c r="C144" s="330">
        <f t="shared" si="30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3"/>
        <v>#VALUE!</v>
      </c>
      <c r="M144" s="305" t="e">
        <f t="shared" si="33"/>
        <v>#VALUE!</v>
      </c>
      <c r="N144" s="305" t="e">
        <f t="shared" si="33"/>
        <v>#VALUE!</v>
      </c>
      <c r="O144" s="305" t="e">
        <f t="shared" si="33"/>
        <v>#VALUE!</v>
      </c>
      <c r="P144" s="305" t="e">
        <f t="shared" si="33"/>
        <v>#VALUE!</v>
      </c>
      <c r="Q144" s="305" t="e">
        <f t="shared" si="33"/>
        <v>#VALUE!</v>
      </c>
      <c r="R144" s="305" t="e">
        <f t="shared" si="33"/>
        <v>#VALUE!</v>
      </c>
      <c r="S144" s="305" t="e">
        <f t="shared" si="32"/>
        <v>#VALUE!</v>
      </c>
      <c r="T144" s="305" t="e">
        <f t="shared" si="32"/>
        <v>#VALUE!</v>
      </c>
      <c r="U144" s="305" t="e">
        <f t="shared" si="32"/>
        <v>#VALUE!</v>
      </c>
      <c r="V144" s="305" t="e">
        <f t="shared" si="32"/>
        <v>#VALUE!</v>
      </c>
      <c r="W144" s="305" t="e">
        <f t="shared" si="32"/>
        <v>#VALUE!</v>
      </c>
      <c r="X144" s="305" t="e">
        <f t="shared" si="32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9"/>
        <v>#VALUE!</v>
      </c>
    </row>
    <row r="145" spans="1:34">
      <c r="C145" s="330">
        <f t="shared" si="30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3"/>
        <v>#VALUE!</v>
      </c>
      <c r="N145" s="305" t="e">
        <f t="shared" si="33"/>
        <v>#VALUE!</v>
      </c>
      <c r="O145" s="305" t="e">
        <f t="shared" si="33"/>
        <v>#VALUE!</v>
      </c>
      <c r="P145" s="305" t="e">
        <f t="shared" si="33"/>
        <v>#VALUE!</v>
      </c>
      <c r="Q145" s="305" t="e">
        <f t="shared" si="33"/>
        <v>#VALUE!</v>
      </c>
      <c r="R145" s="305" t="e">
        <f t="shared" si="33"/>
        <v>#VALUE!</v>
      </c>
      <c r="S145" s="305" t="e">
        <f t="shared" si="32"/>
        <v>#VALUE!</v>
      </c>
      <c r="T145" s="305" t="e">
        <f t="shared" si="32"/>
        <v>#VALUE!</v>
      </c>
      <c r="U145" s="305" t="e">
        <f t="shared" si="32"/>
        <v>#VALUE!</v>
      </c>
      <c r="V145" s="305" t="e">
        <f t="shared" si="32"/>
        <v>#VALUE!</v>
      </c>
      <c r="W145" s="305" t="e">
        <f t="shared" si="32"/>
        <v>#VALUE!</v>
      </c>
      <c r="X145" s="305" t="e">
        <f t="shared" si="32"/>
        <v>#VALUE!</v>
      </c>
      <c r="Y145" s="305" t="e">
        <f t="shared" si="32"/>
        <v>#VALUE!</v>
      </c>
      <c r="Z145" s="305" t="e">
        <f t="shared" si="32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9"/>
        <v>#VALUE!</v>
      </c>
    </row>
    <row r="146" spans="1:34">
      <c r="C146" s="330">
        <f t="shared" si="30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3"/>
        <v>#VALUE!</v>
      </c>
      <c r="O146" s="305" t="e">
        <f t="shared" si="33"/>
        <v>#VALUE!</v>
      </c>
      <c r="P146" s="305" t="e">
        <f t="shared" si="33"/>
        <v>#VALUE!</v>
      </c>
      <c r="Q146" s="305" t="e">
        <f t="shared" si="33"/>
        <v>#VALUE!</v>
      </c>
      <c r="R146" s="305" t="e">
        <f t="shared" si="33"/>
        <v>#VALUE!</v>
      </c>
      <c r="S146" s="305" t="e">
        <f t="shared" si="32"/>
        <v>#VALUE!</v>
      </c>
      <c r="T146" s="305" t="e">
        <f t="shared" si="32"/>
        <v>#VALUE!</v>
      </c>
      <c r="U146" s="305" t="e">
        <f t="shared" si="32"/>
        <v>#VALUE!</v>
      </c>
      <c r="V146" s="305" t="e">
        <f t="shared" si="32"/>
        <v>#VALUE!</v>
      </c>
      <c r="W146" s="305" t="e">
        <f t="shared" si="32"/>
        <v>#VALUE!</v>
      </c>
      <c r="X146" s="305" t="e">
        <f t="shared" si="32"/>
        <v>#VALUE!</v>
      </c>
      <c r="Y146" s="305" t="e">
        <f t="shared" si="32"/>
        <v>#VALUE!</v>
      </c>
      <c r="Z146" s="305" t="e">
        <f t="shared" si="32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9"/>
        <v>#VALUE!</v>
      </c>
    </row>
    <row r="147" spans="1:34">
      <c r="C147" s="330">
        <f t="shared" si="30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3"/>
        <v>#VALUE!</v>
      </c>
      <c r="P147" s="305" t="e">
        <f t="shared" si="33"/>
        <v>#VALUE!</v>
      </c>
      <c r="Q147" s="305" t="e">
        <f t="shared" si="33"/>
        <v>#VALUE!</v>
      </c>
      <c r="R147" s="305" t="e">
        <f t="shared" si="33"/>
        <v>#VALUE!</v>
      </c>
      <c r="S147" s="305" t="e">
        <f t="shared" si="32"/>
        <v>#VALUE!</v>
      </c>
      <c r="T147" s="305" t="e">
        <f t="shared" si="32"/>
        <v>#VALUE!</v>
      </c>
      <c r="U147" s="305" t="e">
        <f t="shared" si="32"/>
        <v>#VALUE!</v>
      </c>
      <c r="V147" s="305" t="e">
        <f t="shared" si="32"/>
        <v>#VALUE!</v>
      </c>
      <c r="W147" s="305" t="e">
        <f t="shared" si="32"/>
        <v>#VALUE!</v>
      </c>
      <c r="X147" s="305" t="e">
        <f t="shared" si="32"/>
        <v>#VALUE!</v>
      </c>
      <c r="Y147" s="305" t="e">
        <f t="shared" si="32"/>
        <v>#VALUE!</v>
      </c>
      <c r="Z147" s="305" t="e">
        <f t="shared" si="32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9"/>
        <v>#VALUE!</v>
      </c>
    </row>
    <row r="148" spans="1:34">
      <c r="C148" s="330">
        <f t="shared" si="30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3"/>
        <v>#VALUE!</v>
      </c>
      <c r="Q148" s="305" t="e">
        <f t="shared" si="33"/>
        <v>#VALUE!</v>
      </c>
      <c r="R148" s="305" t="e">
        <f t="shared" si="33"/>
        <v>#VALUE!</v>
      </c>
      <c r="S148" s="305" t="e">
        <f t="shared" si="32"/>
        <v>#VALUE!</v>
      </c>
      <c r="T148" s="305" t="e">
        <f t="shared" si="32"/>
        <v>#VALUE!</v>
      </c>
      <c r="U148" s="305" t="e">
        <f t="shared" si="32"/>
        <v>#VALUE!</v>
      </c>
      <c r="V148" s="305" t="e">
        <f t="shared" si="32"/>
        <v>#VALUE!</v>
      </c>
      <c r="W148" s="305" t="e">
        <f t="shared" si="32"/>
        <v>#VALUE!</v>
      </c>
      <c r="X148" s="305" t="e">
        <f t="shared" si="32"/>
        <v>#VALUE!</v>
      </c>
      <c r="Y148" s="305" t="e">
        <f t="shared" si="32"/>
        <v>#VALUE!</v>
      </c>
      <c r="Z148" s="305" t="e">
        <f t="shared" si="32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9"/>
        <v>#VALUE!</v>
      </c>
    </row>
    <row r="149" spans="1:34">
      <c r="C149" s="307">
        <f t="shared" si="30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3"/>
        <v>#VALUE!</v>
      </c>
      <c r="R149" s="305" t="e">
        <f t="shared" si="33"/>
        <v>#VALUE!</v>
      </c>
      <c r="S149" s="305" t="e">
        <f t="shared" si="32"/>
        <v>#VALUE!</v>
      </c>
      <c r="T149" s="305" t="e">
        <f t="shared" si="32"/>
        <v>#VALUE!</v>
      </c>
      <c r="U149" s="305" t="e">
        <f t="shared" si="32"/>
        <v>#VALUE!</v>
      </c>
      <c r="V149" s="305" t="e">
        <f t="shared" si="32"/>
        <v>#VALUE!</v>
      </c>
      <c r="W149" s="305" t="e">
        <f t="shared" si="32"/>
        <v>#VALUE!</v>
      </c>
      <c r="X149" s="305" t="e">
        <f t="shared" si="32"/>
        <v>#VALUE!</v>
      </c>
      <c r="Y149" s="305" t="e">
        <f t="shared" si="32"/>
        <v>#VALUE!</v>
      </c>
      <c r="Z149" s="305" t="e">
        <f t="shared" si="32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9"/>
        <v>#VALUE!</v>
      </c>
    </row>
    <row r="150" spans="1:34" ht="13.5" thickBot="1">
      <c r="C150" s="307">
        <f t="shared" si="30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3"/>
        <v>#VALUE!</v>
      </c>
      <c r="S150" s="305" t="e">
        <f t="shared" si="32"/>
        <v>#VALUE!</v>
      </c>
      <c r="T150" s="305" t="e">
        <f t="shared" si="32"/>
        <v>#VALUE!</v>
      </c>
      <c r="U150" s="305" t="e">
        <f t="shared" si="32"/>
        <v>#VALUE!</v>
      </c>
      <c r="V150" s="305" t="e">
        <f t="shared" si="32"/>
        <v>#VALUE!</v>
      </c>
      <c r="W150" s="305" t="e">
        <f t="shared" si="32"/>
        <v>#VALUE!</v>
      </c>
      <c r="X150" s="305" t="e">
        <f t="shared" si="32"/>
        <v>#VALUE!</v>
      </c>
      <c r="Y150" s="305" t="e">
        <f t="shared" si="32"/>
        <v>#VALUE!</v>
      </c>
      <c r="Z150" s="305" t="e">
        <f t="shared" si="32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9"/>
        <v>#VALUE!</v>
      </c>
    </row>
    <row r="151" spans="1:34" ht="14.25" thickTop="1" thickBot="1">
      <c r="C151" s="311" t="s">
        <v>0</v>
      </c>
      <c r="D151" s="328" t="e">
        <f t="shared" ref="D151:AH151" si="34">SUM(D120:D150)</f>
        <v>#VALUE!</v>
      </c>
      <c r="E151" s="328" t="e">
        <f t="shared" si="34"/>
        <v>#VALUE!</v>
      </c>
      <c r="F151" s="328" t="e">
        <f t="shared" si="34"/>
        <v>#VALUE!</v>
      </c>
      <c r="G151" s="328" t="e">
        <f t="shared" si="34"/>
        <v>#VALUE!</v>
      </c>
      <c r="H151" s="328" t="e">
        <f t="shared" si="34"/>
        <v>#VALUE!</v>
      </c>
      <c r="I151" s="328" t="e">
        <f t="shared" si="34"/>
        <v>#VALUE!</v>
      </c>
      <c r="J151" s="328" t="e">
        <f t="shared" si="34"/>
        <v>#VALUE!</v>
      </c>
      <c r="K151" s="328" t="e">
        <f t="shared" si="34"/>
        <v>#VALUE!</v>
      </c>
      <c r="L151" s="328" t="e">
        <f t="shared" si="34"/>
        <v>#VALUE!</v>
      </c>
      <c r="M151" s="328" t="e">
        <f t="shared" si="34"/>
        <v>#VALUE!</v>
      </c>
      <c r="N151" s="328" t="e">
        <f t="shared" si="34"/>
        <v>#VALUE!</v>
      </c>
      <c r="O151" s="328" t="e">
        <f t="shared" si="34"/>
        <v>#VALUE!</v>
      </c>
      <c r="P151" s="328" t="e">
        <f t="shared" si="34"/>
        <v>#VALUE!</v>
      </c>
      <c r="Q151" s="328" t="e">
        <f t="shared" si="34"/>
        <v>#VALUE!</v>
      </c>
      <c r="R151" s="328" t="e">
        <f t="shared" si="34"/>
        <v>#VALUE!</v>
      </c>
      <c r="S151" s="328" t="e">
        <f t="shared" si="34"/>
        <v>#VALUE!</v>
      </c>
      <c r="T151" s="328" t="e">
        <f t="shared" si="34"/>
        <v>#VALUE!</v>
      </c>
      <c r="U151" s="328" t="e">
        <f t="shared" si="34"/>
        <v>#VALUE!</v>
      </c>
      <c r="V151" s="328" t="e">
        <f t="shared" si="34"/>
        <v>#VALUE!</v>
      </c>
      <c r="W151" s="328" t="e">
        <f t="shared" si="34"/>
        <v>#VALUE!</v>
      </c>
      <c r="X151" s="328" t="e">
        <f t="shared" si="34"/>
        <v>#VALUE!</v>
      </c>
      <c r="Y151" s="328" t="e">
        <f t="shared" si="34"/>
        <v>#VALUE!</v>
      </c>
      <c r="Z151" s="328" t="e">
        <f t="shared" si="34"/>
        <v>#VALUE!</v>
      </c>
      <c r="AA151" s="328" t="e">
        <f t="shared" si="34"/>
        <v>#VALUE!</v>
      </c>
      <c r="AB151" s="328" t="e">
        <f t="shared" si="34"/>
        <v>#VALUE!</v>
      </c>
      <c r="AC151" s="328" t="e">
        <f t="shared" si="34"/>
        <v>#VALUE!</v>
      </c>
      <c r="AD151" s="328" t="e">
        <f t="shared" si="34"/>
        <v>#VALUE!</v>
      </c>
      <c r="AE151" s="328" t="e">
        <f t="shared" si="34"/>
        <v>#VALUE!</v>
      </c>
      <c r="AF151" s="329" t="e">
        <f t="shared" si="34"/>
        <v>#VALUE!</v>
      </c>
      <c r="AG151" s="328">
        <f t="shared" si="34"/>
        <v>0</v>
      </c>
      <c r="AH151" s="315" t="e">
        <f t="shared" si="34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5">D156+1</f>
        <v>2</v>
      </c>
      <c r="F156" s="302">
        <f t="shared" si="35"/>
        <v>3</v>
      </c>
      <c r="G156" s="302">
        <f t="shared" si="35"/>
        <v>4</v>
      </c>
      <c r="H156" s="302">
        <f t="shared" si="35"/>
        <v>5</v>
      </c>
      <c r="I156" s="302">
        <f t="shared" si="35"/>
        <v>6</v>
      </c>
      <c r="J156" s="302">
        <f t="shared" si="35"/>
        <v>7</v>
      </c>
      <c r="K156" s="302">
        <f t="shared" si="35"/>
        <v>8</v>
      </c>
      <c r="L156" s="302">
        <f t="shared" si="35"/>
        <v>9</v>
      </c>
      <c r="M156" s="302">
        <f t="shared" si="35"/>
        <v>10</v>
      </c>
      <c r="N156" s="302">
        <f t="shared" si="35"/>
        <v>11</v>
      </c>
      <c r="O156" s="302">
        <f t="shared" si="35"/>
        <v>12</v>
      </c>
      <c r="P156" s="302">
        <f t="shared" si="35"/>
        <v>13</v>
      </c>
      <c r="Q156" s="302">
        <f t="shared" si="35"/>
        <v>14</v>
      </c>
      <c r="R156" s="302">
        <f t="shared" si="35"/>
        <v>15</v>
      </c>
      <c r="S156" s="302">
        <f t="shared" si="35"/>
        <v>16</v>
      </c>
      <c r="T156" s="302">
        <f t="shared" si="35"/>
        <v>17</v>
      </c>
      <c r="U156" s="302">
        <f t="shared" si="35"/>
        <v>18</v>
      </c>
      <c r="V156" s="302">
        <f t="shared" si="35"/>
        <v>19</v>
      </c>
      <c r="W156" s="302">
        <f t="shared" si="35"/>
        <v>20</v>
      </c>
      <c r="X156" s="302">
        <f t="shared" si="35"/>
        <v>21</v>
      </c>
      <c r="Y156" s="302">
        <f t="shared" si="35"/>
        <v>22</v>
      </c>
      <c r="Z156" s="302">
        <f t="shared" si="35"/>
        <v>23</v>
      </c>
      <c r="AA156" s="302">
        <f t="shared" si="35"/>
        <v>24</v>
      </c>
      <c r="AB156" s="302">
        <f t="shared" si="35"/>
        <v>25</v>
      </c>
      <c r="AC156" s="302">
        <f t="shared" si="35"/>
        <v>26</v>
      </c>
      <c r="AD156" s="302">
        <f t="shared" si="35"/>
        <v>27</v>
      </c>
      <c r="AE156" s="302">
        <f t="shared" si="35"/>
        <v>28</v>
      </c>
      <c r="AF156" s="302">
        <f t="shared" si="35"/>
        <v>29</v>
      </c>
      <c r="AG156" s="302">
        <f t="shared" si="35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6">SUM(D157:AG157)</f>
        <v>0</v>
      </c>
    </row>
    <row r="158" spans="1:34">
      <c r="C158" s="304">
        <f t="shared" ref="C158:C187" si="37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6"/>
        <v>0</v>
      </c>
    </row>
    <row r="159" spans="1:34">
      <c r="C159" s="304">
        <f t="shared" si="37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6"/>
        <v>#VALUE!</v>
      </c>
    </row>
    <row r="160" spans="1:34">
      <c r="C160" s="304">
        <f t="shared" si="37"/>
        <v>3</v>
      </c>
      <c r="D160" s="305" t="e">
        <f t="shared" ref="D160:O175" si="38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6"/>
        <v>#VALUE!</v>
      </c>
    </row>
    <row r="161" spans="3:34">
      <c r="C161" s="304">
        <f t="shared" si="37"/>
        <v>4</v>
      </c>
      <c r="D161" s="305" t="e">
        <f t="shared" si="38"/>
        <v>#VALUE!</v>
      </c>
      <c r="E161" s="305" t="e">
        <f t="shared" si="38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6"/>
        <v>#VALUE!</v>
      </c>
    </row>
    <row r="162" spans="3:34">
      <c r="C162" s="304">
        <f t="shared" si="37"/>
        <v>5</v>
      </c>
      <c r="D162" s="305" t="e">
        <f t="shared" si="38"/>
        <v>#VALUE!</v>
      </c>
      <c r="E162" s="305" t="e">
        <f t="shared" si="38"/>
        <v>#VALUE!</v>
      </c>
      <c r="F162" s="305" t="e">
        <f t="shared" si="38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6"/>
        <v>#VALUE!</v>
      </c>
    </row>
    <row r="163" spans="3:34">
      <c r="C163" s="304">
        <f t="shared" si="37"/>
        <v>6</v>
      </c>
      <c r="D163" s="305" t="e">
        <f t="shared" si="38"/>
        <v>#VALUE!</v>
      </c>
      <c r="E163" s="305" t="e">
        <f t="shared" si="38"/>
        <v>#VALUE!</v>
      </c>
      <c r="F163" s="305" t="e">
        <f t="shared" si="38"/>
        <v>#VALUE!</v>
      </c>
      <c r="G163" s="305" t="e">
        <f t="shared" si="38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6"/>
        <v>#VALUE!</v>
      </c>
    </row>
    <row r="164" spans="3:34">
      <c r="C164" s="304">
        <f t="shared" si="37"/>
        <v>7</v>
      </c>
      <c r="D164" s="305" t="e">
        <f t="shared" si="38"/>
        <v>#VALUE!</v>
      </c>
      <c r="E164" s="305" t="e">
        <f t="shared" si="38"/>
        <v>#VALUE!</v>
      </c>
      <c r="F164" s="305" t="e">
        <f t="shared" si="38"/>
        <v>#VALUE!</v>
      </c>
      <c r="G164" s="305" t="e">
        <f t="shared" si="38"/>
        <v>#VALUE!</v>
      </c>
      <c r="H164" s="305" t="e">
        <f t="shared" si="38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6"/>
        <v>#VALUE!</v>
      </c>
    </row>
    <row r="165" spans="3:34">
      <c r="C165" s="304">
        <f t="shared" si="37"/>
        <v>8</v>
      </c>
      <c r="D165" s="305" t="e">
        <f t="shared" si="38"/>
        <v>#VALUE!</v>
      </c>
      <c r="E165" s="305" t="e">
        <f t="shared" si="38"/>
        <v>#VALUE!</v>
      </c>
      <c r="F165" s="305" t="e">
        <f t="shared" si="38"/>
        <v>#VALUE!</v>
      </c>
      <c r="G165" s="305" t="e">
        <f t="shared" si="38"/>
        <v>#VALUE!</v>
      </c>
      <c r="H165" s="305" t="e">
        <f t="shared" si="38"/>
        <v>#VALUE!</v>
      </c>
      <c r="I165" s="305" t="e">
        <f t="shared" si="38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6"/>
        <v>#VALUE!</v>
      </c>
    </row>
    <row r="166" spans="3:34">
      <c r="C166" s="304">
        <f t="shared" si="37"/>
        <v>9</v>
      </c>
      <c r="D166" s="305" t="e">
        <f t="shared" si="38"/>
        <v>#VALUE!</v>
      </c>
      <c r="E166" s="305" t="e">
        <f t="shared" si="38"/>
        <v>#VALUE!</v>
      </c>
      <c r="F166" s="305" t="e">
        <f t="shared" si="38"/>
        <v>#VALUE!</v>
      </c>
      <c r="G166" s="305" t="e">
        <f t="shared" si="38"/>
        <v>#VALUE!</v>
      </c>
      <c r="H166" s="305" t="e">
        <f t="shared" si="38"/>
        <v>#VALUE!</v>
      </c>
      <c r="I166" s="305" t="e">
        <f t="shared" si="38"/>
        <v>#VALUE!</v>
      </c>
      <c r="J166" s="305" t="e">
        <f t="shared" si="38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6"/>
        <v>#VALUE!</v>
      </c>
    </row>
    <row r="167" spans="3:34">
      <c r="C167" s="304">
        <f t="shared" si="37"/>
        <v>10</v>
      </c>
      <c r="D167" s="305" t="e">
        <f t="shared" si="38"/>
        <v>#VALUE!</v>
      </c>
      <c r="E167" s="305" t="e">
        <f t="shared" si="38"/>
        <v>#VALUE!</v>
      </c>
      <c r="F167" s="305" t="e">
        <f t="shared" si="38"/>
        <v>#VALUE!</v>
      </c>
      <c r="G167" s="305" t="e">
        <f t="shared" si="38"/>
        <v>#VALUE!</v>
      </c>
      <c r="H167" s="305" t="e">
        <f t="shared" si="38"/>
        <v>#VALUE!</v>
      </c>
      <c r="I167" s="305" t="e">
        <f t="shared" si="38"/>
        <v>#VALUE!</v>
      </c>
      <c r="J167" s="305" t="e">
        <f t="shared" si="38"/>
        <v>#VALUE!</v>
      </c>
      <c r="K167" s="305" t="e">
        <f t="shared" si="38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6"/>
        <v>#VALUE!</v>
      </c>
    </row>
    <row r="168" spans="3:34">
      <c r="C168" s="304">
        <f t="shared" si="37"/>
        <v>11</v>
      </c>
      <c r="D168" s="305" t="e">
        <f t="shared" si="38"/>
        <v>#VALUE!</v>
      </c>
      <c r="E168" s="305" t="e">
        <f t="shared" si="38"/>
        <v>#VALUE!</v>
      </c>
      <c r="F168" s="305" t="e">
        <f t="shared" si="38"/>
        <v>#VALUE!</v>
      </c>
      <c r="G168" s="305" t="e">
        <f t="shared" si="38"/>
        <v>#VALUE!</v>
      </c>
      <c r="H168" s="305" t="e">
        <f t="shared" si="38"/>
        <v>#VALUE!</v>
      </c>
      <c r="I168" s="305" t="e">
        <f t="shared" si="38"/>
        <v>#VALUE!</v>
      </c>
      <c r="J168" s="305" t="e">
        <f t="shared" si="38"/>
        <v>#VALUE!</v>
      </c>
      <c r="K168" s="305" t="e">
        <f t="shared" si="38"/>
        <v>#VALUE!</v>
      </c>
      <c r="L168" s="305" t="e">
        <f t="shared" si="38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6"/>
        <v>#VALUE!</v>
      </c>
    </row>
    <row r="169" spans="3:34">
      <c r="C169" s="304">
        <f t="shared" si="37"/>
        <v>12</v>
      </c>
      <c r="D169" s="305" t="e">
        <f t="shared" si="38"/>
        <v>#VALUE!</v>
      </c>
      <c r="E169" s="305" t="e">
        <f t="shared" si="38"/>
        <v>#VALUE!</v>
      </c>
      <c r="F169" s="305" t="e">
        <f t="shared" si="38"/>
        <v>#VALUE!</v>
      </c>
      <c r="G169" s="305" t="e">
        <f t="shared" si="38"/>
        <v>#VALUE!</v>
      </c>
      <c r="H169" s="305" t="e">
        <f t="shared" si="38"/>
        <v>#VALUE!</v>
      </c>
      <c r="I169" s="305" t="e">
        <f t="shared" si="38"/>
        <v>#VALUE!</v>
      </c>
      <c r="J169" s="305" t="e">
        <f t="shared" si="38"/>
        <v>#VALUE!</v>
      </c>
      <c r="K169" s="305" t="e">
        <f t="shared" si="38"/>
        <v>#VALUE!</v>
      </c>
      <c r="L169" s="305" t="e">
        <f t="shared" si="38"/>
        <v>#VALUE!</v>
      </c>
      <c r="M169" s="305" t="e">
        <f t="shared" si="38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6"/>
        <v>#VALUE!</v>
      </c>
    </row>
    <row r="170" spans="3:34">
      <c r="C170" s="304">
        <f t="shared" si="37"/>
        <v>13</v>
      </c>
      <c r="D170" s="305" t="e">
        <f t="shared" si="38"/>
        <v>#VALUE!</v>
      </c>
      <c r="E170" s="305" t="e">
        <f t="shared" si="38"/>
        <v>#VALUE!</v>
      </c>
      <c r="F170" s="305" t="e">
        <f t="shared" si="38"/>
        <v>#VALUE!</v>
      </c>
      <c r="G170" s="305" t="e">
        <f t="shared" si="38"/>
        <v>#VALUE!</v>
      </c>
      <c r="H170" s="305" t="e">
        <f t="shared" si="38"/>
        <v>#VALUE!</v>
      </c>
      <c r="I170" s="305" t="e">
        <f t="shared" si="38"/>
        <v>#VALUE!</v>
      </c>
      <c r="J170" s="305" t="e">
        <f t="shared" si="38"/>
        <v>#VALUE!</v>
      </c>
      <c r="K170" s="305" t="e">
        <f t="shared" si="38"/>
        <v>#VALUE!</v>
      </c>
      <c r="L170" s="305" t="e">
        <f t="shared" si="38"/>
        <v>#VALUE!</v>
      </c>
      <c r="M170" s="305" t="e">
        <f t="shared" si="38"/>
        <v>#VALUE!</v>
      </c>
      <c r="N170" s="305" t="e">
        <f t="shared" si="38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6"/>
        <v>#VALUE!</v>
      </c>
    </row>
    <row r="171" spans="3:34">
      <c r="C171" s="304">
        <f t="shared" si="37"/>
        <v>14</v>
      </c>
      <c r="D171" s="305"/>
      <c r="E171" s="305" t="e">
        <f t="shared" si="38"/>
        <v>#VALUE!</v>
      </c>
      <c r="F171" s="305" t="e">
        <f t="shared" si="38"/>
        <v>#VALUE!</v>
      </c>
      <c r="G171" s="305" t="e">
        <f t="shared" si="38"/>
        <v>#VALUE!</v>
      </c>
      <c r="H171" s="305" t="e">
        <f t="shared" si="38"/>
        <v>#VALUE!</v>
      </c>
      <c r="I171" s="305" t="e">
        <f t="shared" si="38"/>
        <v>#VALUE!</v>
      </c>
      <c r="J171" s="305" t="e">
        <f t="shared" si="38"/>
        <v>#VALUE!</v>
      </c>
      <c r="K171" s="305" t="e">
        <f t="shared" si="38"/>
        <v>#VALUE!</v>
      </c>
      <c r="L171" s="305" t="e">
        <f t="shared" si="38"/>
        <v>#VALUE!</v>
      </c>
      <c r="M171" s="305" t="e">
        <f t="shared" si="38"/>
        <v>#VALUE!</v>
      </c>
      <c r="N171" s="305" t="e">
        <f t="shared" si="38"/>
        <v>#VALUE!</v>
      </c>
      <c r="O171" s="305" t="e">
        <f t="shared" si="38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6"/>
        <v>#VALUE!</v>
      </c>
    </row>
    <row r="172" spans="3:34">
      <c r="C172" s="304">
        <f t="shared" si="37"/>
        <v>15</v>
      </c>
      <c r="D172" s="305"/>
      <c r="E172" s="305"/>
      <c r="F172" s="305" t="e">
        <f t="shared" si="38"/>
        <v>#VALUE!</v>
      </c>
      <c r="G172" s="305" t="e">
        <f t="shared" si="38"/>
        <v>#VALUE!</v>
      </c>
      <c r="H172" s="305" t="e">
        <f t="shared" si="38"/>
        <v>#VALUE!</v>
      </c>
      <c r="I172" s="305" t="e">
        <f t="shared" si="38"/>
        <v>#VALUE!</v>
      </c>
      <c r="J172" s="305" t="e">
        <f t="shared" si="38"/>
        <v>#VALUE!</v>
      </c>
      <c r="K172" s="305" t="e">
        <f t="shared" si="38"/>
        <v>#VALUE!</v>
      </c>
      <c r="L172" s="305" t="e">
        <f t="shared" si="38"/>
        <v>#VALUE!</v>
      </c>
      <c r="M172" s="305" t="e">
        <f t="shared" si="38"/>
        <v>#VALUE!</v>
      </c>
      <c r="N172" s="305" t="e">
        <f t="shared" si="38"/>
        <v>#VALUE!</v>
      </c>
      <c r="O172" s="305" t="e">
        <f t="shared" si="38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6"/>
        <v>#VALUE!</v>
      </c>
    </row>
    <row r="173" spans="3:34">
      <c r="C173" s="304">
        <f t="shared" si="37"/>
        <v>16</v>
      </c>
      <c r="D173" s="305"/>
      <c r="E173" s="305"/>
      <c r="F173" s="305"/>
      <c r="G173" s="305" t="e">
        <f t="shared" si="38"/>
        <v>#VALUE!</v>
      </c>
      <c r="H173" s="305" t="e">
        <f t="shared" si="38"/>
        <v>#VALUE!</v>
      </c>
      <c r="I173" s="305" t="e">
        <f t="shared" si="38"/>
        <v>#VALUE!</v>
      </c>
      <c r="J173" s="305" t="e">
        <f t="shared" si="38"/>
        <v>#VALUE!</v>
      </c>
      <c r="K173" s="305" t="e">
        <f t="shared" si="38"/>
        <v>#VALUE!</v>
      </c>
      <c r="L173" s="305" t="e">
        <f t="shared" si="38"/>
        <v>#VALUE!</v>
      </c>
      <c r="M173" s="305" t="e">
        <f t="shared" si="38"/>
        <v>#VALUE!</v>
      </c>
      <c r="N173" s="305" t="e">
        <f t="shared" si="38"/>
        <v>#VALUE!</v>
      </c>
      <c r="O173" s="305" t="e">
        <f t="shared" si="38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6"/>
        <v>#VALUE!</v>
      </c>
    </row>
    <row r="174" spans="3:34">
      <c r="C174" s="304">
        <f t="shared" si="37"/>
        <v>17</v>
      </c>
      <c r="D174" s="305"/>
      <c r="E174" s="305"/>
      <c r="F174" s="305"/>
      <c r="G174" s="305"/>
      <c r="H174" s="305" t="e">
        <f t="shared" si="38"/>
        <v>#VALUE!</v>
      </c>
      <c r="I174" s="305" t="e">
        <f t="shared" si="38"/>
        <v>#VALUE!</v>
      </c>
      <c r="J174" s="305" t="e">
        <f t="shared" si="38"/>
        <v>#VALUE!</v>
      </c>
      <c r="K174" s="305" t="e">
        <f t="shared" si="38"/>
        <v>#VALUE!</v>
      </c>
      <c r="L174" s="305" t="e">
        <f t="shared" si="38"/>
        <v>#VALUE!</v>
      </c>
      <c r="M174" s="305" t="e">
        <f t="shared" si="38"/>
        <v>#VALUE!</v>
      </c>
      <c r="N174" s="305" t="e">
        <f t="shared" si="38"/>
        <v>#VALUE!</v>
      </c>
      <c r="O174" s="305" t="e">
        <f t="shared" si="38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6"/>
        <v>#VALUE!</v>
      </c>
    </row>
    <row r="175" spans="3:34">
      <c r="C175" s="304">
        <f t="shared" si="37"/>
        <v>18</v>
      </c>
      <c r="D175" s="305"/>
      <c r="E175" s="305"/>
      <c r="F175" s="305"/>
      <c r="G175" s="305"/>
      <c r="H175" s="305"/>
      <c r="I175" s="305" t="e">
        <f t="shared" si="38"/>
        <v>#VALUE!</v>
      </c>
      <c r="J175" s="305" t="e">
        <f t="shared" si="38"/>
        <v>#VALUE!</v>
      </c>
      <c r="K175" s="305" t="e">
        <f t="shared" si="38"/>
        <v>#VALUE!</v>
      </c>
      <c r="L175" s="305" t="e">
        <f t="shared" si="38"/>
        <v>#VALUE!</v>
      </c>
      <c r="M175" s="305" t="e">
        <f t="shared" si="38"/>
        <v>#VALUE!</v>
      </c>
      <c r="N175" s="305" t="e">
        <f t="shared" si="38"/>
        <v>#VALUE!</v>
      </c>
      <c r="O175" s="305" t="e">
        <f t="shared" si="38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6"/>
        <v>#VALUE!</v>
      </c>
    </row>
    <row r="176" spans="3:34">
      <c r="C176" s="304">
        <f t="shared" si="37"/>
        <v>19</v>
      </c>
      <c r="D176" s="305"/>
      <c r="E176" s="305"/>
      <c r="F176" s="305"/>
      <c r="G176" s="305"/>
      <c r="H176" s="305"/>
      <c r="I176" s="305"/>
      <c r="J176" s="305" t="e">
        <f t="shared" ref="J176:Y187" si="39">J175</f>
        <v>#VALUE!</v>
      </c>
      <c r="K176" s="305" t="e">
        <f t="shared" si="39"/>
        <v>#VALUE!</v>
      </c>
      <c r="L176" s="305" t="e">
        <f t="shared" si="39"/>
        <v>#VALUE!</v>
      </c>
      <c r="M176" s="305" t="e">
        <f t="shared" si="39"/>
        <v>#VALUE!</v>
      </c>
      <c r="N176" s="305" t="e">
        <f t="shared" si="39"/>
        <v>#VALUE!</v>
      </c>
      <c r="O176" s="305" t="e">
        <f t="shared" si="39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6"/>
        <v>#VALUE!</v>
      </c>
    </row>
    <row r="177" spans="1:34">
      <c r="C177" s="304">
        <f t="shared" si="37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9"/>
        <v>#VALUE!</v>
      </c>
      <c r="L177" s="305" t="e">
        <f t="shared" si="39"/>
        <v>#VALUE!</v>
      </c>
      <c r="M177" s="305" t="e">
        <f t="shared" si="39"/>
        <v>#VALUE!</v>
      </c>
      <c r="N177" s="305" t="e">
        <f t="shared" si="39"/>
        <v>#VALUE!</v>
      </c>
      <c r="O177" s="305" t="e">
        <f t="shared" si="39"/>
        <v>#VALUE!</v>
      </c>
      <c r="P177" s="305" t="e">
        <f t="shared" si="39"/>
        <v>#VALUE!</v>
      </c>
      <c r="Q177" s="305" t="e">
        <f t="shared" si="39"/>
        <v>#VALUE!</v>
      </c>
      <c r="R177" s="305" t="e">
        <f t="shared" si="39"/>
        <v>#VALUE!</v>
      </c>
      <c r="S177" s="305" t="e">
        <f t="shared" si="39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6"/>
        <v>#VALUE!</v>
      </c>
    </row>
    <row r="178" spans="1:34">
      <c r="C178" s="304">
        <f t="shared" si="37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9"/>
        <v>#VALUE!</v>
      </c>
      <c r="M178" s="305" t="e">
        <f t="shared" si="39"/>
        <v>#VALUE!</v>
      </c>
      <c r="N178" s="305" t="e">
        <f t="shared" si="39"/>
        <v>#VALUE!</v>
      </c>
      <c r="O178" s="305" t="e">
        <f t="shared" si="39"/>
        <v>#VALUE!</v>
      </c>
      <c r="P178" s="305" t="e">
        <f t="shared" si="39"/>
        <v>#VALUE!</v>
      </c>
      <c r="Q178" s="305" t="e">
        <f t="shared" si="39"/>
        <v>#VALUE!</v>
      </c>
      <c r="R178" s="305" t="e">
        <f t="shared" si="39"/>
        <v>#VALUE!</v>
      </c>
      <c r="S178" s="305" t="e">
        <f t="shared" si="39"/>
        <v>#VALUE!</v>
      </c>
      <c r="T178" s="305" t="e">
        <f t="shared" si="39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6"/>
        <v>#VALUE!</v>
      </c>
    </row>
    <row r="179" spans="1:34">
      <c r="C179" s="330">
        <f t="shared" si="37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9"/>
        <v>#VALUE!</v>
      </c>
      <c r="N179" s="305" t="e">
        <f t="shared" si="39"/>
        <v>#VALUE!</v>
      </c>
      <c r="O179" s="305" t="e">
        <f t="shared" si="39"/>
        <v>#VALUE!</v>
      </c>
      <c r="P179" s="305" t="e">
        <f t="shared" si="39"/>
        <v>#VALUE!</v>
      </c>
      <c r="Q179" s="305" t="e">
        <f t="shared" si="39"/>
        <v>#VALUE!</v>
      </c>
      <c r="R179" s="305" t="e">
        <f t="shared" si="39"/>
        <v>#VALUE!</v>
      </c>
      <c r="S179" s="305" t="e">
        <f t="shared" si="39"/>
        <v>#VALUE!</v>
      </c>
      <c r="T179" s="305" t="e">
        <f t="shared" si="39"/>
        <v>#VALUE!</v>
      </c>
      <c r="U179" s="305" t="e">
        <f t="shared" si="39"/>
        <v>#VALUE!</v>
      </c>
      <c r="V179" s="305" t="e">
        <f t="shared" si="39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6"/>
        <v>#VALUE!</v>
      </c>
    </row>
    <row r="180" spans="1:34">
      <c r="C180" s="330">
        <f t="shared" si="37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9"/>
        <v>#VALUE!</v>
      </c>
      <c r="O180" s="305" t="e">
        <f t="shared" si="39"/>
        <v>#VALUE!</v>
      </c>
      <c r="P180" s="305" t="e">
        <f t="shared" si="39"/>
        <v>#VALUE!</v>
      </c>
      <c r="Q180" s="305" t="e">
        <f t="shared" si="39"/>
        <v>#VALUE!</v>
      </c>
      <c r="R180" s="305" t="e">
        <f t="shared" si="39"/>
        <v>#VALUE!</v>
      </c>
      <c r="S180" s="305" t="e">
        <f t="shared" si="39"/>
        <v>#VALUE!</v>
      </c>
      <c r="T180" s="305" t="e">
        <f t="shared" si="39"/>
        <v>#VALUE!</v>
      </c>
      <c r="U180" s="305" t="e">
        <f t="shared" si="39"/>
        <v>#VALUE!</v>
      </c>
      <c r="V180" s="305" t="e">
        <f t="shared" si="39"/>
        <v>#VALUE!</v>
      </c>
      <c r="W180" s="305" t="e">
        <f t="shared" si="39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6"/>
        <v>#VALUE!</v>
      </c>
    </row>
    <row r="181" spans="1:34">
      <c r="C181" s="330">
        <f t="shared" si="37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9"/>
        <v>#VALUE!</v>
      </c>
      <c r="P181" s="305" t="e">
        <f t="shared" si="39"/>
        <v>#VALUE!</v>
      </c>
      <c r="Q181" s="305" t="e">
        <f t="shared" si="39"/>
        <v>#VALUE!</v>
      </c>
      <c r="R181" s="305" t="e">
        <f t="shared" si="39"/>
        <v>#VALUE!</v>
      </c>
      <c r="S181" s="305" t="e">
        <f t="shared" si="39"/>
        <v>#VALUE!</v>
      </c>
      <c r="T181" s="305" t="e">
        <f t="shared" si="39"/>
        <v>#VALUE!</v>
      </c>
      <c r="U181" s="305" t="e">
        <f t="shared" si="39"/>
        <v>#VALUE!</v>
      </c>
      <c r="V181" s="305" t="e">
        <f t="shared" si="39"/>
        <v>#VALUE!</v>
      </c>
      <c r="W181" s="305" t="e">
        <f t="shared" si="39"/>
        <v>#VALUE!</v>
      </c>
      <c r="X181" s="305" t="e">
        <f t="shared" si="39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6"/>
        <v>#VALUE!</v>
      </c>
    </row>
    <row r="182" spans="1:34">
      <c r="C182" s="330">
        <f t="shared" si="37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9"/>
        <v>#VALUE!</v>
      </c>
      <c r="Q182" s="305" t="e">
        <f t="shared" si="39"/>
        <v>#VALUE!</v>
      </c>
      <c r="R182" s="305" t="e">
        <f t="shared" si="39"/>
        <v>#VALUE!</v>
      </c>
      <c r="S182" s="305" t="e">
        <f t="shared" si="39"/>
        <v>#VALUE!</v>
      </c>
      <c r="T182" s="305" t="e">
        <f t="shared" si="39"/>
        <v>#VALUE!</v>
      </c>
      <c r="U182" s="305" t="e">
        <f t="shared" si="39"/>
        <v>#VALUE!</v>
      </c>
      <c r="V182" s="305" t="e">
        <f t="shared" si="39"/>
        <v>#VALUE!</v>
      </c>
      <c r="W182" s="305" t="e">
        <f t="shared" si="39"/>
        <v>#VALUE!</v>
      </c>
      <c r="X182" s="305" t="e">
        <f t="shared" si="39"/>
        <v>#VALUE!</v>
      </c>
      <c r="Y182" s="305" t="e">
        <f t="shared" si="39"/>
        <v>#VALUE!</v>
      </c>
      <c r="Z182" s="305" t="e">
        <f t="shared" ref="Z182:Z187" si="40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6"/>
        <v>#VALUE!</v>
      </c>
    </row>
    <row r="183" spans="1:34">
      <c r="C183" s="330">
        <f t="shared" si="37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9"/>
        <v>#VALUE!</v>
      </c>
      <c r="R183" s="305" t="e">
        <f t="shared" si="39"/>
        <v>#VALUE!</v>
      </c>
      <c r="S183" s="305" t="e">
        <f t="shared" si="39"/>
        <v>#VALUE!</v>
      </c>
      <c r="T183" s="305" t="e">
        <f t="shared" si="39"/>
        <v>#VALUE!</v>
      </c>
      <c r="U183" s="305" t="e">
        <f t="shared" si="39"/>
        <v>#VALUE!</v>
      </c>
      <c r="V183" s="305" t="e">
        <f t="shared" si="39"/>
        <v>#VALUE!</v>
      </c>
      <c r="W183" s="305" t="e">
        <f t="shared" si="39"/>
        <v>#VALUE!</v>
      </c>
      <c r="X183" s="305" t="e">
        <f t="shared" si="39"/>
        <v>#VALUE!</v>
      </c>
      <c r="Y183" s="305" t="e">
        <f t="shared" si="39"/>
        <v>#VALUE!</v>
      </c>
      <c r="Z183" s="305" t="e">
        <f t="shared" si="40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6"/>
        <v>#VALUE!</v>
      </c>
    </row>
    <row r="184" spans="1:34">
      <c r="C184" s="330">
        <f t="shared" si="37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9"/>
        <v>#VALUE!</v>
      </c>
      <c r="S184" s="305" t="e">
        <f t="shared" si="39"/>
        <v>#VALUE!</v>
      </c>
      <c r="T184" s="305" t="e">
        <f t="shared" si="39"/>
        <v>#VALUE!</v>
      </c>
      <c r="U184" s="305" t="e">
        <f t="shared" si="39"/>
        <v>#VALUE!</v>
      </c>
      <c r="V184" s="305" t="e">
        <f t="shared" si="39"/>
        <v>#VALUE!</v>
      </c>
      <c r="W184" s="305" t="e">
        <f t="shared" si="39"/>
        <v>#VALUE!</v>
      </c>
      <c r="X184" s="305" t="e">
        <f t="shared" si="39"/>
        <v>#VALUE!</v>
      </c>
      <c r="Y184" s="305" t="e">
        <f t="shared" si="39"/>
        <v>#VALUE!</v>
      </c>
      <c r="Z184" s="305" t="e">
        <f t="shared" si="40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6"/>
        <v>#VALUE!</v>
      </c>
    </row>
    <row r="185" spans="1:34">
      <c r="C185" s="330">
        <f t="shared" si="37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9"/>
        <v>#VALUE!</v>
      </c>
      <c r="T185" s="305" t="e">
        <f t="shared" si="39"/>
        <v>#VALUE!</v>
      </c>
      <c r="U185" s="305" t="e">
        <f t="shared" si="39"/>
        <v>#VALUE!</v>
      </c>
      <c r="V185" s="305" t="e">
        <f t="shared" si="39"/>
        <v>#VALUE!</v>
      </c>
      <c r="W185" s="305" t="e">
        <f t="shared" si="39"/>
        <v>#VALUE!</v>
      </c>
      <c r="X185" s="305" t="e">
        <f t="shared" si="39"/>
        <v>#VALUE!</v>
      </c>
      <c r="Y185" s="305" t="e">
        <f t="shared" si="39"/>
        <v>#VALUE!</v>
      </c>
      <c r="Z185" s="305" t="e">
        <f t="shared" si="40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6"/>
        <v>#VALUE!</v>
      </c>
    </row>
    <row r="186" spans="1:34">
      <c r="C186" s="330">
        <f t="shared" si="37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9"/>
        <v>#VALUE!</v>
      </c>
      <c r="U186" s="305" t="e">
        <f t="shared" si="39"/>
        <v>#VALUE!</v>
      </c>
      <c r="V186" s="305" t="e">
        <f t="shared" si="39"/>
        <v>#VALUE!</v>
      </c>
      <c r="W186" s="305" t="e">
        <f t="shared" si="39"/>
        <v>#VALUE!</v>
      </c>
      <c r="X186" s="305" t="e">
        <f t="shared" si="39"/>
        <v>#VALUE!</v>
      </c>
      <c r="Y186" s="305" t="e">
        <f t="shared" si="39"/>
        <v>#VALUE!</v>
      </c>
      <c r="Z186" s="305" t="e">
        <f t="shared" si="40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6"/>
        <v>#VALUE!</v>
      </c>
    </row>
    <row r="187" spans="1:34" ht="13.5" thickBot="1">
      <c r="C187" s="307">
        <f t="shared" si="37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9"/>
        <v>#VALUE!</v>
      </c>
      <c r="V187" s="305" t="e">
        <f t="shared" si="39"/>
        <v>#VALUE!</v>
      </c>
      <c r="W187" s="305" t="e">
        <f t="shared" si="39"/>
        <v>#VALUE!</v>
      </c>
      <c r="X187" s="305" t="e">
        <f t="shared" si="39"/>
        <v>#VALUE!</v>
      </c>
      <c r="Y187" s="305" t="e">
        <f t="shared" si="39"/>
        <v>#VALUE!</v>
      </c>
      <c r="Z187" s="305" t="e">
        <f t="shared" si="40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6"/>
        <v>#VALUE!</v>
      </c>
    </row>
    <row r="188" spans="1:34" ht="14.25" thickTop="1" thickBot="1">
      <c r="C188" s="311" t="s">
        <v>0</v>
      </c>
      <c r="D188" s="328" t="e">
        <f t="shared" ref="D188:AH188" si="41">SUM(D157:D187)</f>
        <v>#VALUE!</v>
      </c>
      <c r="E188" s="328" t="e">
        <f t="shared" si="41"/>
        <v>#VALUE!</v>
      </c>
      <c r="F188" s="328" t="e">
        <f t="shared" si="41"/>
        <v>#VALUE!</v>
      </c>
      <c r="G188" s="328" t="e">
        <f t="shared" si="41"/>
        <v>#VALUE!</v>
      </c>
      <c r="H188" s="328" t="e">
        <f t="shared" si="41"/>
        <v>#VALUE!</v>
      </c>
      <c r="I188" s="328" t="e">
        <f t="shared" si="41"/>
        <v>#VALUE!</v>
      </c>
      <c r="J188" s="328" t="e">
        <f t="shared" si="41"/>
        <v>#VALUE!</v>
      </c>
      <c r="K188" s="328" t="e">
        <f t="shared" si="41"/>
        <v>#VALUE!</v>
      </c>
      <c r="L188" s="328" t="e">
        <f t="shared" si="41"/>
        <v>#VALUE!</v>
      </c>
      <c r="M188" s="328" t="e">
        <f t="shared" si="41"/>
        <v>#VALUE!</v>
      </c>
      <c r="N188" s="328" t="e">
        <f t="shared" si="41"/>
        <v>#VALUE!</v>
      </c>
      <c r="O188" s="328" t="e">
        <f t="shared" si="41"/>
        <v>#VALUE!</v>
      </c>
      <c r="P188" s="328" t="e">
        <f t="shared" si="41"/>
        <v>#VALUE!</v>
      </c>
      <c r="Q188" s="328" t="e">
        <f t="shared" si="41"/>
        <v>#VALUE!</v>
      </c>
      <c r="R188" s="328" t="e">
        <f t="shared" si="41"/>
        <v>#VALUE!</v>
      </c>
      <c r="S188" s="328" t="e">
        <f t="shared" si="41"/>
        <v>#VALUE!</v>
      </c>
      <c r="T188" s="328" t="e">
        <f t="shared" si="41"/>
        <v>#VALUE!</v>
      </c>
      <c r="U188" s="328" t="e">
        <f t="shared" si="41"/>
        <v>#VALUE!</v>
      </c>
      <c r="V188" s="328" t="e">
        <f t="shared" si="41"/>
        <v>#VALUE!</v>
      </c>
      <c r="W188" s="328" t="e">
        <f t="shared" si="41"/>
        <v>#VALUE!</v>
      </c>
      <c r="X188" s="328" t="e">
        <f t="shared" si="41"/>
        <v>#VALUE!</v>
      </c>
      <c r="Y188" s="328" t="e">
        <f t="shared" si="41"/>
        <v>#VALUE!</v>
      </c>
      <c r="Z188" s="328" t="e">
        <f t="shared" si="41"/>
        <v>#VALUE!</v>
      </c>
      <c r="AA188" s="328" t="e">
        <f t="shared" si="41"/>
        <v>#VALUE!</v>
      </c>
      <c r="AB188" s="328" t="e">
        <f t="shared" si="41"/>
        <v>#VALUE!</v>
      </c>
      <c r="AC188" s="328" t="e">
        <f t="shared" si="41"/>
        <v>#VALUE!</v>
      </c>
      <c r="AD188" s="328" t="e">
        <f t="shared" si="41"/>
        <v>#VALUE!</v>
      </c>
      <c r="AE188" s="328" t="e">
        <f t="shared" si="41"/>
        <v>#VALUE!</v>
      </c>
      <c r="AF188" s="329" t="e">
        <f t="shared" si="41"/>
        <v>#VALUE!</v>
      </c>
      <c r="AG188" s="329" t="e">
        <f t="shared" si="41"/>
        <v>#VALUE!</v>
      </c>
      <c r="AH188" s="315" t="e">
        <f t="shared" si="41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2">D193+1</f>
        <v>2</v>
      </c>
      <c r="F193" s="302">
        <f t="shared" si="42"/>
        <v>3</v>
      </c>
      <c r="G193" s="302">
        <f t="shared" si="42"/>
        <v>4</v>
      </c>
      <c r="H193" s="302">
        <f t="shared" si="42"/>
        <v>5</v>
      </c>
      <c r="I193" s="302">
        <f t="shared" si="42"/>
        <v>6</v>
      </c>
      <c r="J193" s="302">
        <f t="shared" si="42"/>
        <v>7</v>
      </c>
      <c r="K193" s="302">
        <f t="shared" si="42"/>
        <v>8</v>
      </c>
      <c r="L193" s="302">
        <f t="shared" si="42"/>
        <v>9</v>
      </c>
      <c r="M193" s="302">
        <f t="shared" si="42"/>
        <v>10</v>
      </c>
      <c r="N193" s="302">
        <f t="shared" si="42"/>
        <v>11</v>
      </c>
      <c r="O193" s="302">
        <f t="shared" si="42"/>
        <v>12</v>
      </c>
      <c r="P193" s="302">
        <f t="shared" si="42"/>
        <v>13</v>
      </c>
      <c r="Q193" s="302">
        <f t="shared" si="42"/>
        <v>14</v>
      </c>
      <c r="R193" s="302">
        <f t="shared" si="42"/>
        <v>15</v>
      </c>
      <c r="S193" s="302">
        <f t="shared" si="42"/>
        <v>16</v>
      </c>
      <c r="T193" s="302">
        <f t="shared" si="42"/>
        <v>17</v>
      </c>
      <c r="U193" s="302">
        <f t="shared" si="42"/>
        <v>18</v>
      </c>
      <c r="V193" s="302">
        <f t="shared" si="42"/>
        <v>19</v>
      </c>
      <c r="W193" s="302">
        <f t="shared" si="42"/>
        <v>20</v>
      </c>
      <c r="X193" s="302">
        <f t="shared" si="42"/>
        <v>21</v>
      </c>
      <c r="Y193" s="302">
        <f t="shared" si="42"/>
        <v>22</v>
      </c>
      <c r="Z193" s="302">
        <f t="shared" si="42"/>
        <v>23</v>
      </c>
      <c r="AA193" s="302">
        <f t="shared" si="42"/>
        <v>24</v>
      </c>
      <c r="AB193" s="302">
        <f t="shared" si="42"/>
        <v>25</v>
      </c>
      <c r="AC193" s="302">
        <f t="shared" si="42"/>
        <v>26</v>
      </c>
      <c r="AD193" s="302">
        <f t="shared" si="42"/>
        <v>27</v>
      </c>
      <c r="AE193" s="302">
        <f t="shared" si="42"/>
        <v>28</v>
      </c>
      <c r="AF193" s="302">
        <f t="shared" si="42"/>
        <v>29</v>
      </c>
      <c r="AG193" s="302">
        <f t="shared" si="42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3">SUM(D194:AG194)</f>
        <v>0</v>
      </c>
    </row>
    <row r="195" spans="3:34">
      <c r="C195" s="307">
        <f t="shared" ref="C195:C224" si="44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3"/>
        <v>0</v>
      </c>
    </row>
    <row r="196" spans="3:34">
      <c r="C196" s="307">
        <f t="shared" si="44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3"/>
        <v>#VALUE!</v>
      </c>
    </row>
    <row r="197" spans="3:34">
      <c r="C197" s="307">
        <f t="shared" si="44"/>
        <v>3</v>
      </c>
      <c r="D197" s="309" t="e">
        <f t="shared" ref="D197:N212" si="45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3"/>
        <v>#VALUE!</v>
      </c>
    </row>
    <row r="198" spans="3:34">
      <c r="C198" s="307">
        <f t="shared" si="44"/>
        <v>4</v>
      </c>
      <c r="D198" s="309" t="e">
        <f t="shared" si="45"/>
        <v>#VALUE!</v>
      </c>
      <c r="E198" s="309" t="e">
        <f t="shared" si="45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3"/>
        <v>#VALUE!</v>
      </c>
    </row>
    <row r="199" spans="3:34">
      <c r="C199" s="307">
        <f t="shared" si="44"/>
        <v>5</v>
      </c>
      <c r="D199" s="309" t="e">
        <f t="shared" si="45"/>
        <v>#VALUE!</v>
      </c>
      <c r="E199" s="309" t="e">
        <f t="shared" si="45"/>
        <v>#VALUE!</v>
      </c>
      <c r="F199" s="309" t="e">
        <f t="shared" si="45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3"/>
        <v>#VALUE!</v>
      </c>
    </row>
    <row r="200" spans="3:34">
      <c r="C200" s="307">
        <f t="shared" si="44"/>
        <v>6</v>
      </c>
      <c r="D200" s="309" t="e">
        <f t="shared" si="45"/>
        <v>#VALUE!</v>
      </c>
      <c r="E200" s="309" t="e">
        <f t="shared" si="45"/>
        <v>#VALUE!</v>
      </c>
      <c r="F200" s="309" t="e">
        <f t="shared" si="45"/>
        <v>#VALUE!</v>
      </c>
      <c r="G200" s="309" t="e">
        <f t="shared" si="45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3"/>
        <v>#VALUE!</v>
      </c>
    </row>
    <row r="201" spans="3:34">
      <c r="C201" s="307">
        <f t="shared" si="44"/>
        <v>7</v>
      </c>
      <c r="D201" s="309" t="e">
        <f t="shared" si="45"/>
        <v>#VALUE!</v>
      </c>
      <c r="E201" s="309" t="e">
        <f t="shared" si="45"/>
        <v>#VALUE!</v>
      </c>
      <c r="F201" s="309" t="e">
        <f t="shared" si="45"/>
        <v>#VALUE!</v>
      </c>
      <c r="G201" s="309" t="e">
        <f t="shared" si="45"/>
        <v>#VALUE!</v>
      </c>
      <c r="H201" s="309" t="e">
        <f t="shared" si="45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3"/>
        <v>#VALUE!</v>
      </c>
    </row>
    <row r="202" spans="3:34">
      <c r="C202" s="307">
        <f t="shared" si="44"/>
        <v>8</v>
      </c>
      <c r="D202" s="309" t="e">
        <f t="shared" si="45"/>
        <v>#VALUE!</v>
      </c>
      <c r="E202" s="309" t="e">
        <f t="shared" si="45"/>
        <v>#VALUE!</v>
      </c>
      <c r="F202" s="309" t="e">
        <f t="shared" si="45"/>
        <v>#VALUE!</v>
      </c>
      <c r="G202" s="309" t="e">
        <f t="shared" si="45"/>
        <v>#VALUE!</v>
      </c>
      <c r="H202" s="309" t="e">
        <f t="shared" si="45"/>
        <v>#VALUE!</v>
      </c>
      <c r="I202" s="309" t="e">
        <f t="shared" si="45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3"/>
        <v>#VALUE!</v>
      </c>
    </row>
    <row r="203" spans="3:34">
      <c r="C203" s="307">
        <f t="shared" si="44"/>
        <v>9</v>
      </c>
      <c r="D203" s="309" t="e">
        <f t="shared" si="45"/>
        <v>#VALUE!</v>
      </c>
      <c r="E203" s="309" t="e">
        <f t="shared" si="45"/>
        <v>#VALUE!</v>
      </c>
      <c r="F203" s="309" t="e">
        <f t="shared" si="45"/>
        <v>#VALUE!</v>
      </c>
      <c r="G203" s="309" t="e">
        <f t="shared" si="45"/>
        <v>#VALUE!</v>
      </c>
      <c r="H203" s="309" t="e">
        <f t="shared" si="45"/>
        <v>#VALUE!</v>
      </c>
      <c r="I203" s="309" t="e">
        <f t="shared" si="45"/>
        <v>#VALUE!</v>
      </c>
      <c r="J203" s="309" t="e">
        <f t="shared" si="45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3"/>
        <v>#VALUE!</v>
      </c>
    </row>
    <row r="204" spans="3:34">
      <c r="C204" s="307">
        <f t="shared" si="44"/>
        <v>10</v>
      </c>
      <c r="D204" s="309" t="e">
        <f t="shared" si="45"/>
        <v>#VALUE!</v>
      </c>
      <c r="E204" s="309" t="e">
        <f t="shared" si="45"/>
        <v>#VALUE!</v>
      </c>
      <c r="F204" s="309" t="e">
        <f t="shared" si="45"/>
        <v>#VALUE!</v>
      </c>
      <c r="G204" s="309" t="e">
        <f t="shared" si="45"/>
        <v>#VALUE!</v>
      </c>
      <c r="H204" s="309" t="e">
        <f t="shared" si="45"/>
        <v>#VALUE!</v>
      </c>
      <c r="I204" s="309" t="e">
        <f t="shared" si="45"/>
        <v>#VALUE!</v>
      </c>
      <c r="J204" s="309" t="e">
        <f t="shared" si="45"/>
        <v>#VALUE!</v>
      </c>
      <c r="K204" s="309" t="e">
        <f t="shared" si="45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3"/>
        <v>#VALUE!</v>
      </c>
    </row>
    <row r="205" spans="3:34">
      <c r="C205" s="307">
        <f t="shared" si="44"/>
        <v>11</v>
      </c>
      <c r="D205" s="309" t="e">
        <f t="shared" si="45"/>
        <v>#VALUE!</v>
      </c>
      <c r="E205" s="309" t="e">
        <f t="shared" si="45"/>
        <v>#VALUE!</v>
      </c>
      <c r="F205" s="309" t="e">
        <f t="shared" si="45"/>
        <v>#VALUE!</v>
      </c>
      <c r="G205" s="309" t="e">
        <f t="shared" si="45"/>
        <v>#VALUE!</v>
      </c>
      <c r="H205" s="309" t="e">
        <f t="shared" si="45"/>
        <v>#VALUE!</v>
      </c>
      <c r="I205" s="309" t="e">
        <f t="shared" si="45"/>
        <v>#VALUE!</v>
      </c>
      <c r="J205" s="309" t="e">
        <f t="shared" si="45"/>
        <v>#VALUE!</v>
      </c>
      <c r="K205" s="309" t="e">
        <f t="shared" si="45"/>
        <v>#VALUE!</v>
      </c>
      <c r="L205" s="309" t="e">
        <f t="shared" si="45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3"/>
        <v>#VALUE!</v>
      </c>
    </row>
    <row r="206" spans="3:34">
      <c r="C206" s="307">
        <f t="shared" si="44"/>
        <v>12</v>
      </c>
      <c r="D206" s="309"/>
      <c r="E206" s="309" t="e">
        <f t="shared" si="45"/>
        <v>#VALUE!</v>
      </c>
      <c r="F206" s="309" t="e">
        <f t="shared" si="45"/>
        <v>#VALUE!</v>
      </c>
      <c r="G206" s="309" t="e">
        <f t="shared" si="45"/>
        <v>#VALUE!</v>
      </c>
      <c r="H206" s="309" t="e">
        <f t="shared" si="45"/>
        <v>#VALUE!</v>
      </c>
      <c r="I206" s="309" t="e">
        <f t="shared" si="45"/>
        <v>#VALUE!</v>
      </c>
      <c r="J206" s="309" t="e">
        <f t="shared" si="45"/>
        <v>#VALUE!</v>
      </c>
      <c r="K206" s="309" t="e">
        <f t="shared" si="45"/>
        <v>#VALUE!</v>
      </c>
      <c r="L206" s="309" t="e">
        <f t="shared" si="45"/>
        <v>#VALUE!</v>
      </c>
      <c r="M206" s="309" t="e">
        <f t="shared" si="45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3"/>
        <v>#VALUE!</v>
      </c>
    </row>
    <row r="207" spans="3:34">
      <c r="C207" s="307">
        <f t="shared" si="44"/>
        <v>13</v>
      </c>
      <c r="D207" s="309"/>
      <c r="E207" s="309"/>
      <c r="F207" s="309" t="e">
        <f t="shared" si="45"/>
        <v>#VALUE!</v>
      </c>
      <c r="G207" s="309" t="e">
        <f t="shared" si="45"/>
        <v>#VALUE!</v>
      </c>
      <c r="H207" s="309" t="e">
        <f t="shared" si="45"/>
        <v>#VALUE!</v>
      </c>
      <c r="I207" s="309" t="e">
        <f t="shared" si="45"/>
        <v>#VALUE!</v>
      </c>
      <c r="J207" s="309" t="e">
        <f t="shared" si="45"/>
        <v>#VALUE!</v>
      </c>
      <c r="K207" s="309" t="e">
        <f t="shared" si="45"/>
        <v>#VALUE!</v>
      </c>
      <c r="L207" s="309" t="e">
        <f t="shared" si="45"/>
        <v>#VALUE!</v>
      </c>
      <c r="M207" s="309" t="e">
        <f t="shared" si="45"/>
        <v>#VALUE!</v>
      </c>
      <c r="N207" s="309" t="e">
        <f t="shared" si="45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3"/>
        <v>#VALUE!</v>
      </c>
    </row>
    <row r="208" spans="3:34">
      <c r="C208" s="307">
        <f t="shared" si="44"/>
        <v>14</v>
      </c>
      <c r="D208" s="309"/>
      <c r="E208" s="309"/>
      <c r="F208" s="309"/>
      <c r="G208" s="309" t="e">
        <f t="shared" si="45"/>
        <v>#VALUE!</v>
      </c>
      <c r="H208" s="309" t="e">
        <f t="shared" si="45"/>
        <v>#VALUE!</v>
      </c>
      <c r="I208" s="309" t="e">
        <f t="shared" si="45"/>
        <v>#VALUE!</v>
      </c>
      <c r="J208" s="309" t="e">
        <f t="shared" si="45"/>
        <v>#VALUE!</v>
      </c>
      <c r="K208" s="309" t="e">
        <f t="shared" si="45"/>
        <v>#VALUE!</v>
      </c>
      <c r="L208" s="309" t="e">
        <f t="shared" si="45"/>
        <v>#VALUE!</v>
      </c>
      <c r="M208" s="309" t="e">
        <f t="shared" si="45"/>
        <v>#VALUE!</v>
      </c>
      <c r="N208" s="309" t="e">
        <f t="shared" si="45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3"/>
        <v>#VALUE!</v>
      </c>
    </row>
    <row r="209" spans="3:34">
      <c r="C209" s="307">
        <f t="shared" si="44"/>
        <v>15</v>
      </c>
      <c r="D209" s="309"/>
      <c r="E209" s="309"/>
      <c r="F209" s="309"/>
      <c r="G209" s="309"/>
      <c r="H209" s="309" t="e">
        <f t="shared" si="45"/>
        <v>#VALUE!</v>
      </c>
      <c r="I209" s="309" t="e">
        <f t="shared" si="45"/>
        <v>#VALUE!</v>
      </c>
      <c r="J209" s="309" t="e">
        <f t="shared" si="45"/>
        <v>#VALUE!</v>
      </c>
      <c r="K209" s="309" t="e">
        <f t="shared" si="45"/>
        <v>#VALUE!</v>
      </c>
      <c r="L209" s="309" t="e">
        <f t="shared" si="45"/>
        <v>#VALUE!</v>
      </c>
      <c r="M209" s="309" t="e">
        <f t="shared" si="45"/>
        <v>#VALUE!</v>
      </c>
      <c r="N209" s="309" t="e">
        <f t="shared" si="45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3"/>
        <v>#VALUE!</v>
      </c>
    </row>
    <row r="210" spans="3:34">
      <c r="C210" s="307">
        <f t="shared" si="44"/>
        <v>16</v>
      </c>
      <c r="D210" s="309"/>
      <c r="E210" s="309"/>
      <c r="F210" s="309"/>
      <c r="G210" s="309"/>
      <c r="H210" s="309"/>
      <c r="I210" s="309" t="e">
        <f t="shared" si="45"/>
        <v>#VALUE!</v>
      </c>
      <c r="J210" s="309" t="e">
        <f t="shared" si="45"/>
        <v>#VALUE!</v>
      </c>
      <c r="K210" s="309" t="e">
        <f t="shared" si="45"/>
        <v>#VALUE!</v>
      </c>
      <c r="L210" s="309" t="e">
        <f t="shared" si="45"/>
        <v>#VALUE!</v>
      </c>
      <c r="M210" s="309" t="e">
        <f t="shared" si="45"/>
        <v>#VALUE!</v>
      </c>
      <c r="N210" s="309" t="e">
        <f t="shared" si="45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3"/>
        <v>#VALUE!</v>
      </c>
    </row>
    <row r="211" spans="3:34">
      <c r="C211" s="307">
        <f t="shared" si="44"/>
        <v>17</v>
      </c>
      <c r="D211" s="309"/>
      <c r="E211" s="309"/>
      <c r="F211" s="309"/>
      <c r="G211" s="309"/>
      <c r="H211" s="309"/>
      <c r="I211" s="309"/>
      <c r="J211" s="309" t="e">
        <f t="shared" si="45"/>
        <v>#VALUE!</v>
      </c>
      <c r="K211" s="309" t="e">
        <f t="shared" si="45"/>
        <v>#VALUE!</v>
      </c>
      <c r="L211" s="309" t="e">
        <f t="shared" si="45"/>
        <v>#VALUE!</v>
      </c>
      <c r="M211" s="309" t="e">
        <f t="shared" si="45"/>
        <v>#VALUE!</v>
      </c>
      <c r="N211" s="309" t="e">
        <f t="shared" si="45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3"/>
        <v>#VALUE!</v>
      </c>
    </row>
    <row r="212" spans="3:34">
      <c r="C212" s="307">
        <f t="shared" si="44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5"/>
        <v>#VALUE!</v>
      </c>
      <c r="L212" s="309" t="e">
        <f t="shared" si="45"/>
        <v>#VALUE!</v>
      </c>
      <c r="M212" s="309" t="e">
        <f t="shared" si="45"/>
        <v>#VALUE!</v>
      </c>
      <c r="N212" s="309" t="e">
        <f t="shared" si="45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3"/>
        <v>#VALUE!</v>
      </c>
    </row>
    <row r="213" spans="3:34">
      <c r="C213" s="307">
        <f t="shared" si="44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6">L212</f>
        <v>#VALUE!</v>
      </c>
      <c r="M213" s="309" t="e">
        <f t="shared" si="46"/>
        <v>#VALUE!</v>
      </c>
      <c r="N213" s="309" t="e">
        <f t="shared" si="46"/>
        <v>#VALUE!</v>
      </c>
      <c r="O213" s="309" t="e">
        <f t="shared" si="46"/>
        <v>#VALUE!</v>
      </c>
      <c r="P213" s="309" t="e">
        <f t="shared" si="46"/>
        <v>#VALUE!</v>
      </c>
      <c r="Q213" s="309" t="e">
        <f t="shared" si="46"/>
        <v>#VALUE!</v>
      </c>
      <c r="R213" s="309" t="e">
        <f t="shared" si="46"/>
        <v>#VALUE!</v>
      </c>
      <c r="S213" s="309" t="e">
        <f t="shared" si="46"/>
        <v>#VALUE!</v>
      </c>
      <c r="T213" s="309" t="e">
        <f t="shared" si="46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3"/>
        <v>#VALUE!</v>
      </c>
    </row>
    <row r="214" spans="3:34">
      <c r="C214" s="307">
        <f t="shared" si="44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6"/>
        <v>#VALUE!</v>
      </c>
      <c r="N214" s="309" t="e">
        <f t="shared" si="46"/>
        <v>#VALUE!</v>
      </c>
      <c r="O214" s="309" t="e">
        <f t="shared" si="46"/>
        <v>#VALUE!</v>
      </c>
      <c r="P214" s="309" t="e">
        <f t="shared" si="46"/>
        <v>#VALUE!</v>
      </c>
      <c r="Q214" s="309" t="e">
        <f t="shared" si="46"/>
        <v>#VALUE!</v>
      </c>
      <c r="R214" s="309" t="e">
        <f t="shared" si="46"/>
        <v>#VALUE!</v>
      </c>
      <c r="S214" s="309" t="e">
        <f t="shared" si="46"/>
        <v>#VALUE!</v>
      </c>
      <c r="T214" s="309" t="e">
        <f t="shared" si="46"/>
        <v>#VALUE!</v>
      </c>
      <c r="U214" s="309" t="e">
        <f t="shared" si="46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3"/>
        <v>#VALUE!</v>
      </c>
    </row>
    <row r="215" spans="3:34">
      <c r="C215" s="307">
        <f t="shared" si="44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6"/>
        <v>#VALUE!</v>
      </c>
      <c r="O215" s="309" t="e">
        <f t="shared" si="46"/>
        <v>#VALUE!</v>
      </c>
      <c r="P215" s="309" t="e">
        <f t="shared" si="46"/>
        <v>#VALUE!</v>
      </c>
      <c r="Q215" s="309" t="e">
        <f t="shared" si="46"/>
        <v>#VALUE!</v>
      </c>
      <c r="R215" s="309" t="e">
        <f t="shared" si="46"/>
        <v>#VALUE!</v>
      </c>
      <c r="S215" s="309" t="e">
        <f t="shared" si="46"/>
        <v>#VALUE!</v>
      </c>
      <c r="T215" s="309" t="e">
        <f t="shared" si="46"/>
        <v>#VALUE!</v>
      </c>
      <c r="U215" s="309" t="e">
        <f t="shared" si="46"/>
        <v>#VALUE!</v>
      </c>
      <c r="V215" s="309" t="e">
        <f t="shared" si="46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3"/>
        <v>#VALUE!</v>
      </c>
    </row>
    <row r="216" spans="3:34">
      <c r="C216" s="307">
        <f t="shared" si="44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6"/>
        <v>#VALUE!</v>
      </c>
      <c r="P216" s="309" t="e">
        <f t="shared" si="46"/>
        <v>#VALUE!</v>
      </c>
      <c r="Q216" s="309" t="e">
        <f t="shared" si="46"/>
        <v>#VALUE!</v>
      </c>
      <c r="R216" s="309" t="e">
        <f t="shared" si="46"/>
        <v>#VALUE!</v>
      </c>
      <c r="S216" s="309" t="e">
        <f t="shared" si="46"/>
        <v>#VALUE!</v>
      </c>
      <c r="T216" s="309" t="e">
        <f t="shared" si="46"/>
        <v>#VALUE!</v>
      </c>
      <c r="U216" s="309" t="e">
        <f t="shared" si="46"/>
        <v>#VALUE!</v>
      </c>
      <c r="V216" s="309" t="e">
        <f t="shared" si="46"/>
        <v>#VALUE!</v>
      </c>
      <c r="W216" s="309" t="e">
        <f t="shared" si="46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3"/>
        <v>#VALUE!</v>
      </c>
    </row>
    <row r="217" spans="3:34">
      <c r="C217" s="307">
        <f t="shared" si="44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6"/>
        <v>#VALUE!</v>
      </c>
      <c r="Q217" s="309" t="e">
        <f t="shared" si="46"/>
        <v>#VALUE!</v>
      </c>
      <c r="R217" s="309" t="e">
        <f t="shared" si="46"/>
        <v>#VALUE!</v>
      </c>
      <c r="S217" s="309" t="e">
        <f t="shared" si="46"/>
        <v>#VALUE!</v>
      </c>
      <c r="T217" s="309" t="e">
        <f t="shared" si="46"/>
        <v>#VALUE!</v>
      </c>
      <c r="U217" s="309" t="e">
        <f t="shared" si="46"/>
        <v>#VALUE!</v>
      </c>
      <c r="V217" s="309" t="e">
        <f t="shared" si="46"/>
        <v>#VALUE!</v>
      </c>
      <c r="W217" s="309" t="e">
        <f t="shared" si="46"/>
        <v>#VALUE!</v>
      </c>
      <c r="X217" s="309" t="e">
        <f t="shared" si="46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3"/>
        <v>#VALUE!</v>
      </c>
    </row>
    <row r="218" spans="3:34">
      <c r="C218" s="307">
        <f t="shared" si="44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6"/>
        <v>#VALUE!</v>
      </c>
      <c r="R218" s="309" t="e">
        <f t="shared" si="46"/>
        <v>#VALUE!</v>
      </c>
      <c r="S218" s="309" t="e">
        <f t="shared" si="46"/>
        <v>#VALUE!</v>
      </c>
      <c r="T218" s="309" t="e">
        <f t="shared" si="46"/>
        <v>#VALUE!</v>
      </c>
      <c r="U218" s="309" t="e">
        <f t="shared" si="46"/>
        <v>#VALUE!</v>
      </c>
      <c r="V218" s="309" t="e">
        <f t="shared" si="46"/>
        <v>#VALUE!</v>
      </c>
      <c r="W218" s="309" t="e">
        <f t="shared" si="46"/>
        <v>#VALUE!</v>
      </c>
      <c r="X218" s="309" t="e">
        <f t="shared" si="46"/>
        <v>#VALUE!</v>
      </c>
      <c r="Y218" s="309" t="e">
        <f t="shared" si="46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3"/>
        <v>#VALUE!</v>
      </c>
    </row>
    <row r="219" spans="3:34">
      <c r="C219" s="307">
        <f t="shared" si="44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6"/>
        <v>#VALUE!</v>
      </c>
      <c r="S219" s="309" t="e">
        <f t="shared" si="46"/>
        <v>#VALUE!</v>
      </c>
      <c r="T219" s="309" t="e">
        <f t="shared" si="46"/>
        <v>#VALUE!</v>
      </c>
      <c r="U219" s="309" t="e">
        <f t="shared" si="46"/>
        <v>#VALUE!</v>
      </c>
      <c r="V219" s="309" t="e">
        <f t="shared" si="46"/>
        <v>#VALUE!</v>
      </c>
      <c r="W219" s="309" t="e">
        <f t="shared" si="46"/>
        <v>#VALUE!</v>
      </c>
      <c r="X219" s="309" t="e">
        <f t="shared" si="46"/>
        <v>#VALUE!</v>
      </c>
      <c r="Y219" s="309" t="e">
        <f t="shared" si="46"/>
        <v>#VALUE!</v>
      </c>
      <c r="Z219" s="309" t="e">
        <f t="shared" si="46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3"/>
        <v>#VALUE!</v>
      </c>
    </row>
    <row r="220" spans="3:34">
      <c r="C220" s="307">
        <f t="shared" si="44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6"/>
        <v>#VALUE!</v>
      </c>
      <c r="T220" s="309" t="e">
        <f t="shared" si="46"/>
        <v>#VALUE!</v>
      </c>
      <c r="U220" s="309" t="e">
        <f t="shared" si="46"/>
        <v>#VALUE!</v>
      </c>
      <c r="V220" s="309" t="e">
        <f t="shared" si="46"/>
        <v>#VALUE!</v>
      </c>
      <c r="W220" s="309" t="e">
        <f t="shared" si="46"/>
        <v>#VALUE!</v>
      </c>
      <c r="X220" s="309" t="e">
        <f t="shared" si="46"/>
        <v>#VALUE!</v>
      </c>
      <c r="Y220" s="309" t="e">
        <f t="shared" si="46"/>
        <v>#VALUE!</v>
      </c>
      <c r="Z220" s="309" t="e">
        <f t="shared" si="46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3"/>
        <v>#VALUE!</v>
      </c>
    </row>
    <row r="221" spans="3:34">
      <c r="C221" s="307">
        <f t="shared" si="44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6"/>
        <v>#VALUE!</v>
      </c>
      <c r="U221" s="309" t="e">
        <f t="shared" si="46"/>
        <v>#VALUE!</v>
      </c>
      <c r="V221" s="309" t="e">
        <f t="shared" si="46"/>
        <v>#VALUE!</v>
      </c>
      <c r="W221" s="309" t="e">
        <f t="shared" si="46"/>
        <v>#VALUE!</v>
      </c>
      <c r="X221" s="309" t="e">
        <f t="shared" si="46"/>
        <v>#VALUE!</v>
      </c>
      <c r="Y221" s="309" t="e">
        <f t="shared" si="46"/>
        <v>#VALUE!</v>
      </c>
      <c r="Z221" s="309" t="e">
        <f t="shared" si="46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3"/>
        <v>#VALUE!</v>
      </c>
    </row>
    <row r="222" spans="3:34">
      <c r="C222" s="307">
        <f t="shared" si="44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6"/>
        <v>#VALUE!</v>
      </c>
      <c r="V222" s="309" t="e">
        <f t="shared" si="46"/>
        <v>#VALUE!</v>
      </c>
      <c r="W222" s="309" t="e">
        <f t="shared" si="46"/>
        <v>#VALUE!</v>
      </c>
      <c r="X222" s="309" t="e">
        <f t="shared" si="46"/>
        <v>#VALUE!</v>
      </c>
      <c r="Y222" s="309" t="e">
        <f t="shared" si="46"/>
        <v>#VALUE!</v>
      </c>
      <c r="Z222" s="309" t="e">
        <f t="shared" si="46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3"/>
        <v>#VALUE!</v>
      </c>
    </row>
    <row r="223" spans="3:34">
      <c r="C223" s="307">
        <f t="shared" si="44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6"/>
        <v>#VALUE!</v>
      </c>
      <c r="W223" s="309" t="e">
        <f t="shared" si="46"/>
        <v>#VALUE!</v>
      </c>
      <c r="X223" s="309" t="e">
        <f t="shared" si="46"/>
        <v>#VALUE!</v>
      </c>
      <c r="Y223" s="309" t="e">
        <f t="shared" si="46"/>
        <v>#VALUE!</v>
      </c>
      <c r="Z223" s="309" t="e">
        <f t="shared" si="46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3"/>
        <v>#VALUE!</v>
      </c>
    </row>
    <row r="224" spans="3:34" ht="13.5" thickBot="1">
      <c r="C224" s="307">
        <f t="shared" si="44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6"/>
        <v>#VALUE!</v>
      </c>
      <c r="X224" s="322" t="e">
        <f t="shared" si="46"/>
        <v>#VALUE!</v>
      </c>
      <c r="Y224" s="322" t="e">
        <f t="shared" si="46"/>
        <v>#VALUE!</v>
      </c>
      <c r="Z224" s="322" t="e">
        <f t="shared" si="46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3"/>
        <v>#VALUE!</v>
      </c>
    </row>
    <row r="225" spans="1:34" ht="14.25" thickTop="1" thickBot="1">
      <c r="C225" s="311" t="s">
        <v>0</v>
      </c>
      <c r="D225" s="328" t="e">
        <f t="shared" ref="D225:AG225" si="47">SUM(D194:D224)</f>
        <v>#VALUE!</v>
      </c>
      <c r="E225" s="328" t="e">
        <f t="shared" si="47"/>
        <v>#VALUE!</v>
      </c>
      <c r="F225" s="328" t="e">
        <f t="shared" si="47"/>
        <v>#VALUE!</v>
      </c>
      <c r="G225" s="328" t="e">
        <f t="shared" si="47"/>
        <v>#VALUE!</v>
      </c>
      <c r="H225" s="328" t="e">
        <f t="shared" si="47"/>
        <v>#VALUE!</v>
      </c>
      <c r="I225" s="328" t="e">
        <f t="shared" si="47"/>
        <v>#VALUE!</v>
      </c>
      <c r="J225" s="328" t="e">
        <f t="shared" si="47"/>
        <v>#VALUE!</v>
      </c>
      <c r="K225" s="328" t="e">
        <f t="shared" si="47"/>
        <v>#VALUE!</v>
      </c>
      <c r="L225" s="328" t="e">
        <f t="shared" si="47"/>
        <v>#VALUE!</v>
      </c>
      <c r="M225" s="328" t="e">
        <f t="shared" si="47"/>
        <v>#VALUE!</v>
      </c>
      <c r="N225" s="336" t="e">
        <f t="shared" si="47"/>
        <v>#VALUE!</v>
      </c>
      <c r="O225" s="328" t="e">
        <f t="shared" si="47"/>
        <v>#VALUE!</v>
      </c>
      <c r="P225" s="328" t="e">
        <f t="shared" si="47"/>
        <v>#VALUE!</v>
      </c>
      <c r="Q225" s="328" t="e">
        <f t="shared" si="47"/>
        <v>#VALUE!</v>
      </c>
      <c r="R225" s="328" t="e">
        <f t="shared" si="47"/>
        <v>#VALUE!</v>
      </c>
      <c r="S225" s="328" t="e">
        <f t="shared" si="47"/>
        <v>#VALUE!</v>
      </c>
      <c r="T225" s="328" t="e">
        <f t="shared" si="47"/>
        <v>#VALUE!</v>
      </c>
      <c r="U225" s="328" t="e">
        <f t="shared" si="47"/>
        <v>#VALUE!</v>
      </c>
      <c r="V225" s="328" t="e">
        <f t="shared" si="47"/>
        <v>#VALUE!</v>
      </c>
      <c r="W225" s="328" t="e">
        <f t="shared" si="47"/>
        <v>#VALUE!</v>
      </c>
      <c r="X225" s="328" t="e">
        <f t="shared" si="47"/>
        <v>#VALUE!</v>
      </c>
      <c r="Y225" s="328" t="e">
        <f t="shared" si="47"/>
        <v>#VALUE!</v>
      </c>
      <c r="Z225" s="328" t="e">
        <f t="shared" si="47"/>
        <v>#VALUE!</v>
      </c>
      <c r="AA225" s="328" t="e">
        <f t="shared" si="47"/>
        <v>#VALUE!</v>
      </c>
      <c r="AB225" s="328" t="e">
        <f t="shared" si="47"/>
        <v>#VALUE!</v>
      </c>
      <c r="AC225" s="328" t="e">
        <f t="shared" si="47"/>
        <v>#VALUE!</v>
      </c>
      <c r="AD225" s="328" t="e">
        <f t="shared" si="47"/>
        <v>#VALUE!</v>
      </c>
      <c r="AE225" s="328" t="e">
        <f t="shared" si="47"/>
        <v>#VALUE!</v>
      </c>
      <c r="AF225" s="329" t="e">
        <f t="shared" si="47"/>
        <v>#VALUE!</v>
      </c>
      <c r="AG225" s="329" t="e">
        <f t="shared" si="47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8">D229+1</f>
        <v>2</v>
      </c>
      <c r="F229" s="302">
        <f t="shared" si="48"/>
        <v>3</v>
      </c>
      <c r="G229" s="302">
        <f t="shared" si="48"/>
        <v>4</v>
      </c>
      <c r="H229" s="302">
        <f t="shared" si="48"/>
        <v>5</v>
      </c>
      <c r="I229" s="302">
        <f t="shared" si="48"/>
        <v>6</v>
      </c>
      <c r="J229" s="302">
        <f t="shared" si="48"/>
        <v>7</v>
      </c>
      <c r="K229" s="302">
        <f t="shared" si="48"/>
        <v>8</v>
      </c>
      <c r="L229" s="302">
        <f t="shared" si="48"/>
        <v>9</v>
      </c>
      <c r="M229" s="302">
        <f t="shared" si="48"/>
        <v>10</v>
      </c>
      <c r="N229" s="302">
        <f t="shared" si="48"/>
        <v>11</v>
      </c>
      <c r="O229" s="302">
        <f t="shared" si="48"/>
        <v>12</v>
      </c>
      <c r="P229" s="302">
        <f t="shared" si="48"/>
        <v>13</v>
      </c>
      <c r="Q229" s="302">
        <f t="shared" si="48"/>
        <v>14</v>
      </c>
      <c r="R229" s="302">
        <f t="shared" si="48"/>
        <v>15</v>
      </c>
      <c r="S229" s="302">
        <f t="shared" si="48"/>
        <v>16</v>
      </c>
      <c r="T229" s="302">
        <f t="shared" si="48"/>
        <v>17</v>
      </c>
      <c r="U229" s="302">
        <f t="shared" si="48"/>
        <v>18</v>
      </c>
      <c r="V229" s="302">
        <f t="shared" si="48"/>
        <v>19</v>
      </c>
      <c r="W229" s="302">
        <f t="shared" si="48"/>
        <v>20</v>
      </c>
      <c r="X229" s="302">
        <f t="shared" si="48"/>
        <v>21</v>
      </c>
      <c r="Y229" s="302">
        <f t="shared" si="48"/>
        <v>22</v>
      </c>
      <c r="Z229" s="302">
        <f t="shared" si="48"/>
        <v>23</v>
      </c>
      <c r="AA229" s="302">
        <f t="shared" si="48"/>
        <v>24</v>
      </c>
      <c r="AB229" s="302">
        <f t="shared" si="48"/>
        <v>25</v>
      </c>
      <c r="AC229" s="302">
        <f t="shared" si="48"/>
        <v>26</v>
      </c>
      <c r="AD229" s="302">
        <f t="shared" si="48"/>
        <v>27</v>
      </c>
      <c r="AE229" s="302">
        <f t="shared" si="48"/>
        <v>28</v>
      </c>
      <c r="AF229" s="302">
        <f t="shared" si="48"/>
        <v>29</v>
      </c>
      <c r="AG229" s="302">
        <f t="shared" si="48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9">SUM(D230:AG230)</f>
        <v>0</v>
      </c>
    </row>
    <row r="231" spans="1:34">
      <c r="C231" s="304">
        <f t="shared" ref="C231:C260" si="50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9"/>
        <v>0</v>
      </c>
    </row>
    <row r="232" spans="1:34">
      <c r="C232" s="304">
        <f t="shared" si="50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9"/>
        <v>#VALUE!</v>
      </c>
    </row>
    <row r="233" spans="1:34">
      <c r="C233" s="304">
        <f t="shared" si="50"/>
        <v>3</v>
      </c>
      <c r="D233" s="305" t="e">
        <f t="shared" ref="D233:S248" si="51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9"/>
        <v>#VALUE!</v>
      </c>
    </row>
    <row r="234" spans="1:34">
      <c r="C234" s="304">
        <f t="shared" si="50"/>
        <v>4</v>
      </c>
      <c r="D234" s="305" t="e">
        <f t="shared" si="51"/>
        <v>#VALUE!</v>
      </c>
      <c r="E234" s="305" t="e">
        <f t="shared" si="51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9"/>
        <v>#VALUE!</v>
      </c>
    </row>
    <row r="235" spans="1:34">
      <c r="C235" s="304">
        <f t="shared" si="50"/>
        <v>5</v>
      </c>
      <c r="D235" s="305" t="e">
        <f t="shared" si="51"/>
        <v>#VALUE!</v>
      </c>
      <c r="E235" s="305" t="e">
        <f t="shared" si="51"/>
        <v>#VALUE!</v>
      </c>
      <c r="F235" s="305" t="e">
        <f t="shared" si="51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9"/>
        <v>#VALUE!</v>
      </c>
    </row>
    <row r="236" spans="1:34">
      <c r="C236" s="304">
        <f t="shared" si="50"/>
        <v>6</v>
      </c>
      <c r="D236" s="305" t="e">
        <f t="shared" si="51"/>
        <v>#VALUE!</v>
      </c>
      <c r="E236" s="305" t="e">
        <f t="shared" si="51"/>
        <v>#VALUE!</v>
      </c>
      <c r="F236" s="305" t="e">
        <f t="shared" si="51"/>
        <v>#VALUE!</v>
      </c>
      <c r="G236" s="305" t="e">
        <f t="shared" si="51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9"/>
        <v>#VALUE!</v>
      </c>
    </row>
    <row r="237" spans="1:34">
      <c r="C237" s="304">
        <f t="shared" si="50"/>
        <v>7</v>
      </c>
      <c r="D237" s="305" t="e">
        <f t="shared" si="51"/>
        <v>#VALUE!</v>
      </c>
      <c r="E237" s="305" t="e">
        <f t="shared" si="51"/>
        <v>#VALUE!</v>
      </c>
      <c r="F237" s="305" t="e">
        <f t="shared" si="51"/>
        <v>#VALUE!</v>
      </c>
      <c r="G237" s="305" t="e">
        <f t="shared" si="51"/>
        <v>#VALUE!</v>
      </c>
      <c r="H237" s="305" t="e">
        <f t="shared" si="51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9"/>
        <v>#VALUE!</v>
      </c>
    </row>
    <row r="238" spans="1:34">
      <c r="C238" s="304">
        <f t="shared" si="50"/>
        <v>8</v>
      </c>
      <c r="D238" s="305" t="e">
        <f t="shared" si="51"/>
        <v>#VALUE!</v>
      </c>
      <c r="E238" s="305" t="e">
        <f t="shared" si="51"/>
        <v>#VALUE!</v>
      </c>
      <c r="F238" s="305" t="e">
        <f t="shared" si="51"/>
        <v>#VALUE!</v>
      </c>
      <c r="G238" s="305" t="e">
        <f t="shared" si="51"/>
        <v>#VALUE!</v>
      </c>
      <c r="H238" s="305" t="e">
        <f t="shared" si="51"/>
        <v>#VALUE!</v>
      </c>
      <c r="I238" s="305" t="e">
        <f t="shared" si="51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9"/>
        <v>#VALUE!</v>
      </c>
    </row>
    <row r="239" spans="1:34">
      <c r="C239" s="304">
        <f t="shared" si="50"/>
        <v>9</v>
      </c>
      <c r="D239" s="305"/>
      <c r="E239" s="305" t="e">
        <f t="shared" si="51"/>
        <v>#VALUE!</v>
      </c>
      <c r="F239" s="305" t="e">
        <f t="shared" si="51"/>
        <v>#VALUE!</v>
      </c>
      <c r="G239" s="305" t="e">
        <f t="shared" si="51"/>
        <v>#VALUE!</v>
      </c>
      <c r="H239" s="305" t="e">
        <f t="shared" si="51"/>
        <v>#VALUE!</v>
      </c>
      <c r="I239" s="305" t="e">
        <f t="shared" si="51"/>
        <v>#VALUE!</v>
      </c>
      <c r="J239" s="305" t="e">
        <f t="shared" si="51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9"/>
        <v>#VALUE!</v>
      </c>
    </row>
    <row r="240" spans="1:34">
      <c r="C240" s="304">
        <f t="shared" si="50"/>
        <v>10</v>
      </c>
      <c r="D240" s="305"/>
      <c r="E240" s="305"/>
      <c r="F240" s="305" t="e">
        <f t="shared" si="51"/>
        <v>#VALUE!</v>
      </c>
      <c r="G240" s="305" t="e">
        <f t="shared" si="51"/>
        <v>#VALUE!</v>
      </c>
      <c r="H240" s="305" t="e">
        <f t="shared" si="51"/>
        <v>#VALUE!</v>
      </c>
      <c r="I240" s="305" t="e">
        <f t="shared" si="51"/>
        <v>#VALUE!</v>
      </c>
      <c r="J240" s="305" t="e">
        <f t="shared" si="51"/>
        <v>#VALUE!</v>
      </c>
      <c r="K240" s="305" t="e">
        <f t="shared" si="51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9"/>
        <v>#VALUE!</v>
      </c>
    </row>
    <row r="241" spans="3:34">
      <c r="C241" s="304">
        <f t="shared" si="50"/>
        <v>11</v>
      </c>
      <c r="D241" s="305"/>
      <c r="E241" s="305"/>
      <c r="F241" s="305"/>
      <c r="G241" s="305" t="e">
        <f t="shared" si="51"/>
        <v>#VALUE!</v>
      </c>
      <c r="H241" s="305" t="e">
        <f t="shared" si="51"/>
        <v>#VALUE!</v>
      </c>
      <c r="I241" s="305" t="e">
        <f t="shared" si="51"/>
        <v>#VALUE!</v>
      </c>
      <c r="J241" s="305" t="e">
        <f t="shared" si="51"/>
        <v>#VALUE!</v>
      </c>
      <c r="K241" s="305" t="e">
        <f t="shared" si="51"/>
        <v>#VALUE!</v>
      </c>
      <c r="L241" s="305" t="e">
        <f t="shared" si="51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9"/>
        <v>#VALUE!</v>
      </c>
    </row>
    <row r="242" spans="3:34">
      <c r="C242" s="304">
        <f t="shared" si="50"/>
        <v>12</v>
      </c>
      <c r="D242" s="305"/>
      <c r="E242" s="305"/>
      <c r="F242" s="305"/>
      <c r="G242" s="305"/>
      <c r="H242" s="305" t="e">
        <f t="shared" si="51"/>
        <v>#VALUE!</v>
      </c>
      <c r="I242" s="305" t="e">
        <f t="shared" si="51"/>
        <v>#VALUE!</v>
      </c>
      <c r="J242" s="305" t="e">
        <f t="shared" si="51"/>
        <v>#VALUE!</v>
      </c>
      <c r="K242" s="305" t="e">
        <f t="shared" si="51"/>
        <v>#VALUE!</v>
      </c>
      <c r="L242" s="305" t="e">
        <f t="shared" si="51"/>
        <v>#VALUE!</v>
      </c>
      <c r="M242" s="305" t="e">
        <f t="shared" si="51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9"/>
        <v>#VALUE!</v>
      </c>
    </row>
    <row r="243" spans="3:34">
      <c r="C243" s="304">
        <f t="shared" si="50"/>
        <v>13</v>
      </c>
      <c r="D243" s="305"/>
      <c r="E243" s="305"/>
      <c r="F243" s="305"/>
      <c r="G243" s="305"/>
      <c r="H243" s="305"/>
      <c r="I243" s="305" t="e">
        <f t="shared" si="51"/>
        <v>#VALUE!</v>
      </c>
      <c r="J243" s="305" t="e">
        <f t="shared" si="51"/>
        <v>#VALUE!</v>
      </c>
      <c r="K243" s="305" t="e">
        <f t="shared" si="51"/>
        <v>#VALUE!</v>
      </c>
      <c r="L243" s="305" t="e">
        <f t="shared" si="51"/>
        <v>#VALUE!</v>
      </c>
      <c r="M243" s="305" t="e">
        <f t="shared" si="51"/>
        <v>#VALUE!</v>
      </c>
      <c r="N243" s="305" t="e">
        <f t="shared" si="51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9"/>
        <v>#VALUE!</v>
      </c>
    </row>
    <row r="244" spans="3:34">
      <c r="C244" s="304">
        <f t="shared" si="50"/>
        <v>14</v>
      </c>
      <c r="D244" s="305"/>
      <c r="E244" s="305"/>
      <c r="F244" s="305"/>
      <c r="G244" s="305"/>
      <c r="H244" s="305"/>
      <c r="I244" s="305"/>
      <c r="J244" s="305" t="e">
        <f t="shared" si="51"/>
        <v>#VALUE!</v>
      </c>
      <c r="K244" s="305" t="e">
        <f t="shared" si="51"/>
        <v>#VALUE!</v>
      </c>
      <c r="L244" s="305" t="e">
        <f t="shared" si="51"/>
        <v>#VALUE!</v>
      </c>
      <c r="M244" s="305" t="e">
        <f t="shared" si="51"/>
        <v>#VALUE!</v>
      </c>
      <c r="N244" s="305" t="e">
        <f t="shared" si="51"/>
        <v>#VALUE!</v>
      </c>
      <c r="O244" s="305" t="e">
        <f t="shared" si="51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9"/>
        <v>#VALUE!</v>
      </c>
    </row>
    <row r="245" spans="3:34">
      <c r="C245" s="304">
        <f t="shared" si="50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1"/>
        <v>#VALUE!</v>
      </c>
      <c r="L245" s="305" t="e">
        <f t="shared" si="51"/>
        <v>#VALUE!</v>
      </c>
      <c r="M245" s="305" t="e">
        <f t="shared" si="51"/>
        <v>#VALUE!</v>
      </c>
      <c r="N245" s="305" t="e">
        <f t="shared" si="51"/>
        <v>#VALUE!</v>
      </c>
      <c r="O245" s="305" t="e">
        <f t="shared" si="51"/>
        <v>#VALUE!</v>
      </c>
      <c r="P245" s="305" t="e">
        <f t="shared" si="51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9"/>
        <v>#VALUE!</v>
      </c>
    </row>
    <row r="246" spans="3:34">
      <c r="C246" s="304">
        <f t="shared" si="50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1"/>
        <v>#VALUE!</v>
      </c>
      <c r="M246" s="305" t="e">
        <f t="shared" si="51"/>
        <v>#VALUE!</v>
      </c>
      <c r="N246" s="305" t="e">
        <f t="shared" si="51"/>
        <v>#VALUE!</v>
      </c>
      <c r="O246" s="305" t="e">
        <f t="shared" si="51"/>
        <v>#VALUE!</v>
      </c>
      <c r="P246" s="305" t="e">
        <f t="shared" si="51"/>
        <v>#VALUE!</v>
      </c>
      <c r="Q246" s="305" t="e">
        <f t="shared" si="51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9"/>
        <v>#VALUE!</v>
      </c>
    </row>
    <row r="247" spans="3:34">
      <c r="C247" s="304">
        <f t="shared" si="50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1"/>
        <v>#VALUE!</v>
      </c>
      <c r="N247" s="305" t="e">
        <f t="shared" si="51"/>
        <v>#VALUE!</v>
      </c>
      <c r="O247" s="305" t="e">
        <f t="shared" si="51"/>
        <v>#VALUE!</v>
      </c>
      <c r="P247" s="305" t="e">
        <f t="shared" si="51"/>
        <v>#VALUE!</v>
      </c>
      <c r="Q247" s="305" t="e">
        <f t="shared" si="51"/>
        <v>#VALUE!</v>
      </c>
      <c r="R247" s="305" t="e">
        <f t="shared" si="51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9"/>
        <v>#VALUE!</v>
      </c>
    </row>
    <row r="248" spans="3:34">
      <c r="C248" s="304">
        <f t="shared" si="50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1"/>
        <v>#VALUE!</v>
      </c>
      <c r="O248" s="305" t="e">
        <f t="shared" si="51"/>
        <v>#VALUE!</v>
      </c>
      <c r="P248" s="305" t="e">
        <f t="shared" si="51"/>
        <v>#VALUE!</v>
      </c>
      <c r="Q248" s="305" t="e">
        <f t="shared" si="51"/>
        <v>#VALUE!</v>
      </c>
      <c r="R248" s="305" t="e">
        <f t="shared" si="51"/>
        <v>#VALUE!</v>
      </c>
      <c r="S248" s="305" t="e">
        <f t="shared" si="51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9"/>
        <v>#VALUE!</v>
      </c>
    </row>
    <row r="249" spans="3:34">
      <c r="C249" s="304">
        <f t="shared" si="50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2">O248</f>
        <v>#VALUE!</v>
      </c>
      <c r="P249" s="305" t="e">
        <f t="shared" si="52"/>
        <v>#VALUE!</v>
      </c>
      <c r="Q249" s="305" t="e">
        <f t="shared" si="52"/>
        <v>#VALUE!</v>
      </c>
      <c r="R249" s="305" t="e">
        <f t="shared" si="52"/>
        <v>#VALUE!</v>
      </c>
      <c r="S249" s="305" t="e">
        <f t="shared" si="52"/>
        <v>#VALUE!</v>
      </c>
      <c r="T249" s="305" t="e">
        <f t="shared" si="52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9"/>
        <v>#VALUE!</v>
      </c>
    </row>
    <row r="250" spans="3:34">
      <c r="C250" s="304">
        <f t="shared" si="50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2"/>
        <v>#VALUE!</v>
      </c>
      <c r="Q250" s="305" t="e">
        <f t="shared" si="52"/>
        <v>#VALUE!</v>
      </c>
      <c r="R250" s="305" t="e">
        <f t="shared" si="52"/>
        <v>#VALUE!</v>
      </c>
      <c r="S250" s="305" t="e">
        <f t="shared" si="52"/>
        <v>#VALUE!</v>
      </c>
      <c r="T250" s="305" t="e">
        <f t="shared" si="52"/>
        <v>#VALUE!</v>
      </c>
      <c r="U250" s="305" t="e">
        <f t="shared" si="52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9"/>
        <v>#VALUE!</v>
      </c>
    </row>
    <row r="251" spans="3:34">
      <c r="C251" s="304">
        <f t="shared" si="50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2"/>
        <v>#VALUE!</v>
      </c>
      <c r="R251" s="305" t="e">
        <f t="shared" si="52"/>
        <v>#VALUE!</v>
      </c>
      <c r="S251" s="305" t="e">
        <f t="shared" si="52"/>
        <v>#VALUE!</v>
      </c>
      <c r="T251" s="305" t="e">
        <f t="shared" si="52"/>
        <v>#VALUE!</v>
      </c>
      <c r="U251" s="305" t="e">
        <f t="shared" si="52"/>
        <v>#VALUE!</v>
      </c>
      <c r="V251" s="305" t="e">
        <f t="shared" si="52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9"/>
        <v>#VALUE!</v>
      </c>
    </row>
    <row r="252" spans="3:34">
      <c r="C252" s="304">
        <f t="shared" si="50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2"/>
        <v>#VALUE!</v>
      </c>
      <c r="S252" s="305" t="e">
        <f t="shared" si="52"/>
        <v>#VALUE!</v>
      </c>
      <c r="T252" s="305" t="e">
        <f t="shared" si="52"/>
        <v>#VALUE!</v>
      </c>
      <c r="U252" s="305" t="e">
        <f t="shared" si="52"/>
        <v>#VALUE!</v>
      </c>
      <c r="V252" s="305" t="e">
        <f t="shared" si="52"/>
        <v>#VALUE!</v>
      </c>
      <c r="W252" s="305" t="e">
        <f t="shared" si="52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9"/>
        <v>#VALUE!</v>
      </c>
    </row>
    <row r="253" spans="3:34">
      <c r="C253" s="304">
        <f t="shared" si="50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2"/>
        <v>#VALUE!</v>
      </c>
      <c r="T253" s="305" t="e">
        <f t="shared" si="52"/>
        <v>#VALUE!</v>
      </c>
      <c r="U253" s="305" t="e">
        <f t="shared" si="52"/>
        <v>#VALUE!</v>
      </c>
      <c r="V253" s="305" t="e">
        <f t="shared" si="52"/>
        <v>#VALUE!</v>
      </c>
      <c r="W253" s="305" t="e">
        <f t="shared" si="52"/>
        <v>#VALUE!</v>
      </c>
      <c r="X253" s="305" t="e">
        <f t="shared" si="52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9"/>
        <v>#VALUE!</v>
      </c>
    </row>
    <row r="254" spans="3:34">
      <c r="C254" s="304">
        <f t="shared" si="50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2"/>
        <v>#VALUE!</v>
      </c>
      <c r="U254" s="305" t="e">
        <f t="shared" si="52"/>
        <v>#VALUE!</v>
      </c>
      <c r="V254" s="305" t="e">
        <f t="shared" si="52"/>
        <v>#VALUE!</v>
      </c>
      <c r="W254" s="305" t="e">
        <f t="shared" si="52"/>
        <v>#VALUE!</v>
      </c>
      <c r="X254" s="305" t="e">
        <f t="shared" si="52"/>
        <v>#VALUE!</v>
      </c>
      <c r="Y254" s="305" t="e">
        <f t="shared" si="52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9"/>
        <v>#VALUE!</v>
      </c>
    </row>
    <row r="255" spans="3:34">
      <c r="C255" s="304">
        <f t="shared" si="50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2"/>
        <v>#VALUE!</v>
      </c>
      <c r="V255" s="305" t="e">
        <f t="shared" si="52"/>
        <v>#VALUE!</v>
      </c>
      <c r="W255" s="305" t="e">
        <f t="shared" si="52"/>
        <v>#VALUE!</v>
      </c>
      <c r="X255" s="305" t="e">
        <f t="shared" si="52"/>
        <v>#VALUE!</v>
      </c>
      <c r="Y255" s="305" t="e">
        <f t="shared" si="52"/>
        <v>#VALUE!</v>
      </c>
      <c r="Z255" s="305" t="e">
        <f t="shared" si="52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9"/>
        <v>#VALUE!</v>
      </c>
    </row>
    <row r="256" spans="3:34">
      <c r="C256" s="304">
        <f t="shared" si="50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2"/>
        <v>#VALUE!</v>
      </c>
      <c r="W256" s="305" t="e">
        <f t="shared" si="52"/>
        <v>#VALUE!</v>
      </c>
      <c r="X256" s="305" t="e">
        <f t="shared" si="52"/>
        <v>#VALUE!</v>
      </c>
      <c r="Y256" s="305" t="e">
        <f t="shared" si="52"/>
        <v>#VALUE!</v>
      </c>
      <c r="Z256" s="305" t="e">
        <f t="shared" si="52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9"/>
        <v>#VALUE!</v>
      </c>
    </row>
    <row r="257" spans="1:34">
      <c r="C257" s="304">
        <f t="shared" si="50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2"/>
        <v>#VALUE!</v>
      </c>
      <c r="X257" s="305" t="e">
        <f t="shared" si="52"/>
        <v>#VALUE!</v>
      </c>
      <c r="Y257" s="305" t="e">
        <f t="shared" si="52"/>
        <v>#VALUE!</v>
      </c>
      <c r="Z257" s="305" t="e">
        <f t="shared" si="52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9"/>
        <v>#VALUE!</v>
      </c>
    </row>
    <row r="258" spans="1:34">
      <c r="C258" s="304">
        <f t="shared" si="50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2"/>
        <v>#VALUE!</v>
      </c>
      <c r="Y258" s="305" t="e">
        <f t="shared" si="52"/>
        <v>#VALUE!</v>
      </c>
      <c r="Z258" s="305" t="e">
        <f t="shared" si="52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9"/>
        <v>#VALUE!</v>
      </c>
    </row>
    <row r="259" spans="1:34">
      <c r="C259" s="304">
        <f t="shared" si="50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2"/>
        <v>#VALUE!</v>
      </c>
      <c r="Z259" s="305" t="e">
        <f t="shared" si="52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9"/>
        <v>#VALUE!</v>
      </c>
    </row>
    <row r="260" spans="1:34" ht="13.5" thickBot="1">
      <c r="C260" s="304">
        <f t="shared" si="50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2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9"/>
        <v>#VALUE!</v>
      </c>
    </row>
    <row r="261" spans="1:34" ht="14.25" thickTop="1" thickBot="1">
      <c r="C261" s="311" t="s">
        <v>0</v>
      </c>
      <c r="D261" s="328" t="e">
        <f t="shared" ref="D261:AH261" si="53">SUM(D230:D260)</f>
        <v>#VALUE!</v>
      </c>
      <c r="E261" s="328" t="e">
        <f t="shared" si="53"/>
        <v>#VALUE!</v>
      </c>
      <c r="F261" s="328" t="e">
        <f t="shared" si="53"/>
        <v>#VALUE!</v>
      </c>
      <c r="G261" s="328" t="e">
        <f t="shared" si="53"/>
        <v>#VALUE!</v>
      </c>
      <c r="H261" s="328" t="e">
        <f t="shared" si="53"/>
        <v>#VALUE!</v>
      </c>
      <c r="I261" s="328" t="e">
        <f t="shared" si="53"/>
        <v>#VALUE!</v>
      </c>
      <c r="J261" s="328" t="e">
        <f t="shared" si="53"/>
        <v>#VALUE!</v>
      </c>
      <c r="K261" s="328" t="e">
        <f t="shared" si="53"/>
        <v>#VALUE!</v>
      </c>
      <c r="L261" s="328" t="e">
        <f t="shared" si="53"/>
        <v>#VALUE!</v>
      </c>
      <c r="M261" s="328" t="e">
        <f t="shared" si="53"/>
        <v>#VALUE!</v>
      </c>
      <c r="N261" s="328" t="e">
        <f t="shared" si="53"/>
        <v>#VALUE!</v>
      </c>
      <c r="O261" s="328" t="e">
        <f t="shared" si="53"/>
        <v>#VALUE!</v>
      </c>
      <c r="P261" s="328" t="e">
        <f t="shared" si="53"/>
        <v>#VALUE!</v>
      </c>
      <c r="Q261" s="328" t="e">
        <f t="shared" si="53"/>
        <v>#VALUE!</v>
      </c>
      <c r="R261" s="328" t="e">
        <f t="shared" si="53"/>
        <v>#VALUE!</v>
      </c>
      <c r="S261" s="328" t="e">
        <f t="shared" si="53"/>
        <v>#VALUE!</v>
      </c>
      <c r="T261" s="328" t="e">
        <f t="shared" si="53"/>
        <v>#VALUE!</v>
      </c>
      <c r="U261" s="328" t="e">
        <f t="shared" si="53"/>
        <v>#VALUE!</v>
      </c>
      <c r="V261" s="328" t="e">
        <f t="shared" si="53"/>
        <v>#VALUE!</v>
      </c>
      <c r="W261" s="328" t="e">
        <f t="shared" si="53"/>
        <v>#VALUE!</v>
      </c>
      <c r="X261" s="328" t="e">
        <f t="shared" si="53"/>
        <v>#VALUE!</v>
      </c>
      <c r="Y261" s="328" t="e">
        <f t="shared" si="53"/>
        <v>#VALUE!</v>
      </c>
      <c r="Z261" s="328" t="e">
        <f t="shared" si="53"/>
        <v>#VALUE!</v>
      </c>
      <c r="AA261" s="328" t="e">
        <f t="shared" si="53"/>
        <v>#VALUE!</v>
      </c>
      <c r="AB261" s="328" t="e">
        <f t="shared" si="53"/>
        <v>#VALUE!</v>
      </c>
      <c r="AC261" s="328" t="e">
        <f t="shared" si="53"/>
        <v>#VALUE!</v>
      </c>
      <c r="AD261" s="328" t="e">
        <f t="shared" si="53"/>
        <v>#VALUE!</v>
      </c>
      <c r="AE261" s="328" t="e">
        <f t="shared" si="53"/>
        <v>#VALUE!</v>
      </c>
      <c r="AF261" s="329" t="e">
        <f t="shared" si="53"/>
        <v>#VALUE!</v>
      </c>
      <c r="AG261" s="328" t="e">
        <f t="shared" si="53"/>
        <v>#VALUE!</v>
      </c>
      <c r="AH261" s="315" t="e">
        <f t="shared" si="53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4">D267+1</f>
        <v>2</v>
      </c>
      <c r="F267" s="302">
        <f t="shared" si="54"/>
        <v>3</v>
      </c>
      <c r="G267" s="302">
        <f t="shared" si="54"/>
        <v>4</v>
      </c>
      <c r="H267" s="302">
        <f t="shared" si="54"/>
        <v>5</v>
      </c>
      <c r="I267" s="302">
        <f t="shared" si="54"/>
        <v>6</v>
      </c>
      <c r="J267" s="302">
        <f t="shared" si="54"/>
        <v>7</v>
      </c>
      <c r="K267" s="302">
        <f t="shared" si="54"/>
        <v>8</v>
      </c>
      <c r="L267" s="302">
        <f t="shared" si="54"/>
        <v>9</v>
      </c>
      <c r="M267" s="302">
        <f t="shared" si="54"/>
        <v>10</v>
      </c>
      <c r="N267" s="302">
        <f t="shared" si="54"/>
        <v>11</v>
      </c>
      <c r="O267" s="302">
        <f t="shared" si="54"/>
        <v>12</v>
      </c>
      <c r="P267" s="302">
        <f t="shared" si="54"/>
        <v>13</v>
      </c>
      <c r="Q267" s="302">
        <f t="shared" si="54"/>
        <v>14</v>
      </c>
      <c r="R267" s="302">
        <f t="shared" si="54"/>
        <v>15</v>
      </c>
      <c r="S267" s="302">
        <f t="shared" si="54"/>
        <v>16</v>
      </c>
      <c r="T267" s="302">
        <f t="shared" si="54"/>
        <v>17</v>
      </c>
      <c r="U267" s="302">
        <f t="shared" si="54"/>
        <v>18</v>
      </c>
      <c r="V267" s="302">
        <f t="shared" si="54"/>
        <v>19</v>
      </c>
      <c r="W267" s="302">
        <f t="shared" si="54"/>
        <v>20</v>
      </c>
      <c r="X267" s="302">
        <f t="shared" si="54"/>
        <v>21</v>
      </c>
      <c r="Y267" s="302">
        <f t="shared" si="54"/>
        <v>22</v>
      </c>
      <c r="Z267" s="302">
        <f t="shared" si="54"/>
        <v>23</v>
      </c>
      <c r="AA267" s="302">
        <f t="shared" si="54"/>
        <v>24</v>
      </c>
      <c r="AB267" s="302">
        <f t="shared" si="54"/>
        <v>25</v>
      </c>
      <c r="AC267" s="302">
        <f t="shared" si="54"/>
        <v>26</v>
      </c>
      <c r="AD267" s="302">
        <f t="shared" si="54"/>
        <v>27</v>
      </c>
      <c r="AE267" s="302">
        <f t="shared" si="54"/>
        <v>28</v>
      </c>
      <c r="AF267" s="302">
        <f t="shared" si="54"/>
        <v>29</v>
      </c>
      <c r="AG267" s="302">
        <f t="shared" si="54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5">SUM(D268:AG268)</f>
        <v>0</v>
      </c>
    </row>
    <row r="269" spans="1:34">
      <c r="C269" s="307">
        <f t="shared" ref="C269:C298" si="56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5"/>
        <v>0</v>
      </c>
    </row>
    <row r="270" spans="1:34">
      <c r="C270" s="307">
        <f t="shared" si="56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5"/>
        <v>#VALUE!</v>
      </c>
    </row>
    <row r="271" spans="1:34">
      <c r="C271" s="307">
        <f t="shared" si="56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5"/>
        <v>#VALUE!</v>
      </c>
    </row>
    <row r="272" spans="1:34">
      <c r="C272" s="307">
        <f t="shared" si="56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5"/>
        <v>#VALUE!</v>
      </c>
    </row>
    <row r="273" spans="3:34">
      <c r="C273" s="307">
        <f t="shared" si="56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5"/>
        <v>#VALUE!</v>
      </c>
    </row>
    <row r="274" spans="3:34">
      <c r="C274" s="307">
        <f t="shared" si="56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5"/>
        <v>#VALUE!</v>
      </c>
    </row>
    <row r="275" spans="3:34">
      <c r="C275" s="307">
        <f t="shared" si="56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5"/>
        <v>#VALUE!</v>
      </c>
    </row>
    <row r="276" spans="3:34">
      <c r="C276" s="307">
        <f t="shared" si="56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5"/>
        <v>#VALUE!</v>
      </c>
    </row>
    <row r="277" spans="3:34">
      <c r="C277" s="307">
        <f t="shared" si="56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5"/>
        <v>#VALUE!</v>
      </c>
    </row>
    <row r="278" spans="3:34">
      <c r="C278" s="307">
        <f t="shared" si="56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5"/>
        <v>#VALUE!</v>
      </c>
    </row>
    <row r="279" spans="3:34">
      <c r="C279" s="307">
        <f t="shared" si="56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5"/>
        <v>#VALUE!</v>
      </c>
    </row>
    <row r="280" spans="3:34">
      <c r="C280" s="307">
        <f t="shared" si="56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5"/>
        <v>#VALUE!</v>
      </c>
    </row>
    <row r="281" spans="3:34">
      <c r="C281" s="307">
        <f t="shared" si="56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5"/>
        <v>#VALUE!</v>
      </c>
    </row>
    <row r="282" spans="3:34">
      <c r="C282" s="307">
        <f t="shared" si="56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5"/>
        <v>#VALUE!</v>
      </c>
    </row>
    <row r="283" spans="3:34">
      <c r="C283" s="307">
        <f t="shared" si="56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5"/>
        <v>#VALUE!</v>
      </c>
    </row>
    <row r="284" spans="3:34">
      <c r="C284" s="307">
        <f t="shared" si="56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5"/>
        <v>#VALUE!</v>
      </c>
    </row>
    <row r="285" spans="3:34">
      <c r="C285" s="307">
        <f t="shared" si="56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5"/>
        <v>#VALUE!</v>
      </c>
    </row>
    <row r="286" spans="3:34">
      <c r="C286" s="307">
        <f t="shared" si="56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5"/>
        <v>#VALUE!</v>
      </c>
    </row>
    <row r="287" spans="3:34">
      <c r="C287" s="307">
        <f t="shared" si="56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5"/>
        <v>#VALUE!</v>
      </c>
    </row>
    <row r="288" spans="3:34">
      <c r="C288" s="307">
        <f t="shared" si="56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5"/>
        <v>#VALUE!</v>
      </c>
    </row>
    <row r="289" spans="1:34">
      <c r="C289" s="307">
        <f t="shared" si="56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5"/>
        <v>#VALUE!</v>
      </c>
    </row>
    <row r="290" spans="1:34">
      <c r="C290" s="307">
        <f t="shared" si="56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5"/>
        <v>#VALUE!</v>
      </c>
    </row>
    <row r="291" spans="1:34">
      <c r="C291" s="307">
        <f t="shared" si="56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5"/>
        <v>#VALUE!</v>
      </c>
    </row>
    <row r="292" spans="1:34">
      <c r="C292" s="307">
        <f t="shared" si="56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5"/>
        <v>#VALUE!</v>
      </c>
    </row>
    <row r="293" spans="1:34">
      <c r="C293" s="307">
        <f t="shared" si="56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5"/>
        <v>#VALUE!</v>
      </c>
    </row>
    <row r="294" spans="1:34">
      <c r="C294" s="307">
        <f t="shared" si="56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5"/>
        <v>#VALUE!</v>
      </c>
    </row>
    <row r="295" spans="1:34">
      <c r="C295" s="307">
        <f t="shared" si="56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5"/>
        <v>#VALUE!</v>
      </c>
    </row>
    <row r="296" spans="1:34">
      <c r="C296" s="307">
        <f t="shared" si="56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5"/>
        <v>#VALUE!</v>
      </c>
    </row>
    <row r="297" spans="1:34">
      <c r="C297" s="307">
        <f t="shared" si="56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5"/>
        <v>#VALUE!</v>
      </c>
    </row>
    <row r="298" spans="1:34" ht="13.5" thickBot="1">
      <c r="C298" s="307">
        <f t="shared" si="56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5"/>
        <v>#VALUE!</v>
      </c>
    </row>
    <row r="299" spans="1:34" ht="14.25" thickTop="1" thickBot="1">
      <c r="C299" s="311" t="s">
        <v>0</v>
      </c>
      <c r="D299" s="328" t="e">
        <f t="shared" ref="D299:AH299" si="57">SUM(D268:D298)</f>
        <v>#VALUE!</v>
      </c>
      <c r="E299" s="328" t="e">
        <f t="shared" si="57"/>
        <v>#VALUE!</v>
      </c>
      <c r="F299" s="328" t="e">
        <f t="shared" si="57"/>
        <v>#VALUE!</v>
      </c>
      <c r="G299" s="328" t="e">
        <f t="shared" si="57"/>
        <v>#VALUE!</v>
      </c>
      <c r="H299" s="328" t="e">
        <f t="shared" si="57"/>
        <v>#VALUE!</v>
      </c>
      <c r="I299" s="328" t="e">
        <f t="shared" si="57"/>
        <v>#VALUE!</v>
      </c>
      <c r="J299" s="328" t="e">
        <f t="shared" si="57"/>
        <v>#VALUE!</v>
      </c>
      <c r="K299" s="328" t="e">
        <f t="shared" si="57"/>
        <v>#VALUE!</v>
      </c>
      <c r="L299" s="340" t="e">
        <f t="shared" si="57"/>
        <v>#VALUE!</v>
      </c>
      <c r="M299" s="340" t="e">
        <f t="shared" si="57"/>
        <v>#VALUE!</v>
      </c>
      <c r="N299" s="328" t="e">
        <f t="shared" si="57"/>
        <v>#VALUE!</v>
      </c>
      <c r="O299" s="328" t="e">
        <f t="shared" si="57"/>
        <v>#VALUE!</v>
      </c>
      <c r="P299" s="328" t="e">
        <f t="shared" si="57"/>
        <v>#VALUE!</v>
      </c>
      <c r="Q299" s="328" t="e">
        <f t="shared" si="57"/>
        <v>#VALUE!</v>
      </c>
      <c r="R299" s="328" t="e">
        <f t="shared" si="57"/>
        <v>#VALUE!</v>
      </c>
      <c r="S299" s="328" t="e">
        <f t="shared" si="57"/>
        <v>#VALUE!</v>
      </c>
      <c r="T299" s="328" t="e">
        <f t="shared" si="57"/>
        <v>#VALUE!</v>
      </c>
      <c r="U299" s="328" t="e">
        <f t="shared" si="57"/>
        <v>#VALUE!</v>
      </c>
      <c r="V299" s="328" t="e">
        <f t="shared" si="57"/>
        <v>#VALUE!</v>
      </c>
      <c r="W299" s="328" t="e">
        <f t="shared" si="57"/>
        <v>#VALUE!</v>
      </c>
      <c r="X299" s="328" t="e">
        <f t="shared" si="57"/>
        <v>#VALUE!</v>
      </c>
      <c r="Y299" s="328" t="e">
        <f t="shared" si="57"/>
        <v>#VALUE!</v>
      </c>
      <c r="Z299" s="328" t="e">
        <f t="shared" si="57"/>
        <v>#VALUE!</v>
      </c>
      <c r="AA299" s="328" t="e">
        <f t="shared" si="57"/>
        <v>#VALUE!</v>
      </c>
      <c r="AB299" s="328" t="e">
        <f t="shared" si="57"/>
        <v>#VALUE!</v>
      </c>
      <c r="AC299" s="328" t="e">
        <f t="shared" si="57"/>
        <v>#VALUE!</v>
      </c>
      <c r="AD299" s="328" t="e">
        <f t="shared" si="57"/>
        <v>#VALUE!</v>
      </c>
      <c r="AE299" s="328" t="e">
        <f t="shared" si="57"/>
        <v>#VALUE!</v>
      </c>
      <c r="AF299" s="329" t="e">
        <f t="shared" si="57"/>
        <v>#VALUE!</v>
      </c>
      <c r="AG299" s="328" t="e">
        <f t="shared" si="57"/>
        <v>#VALUE!</v>
      </c>
      <c r="AH299" s="315" t="e">
        <f t="shared" si="57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8">D305+1</f>
        <v>2</v>
      </c>
      <c r="F305" s="302">
        <f t="shared" si="58"/>
        <v>3</v>
      </c>
      <c r="G305" s="302">
        <f t="shared" si="58"/>
        <v>4</v>
      </c>
      <c r="H305" s="302">
        <f t="shared" si="58"/>
        <v>5</v>
      </c>
      <c r="I305" s="302">
        <f t="shared" si="58"/>
        <v>6</v>
      </c>
      <c r="J305" s="302">
        <f t="shared" si="58"/>
        <v>7</v>
      </c>
      <c r="K305" s="302">
        <f t="shared" si="58"/>
        <v>8</v>
      </c>
      <c r="L305" s="302">
        <f t="shared" si="58"/>
        <v>9</v>
      </c>
      <c r="M305" s="302">
        <f t="shared" si="58"/>
        <v>10</v>
      </c>
      <c r="N305" s="302">
        <f t="shared" si="58"/>
        <v>11</v>
      </c>
      <c r="O305" s="302">
        <f t="shared" si="58"/>
        <v>12</v>
      </c>
      <c r="P305" s="302">
        <f t="shared" si="58"/>
        <v>13</v>
      </c>
      <c r="Q305" s="302">
        <f t="shared" si="58"/>
        <v>14</v>
      </c>
      <c r="R305" s="302">
        <f t="shared" si="58"/>
        <v>15</v>
      </c>
      <c r="S305" s="302">
        <f t="shared" si="58"/>
        <v>16</v>
      </c>
      <c r="T305" s="302">
        <f t="shared" si="58"/>
        <v>17</v>
      </c>
      <c r="U305" s="302">
        <f t="shared" si="58"/>
        <v>18</v>
      </c>
      <c r="V305" s="302">
        <f t="shared" si="58"/>
        <v>19</v>
      </c>
      <c r="W305" s="302">
        <f t="shared" si="58"/>
        <v>20</v>
      </c>
      <c r="X305" s="302">
        <f t="shared" si="58"/>
        <v>21</v>
      </c>
      <c r="Y305" s="302">
        <f t="shared" si="58"/>
        <v>22</v>
      </c>
      <c r="Z305" s="302">
        <f t="shared" si="58"/>
        <v>23</v>
      </c>
      <c r="AA305" s="302">
        <f t="shared" si="58"/>
        <v>24</v>
      </c>
      <c r="AB305" s="302">
        <f t="shared" si="58"/>
        <v>25</v>
      </c>
      <c r="AC305" s="302">
        <f t="shared" si="58"/>
        <v>26</v>
      </c>
      <c r="AD305" s="302">
        <f t="shared" si="58"/>
        <v>27</v>
      </c>
      <c r="AE305" s="302">
        <f t="shared" si="58"/>
        <v>28</v>
      </c>
      <c r="AF305" s="302">
        <f t="shared" si="58"/>
        <v>29</v>
      </c>
      <c r="AG305" s="302">
        <f t="shared" si="58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9">SUM(D306:AG306)</f>
        <v>0</v>
      </c>
    </row>
    <row r="307" spans="3:34">
      <c r="C307" s="307">
        <f t="shared" ref="C307:C336" si="60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9"/>
        <v>0</v>
      </c>
    </row>
    <row r="308" spans="3:34">
      <c r="C308" s="307">
        <f t="shared" si="60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9"/>
        <v>#VALUE!</v>
      </c>
    </row>
    <row r="309" spans="3:34">
      <c r="C309" s="307">
        <f t="shared" si="60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9"/>
        <v>#VALUE!</v>
      </c>
    </row>
    <row r="310" spans="3:34">
      <c r="C310" s="307">
        <f t="shared" si="60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9"/>
        <v>#VALUE!</v>
      </c>
    </row>
    <row r="311" spans="3:34">
      <c r="C311" s="307">
        <f t="shared" si="60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9"/>
        <v>#VALUE!</v>
      </c>
    </row>
    <row r="312" spans="3:34">
      <c r="C312" s="307">
        <f t="shared" si="60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9"/>
        <v>#VALUE!</v>
      </c>
    </row>
    <row r="313" spans="3:34">
      <c r="C313" s="307">
        <f t="shared" si="60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9"/>
        <v>#VALUE!</v>
      </c>
    </row>
    <row r="314" spans="3:34">
      <c r="C314" s="307">
        <f t="shared" si="60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9"/>
        <v>#VALUE!</v>
      </c>
    </row>
    <row r="315" spans="3:34">
      <c r="C315" s="307">
        <f t="shared" si="60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9"/>
        <v>#VALUE!</v>
      </c>
    </row>
    <row r="316" spans="3:34">
      <c r="C316" s="307">
        <f t="shared" si="60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9"/>
        <v>#VALUE!</v>
      </c>
    </row>
    <row r="317" spans="3:34">
      <c r="C317" s="307">
        <f t="shared" si="60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9"/>
        <v>#VALUE!</v>
      </c>
    </row>
    <row r="318" spans="3:34">
      <c r="C318" s="307">
        <f t="shared" si="60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9"/>
        <v>#VALUE!</v>
      </c>
    </row>
    <row r="319" spans="3:34">
      <c r="C319" s="307">
        <f t="shared" si="60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9"/>
        <v>#VALUE!</v>
      </c>
    </row>
    <row r="320" spans="3:34">
      <c r="C320" s="307">
        <f t="shared" si="60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9"/>
        <v>#VALUE!</v>
      </c>
    </row>
    <row r="321" spans="3:34">
      <c r="C321" s="307">
        <f t="shared" si="60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9"/>
        <v>#VALUE!</v>
      </c>
    </row>
    <row r="322" spans="3:34">
      <c r="C322" s="307">
        <f t="shared" si="60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9"/>
        <v>#VALUE!</v>
      </c>
    </row>
    <row r="323" spans="3:34">
      <c r="C323" s="307">
        <f t="shared" si="60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9"/>
        <v>#VALUE!</v>
      </c>
    </row>
    <row r="324" spans="3:34">
      <c r="C324" s="307">
        <f t="shared" si="60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9"/>
        <v>#VALUE!</v>
      </c>
    </row>
    <row r="325" spans="3:34">
      <c r="C325" s="307">
        <f t="shared" si="60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9"/>
        <v>#VALUE!</v>
      </c>
    </row>
    <row r="326" spans="3:34">
      <c r="C326" s="307">
        <f t="shared" si="60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9"/>
        <v>#VALUE!</v>
      </c>
    </row>
    <row r="327" spans="3:34">
      <c r="C327" s="307">
        <f t="shared" si="60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9"/>
        <v>#VALUE!</v>
      </c>
    </row>
    <row r="328" spans="3:34">
      <c r="C328" s="307">
        <f t="shared" si="60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9"/>
        <v>#VALUE!</v>
      </c>
    </row>
    <row r="329" spans="3:34">
      <c r="C329" s="307">
        <f t="shared" si="60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9"/>
        <v>#VALUE!</v>
      </c>
    </row>
    <row r="330" spans="3:34">
      <c r="C330" s="307">
        <f t="shared" si="60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9"/>
        <v>#VALUE!</v>
      </c>
    </row>
    <row r="331" spans="3:34">
      <c r="C331" s="307">
        <f t="shared" si="60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9"/>
        <v>#VALUE!</v>
      </c>
    </row>
    <row r="332" spans="3:34">
      <c r="C332" s="307">
        <f t="shared" si="60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9"/>
        <v>#VALUE!</v>
      </c>
    </row>
    <row r="333" spans="3:34">
      <c r="C333" s="307">
        <f t="shared" si="60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9"/>
        <v>#VALUE!</v>
      </c>
    </row>
    <row r="334" spans="3:34">
      <c r="C334" s="307">
        <f t="shared" si="60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9"/>
        <v>#VALUE!</v>
      </c>
    </row>
    <row r="335" spans="3:34">
      <c r="C335" s="307">
        <f t="shared" si="60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9"/>
        <v>#VALUE!</v>
      </c>
    </row>
    <row r="336" spans="3:34" ht="13.5" thickBot="1">
      <c r="C336" s="307">
        <f t="shared" si="60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9"/>
        <v>#VALUE!</v>
      </c>
    </row>
    <row r="337" spans="3:34" ht="14.25" thickTop="1" thickBot="1">
      <c r="C337" s="311" t="s">
        <v>0</v>
      </c>
      <c r="D337" s="328" t="e">
        <f t="shared" ref="D337:AH337" si="61">SUM(D306:D336)</f>
        <v>#VALUE!</v>
      </c>
      <c r="E337" s="328" t="e">
        <f t="shared" si="61"/>
        <v>#VALUE!</v>
      </c>
      <c r="F337" s="328" t="e">
        <f t="shared" si="61"/>
        <v>#VALUE!</v>
      </c>
      <c r="G337" s="328" t="e">
        <f t="shared" si="61"/>
        <v>#VALUE!</v>
      </c>
      <c r="H337" s="328" t="e">
        <f t="shared" si="61"/>
        <v>#VALUE!</v>
      </c>
      <c r="I337" s="328" t="e">
        <f t="shared" si="61"/>
        <v>#VALUE!</v>
      </c>
      <c r="J337" s="328" t="e">
        <f t="shared" si="61"/>
        <v>#VALUE!</v>
      </c>
      <c r="K337" s="328" t="e">
        <f t="shared" si="61"/>
        <v>#VALUE!</v>
      </c>
      <c r="L337" s="328" t="e">
        <f t="shared" si="61"/>
        <v>#VALUE!</v>
      </c>
      <c r="M337" s="336" t="e">
        <f t="shared" si="61"/>
        <v>#VALUE!</v>
      </c>
      <c r="N337" s="328" t="e">
        <f t="shared" si="61"/>
        <v>#VALUE!</v>
      </c>
      <c r="O337" s="328" t="e">
        <f t="shared" si="61"/>
        <v>#VALUE!</v>
      </c>
      <c r="P337" s="328" t="e">
        <f t="shared" si="61"/>
        <v>#VALUE!</v>
      </c>
      <c r="Q337" s="328" t="e">
        <f t="shared" si="61"/>
        <v>#VALUE!</v>
      </c>
      <c r="R337" s="328" t="e">
        <f t="shared" si="61"/>
        <v>#VALUE!</v>
      </c>
      <c r="S337" s="328" t="e">
        <f t="shared" si="61"/>
        <v>#VALUE!</v>
      </c>
      <c r="T337" s="328" t="e">
        <f t="shared" si="61"/>
        <v>#VALUE!</v>
      </c>
      <c r="U337" s="328" t="e">
        <f t="shared" si="61"/>
        <v>#VALUE!</v>
      </c>
      <c r="V337" s="328" t="e">
        <f t="shared" si="61"/>
        <v>#VALUE!</v>
      </c>
      <c r="W337" s="328" t="e">
        <f t="shared" si="61"/>
        <v>#VALUE!</v>
      </c>
      <c r="X337" s="328" t="e">
        <f t="shared" si="61"/>
        <v>#VALUE!</v>
      </c>
      <c r="Y337" s="328" t="e">
        <f t="shared" si="61"/>
        <v>#VALUE!</v>
      </c>
      <c r="Z337" s="328" t="e">
        <f t="shared" si="61"/>
        <v>#VALUE!</v>
      </c>
      <c r="AA337" s="328" t="e">
        <f t="shared" si="61"/>
        <v>#VALUE!</v>
      </c>
      <c r="AB337" s="328" t="e">
        <f t="shared" si="61"/>
        <v>#VALUE!</v>
      </c>
      <c r="AC337" s="328" t="e">
        <f t="shared" si="61"/>
        <v>#VALUE!</v>
      </c>
      <c r="AD337" s="328" t="e">
        <f t="shared" si="61"/>
        <v>#VALUE!</v>
      </c>
      <c r="AE337" s="328" t="e">
        <f t="shared" si="61"/>
        <v>#VALUE!</v>
      </c>
      <c r="AF337" s="329" t="e">
        <f t="shared" si="61"/>
        <v>#VALUE!</v>
      </c>
      <c r="AG337" s="329" t="e">
        <f t="shared" si="61"/>
        <v>#VALUE!</v>
      </c>
      <c r="AH337" s="315" t="e">
        <f t="shared" si="61"/>
        <v>#VALUE!</v>
      </c>
    </row>
    <row r="340" spans="3:34">
      <c r="C340" s="301" t="s">
        <v>1</v>
      </c>
      <c r="D340" s="302">
        <v>1</v>
      </c>
      <c r="E340" s="302">
        <f t="shared" ref="E340:AG340" si="62">D340+1</f>
        <v>2</v>
      </c>
      <c r="F340" s="302">
        <f t="shared" si="62"/>
        <v>3</v>
      </c>
      <c r="G340" s="302">
        <f t="shared" si="62"/>
        <v>4</v>
      </c>
      <c r="H340" s="302">
        <f t="shared" si="62"/>
        <v>5</v>
      </c>
      <c r="I340" s="302">
        <f t="shared" si="62"/>
        <v>6</v>
      </c>
      <c r="J340" s="302">
        <f t="shared" si="62"/>
        <v>7</v>
      </c>
      <c r="K340" s="302">
        <f t="shared" si="62"/>
        <v>8</v>
      </c>
      <c r="L340" s="302">
        <f t="shared" si="62"/>
        <v>9</v>
      </c>
      <c r="M340" s="302">
        <f t="shared" si="62"/>
        <v>10</v>
      </c>
      <c r="N340" s="302">
        <f t="shared" si="62"/>
        <v>11</v>
      </c>
      <c r="O340" s="302">
        <f t="shared" si="62"/>
        <v>12</v>
      </c>
      <c r="P340" s="302">
        <f t="shared" si="62"/>
        <v>13</v>
      </c>
      <c r="Q340" s="302">
        <f t="shared" si="62"/>
        <v>14</v>
      </c>
      <c r="R340" s="302">
        <f t="shared" si="62"/>
        <v>15</v>
      </c>
      <c r="S340" s="302">
        <f t="shared" si="62"/>
        <v>16</v>
      </c>
      <c r="T340" s="302">
        <f t="shared" si="62"/>
        <v>17</v>
      </c>
      <c r="U340" s="302">
        <f t="shared" si="62"/>
        <v>18</v>
      </c>
      <c r="V340" s="302">
        <f t="shared" si="62"/>
        <v>19</v>
      </c>
      <c r="W340" s="302">
        <f t="shared" si="62"/>
        <v>20</v>
      </c>
      <c r="X340" s="302">
        <f t="shared" si="62"/>
        <v>21</v>
      </c>
      <c r="Y340" s="302">
        <f t="shared" si="62"/>
        <v>22</v>
      </c>
      <c r="Z340" s="302">
        <f t="shared" si="62"/>
        <v>23</v>
      </c>
      <c r="AA340" s="302">
        <f t="shared" si="62"/>
        <v>24</v>
      </c>
      <c r="AB340" s="302">
        <f t="shared" si="62"/>
        <v>25</v>
      </c>
      <c r="AC340" s="302">
        <f t="shared" si="62"/>
        <v>26</v>
      </c>
      <c r="AD340" s="302">
        <f t="shared" si="62"/>
        <v>27</v>
      </c>
      <c r="AE340" s="302">
        <f t="shared" si="62"/>
        <v>28</v>
      </c>
      <c r="AF340" s="302">
        <f t="shared" si="62"/>
        <v>29</v>
      </c>
      <c r="AG340" s="302">
        <f t="shared" si="62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3">1+C341</f>
        <v>1</v>
      </c>
      <c r="AH342" s="341">
        <f t="shared" ref="AH342:AH371" ca="1" si="64">SUMIF($C$9:$AH$336,C342,$AH$9:$AH$336)</f>
        <v>0</v>
      </c>
    </row>
    <row r="343" spans="3:34">
      <c r="C343" s="307">
        <f t="shared" si="63"/>
        <v>2</v>
      </c>
      <c r="AH343" s="341" t="e">
        <f t="shared" ca="1" si="64"/>
        <v>#VALUE!</v>
      </c>
    </row>
    <row r="344" spans="3:34">
      <c r="C344" s="307">
        <f t="shared" si="63"/>
        <v>3</v>
      </c>
      <c r="AH344" s="341" t="e">
        <f t="shared" ca="1" si="64"/>
        <v>#VALUE!</v>
      </c>
    </row>
    <row r="345" spans="3:34">
      <c r="C345" s="307">
        <f t="shared" si="63"/>
        <v>4</v>
      </c>
      <c r="AH345" s="341" t="e">
        <f t="shared" ca="1" si="64"/>
        <v>#VALUE!</v>
      </c>
    </row>
    <row r="346" spans="3:34">
      <c r="C346" s="307">
        <f t="shared" si="63"/>
        <v>5</v>
      </c>
      <c r="AH346" s="341" t="e">
        <f t="shared" ca="1" si="64"/>
        <v>#VALUE!</v>
      </c>
    </row>
    <row r="347" spans="3:34">
      <c r="C347" s="307">
        <f t="shared" si="63"/>
        <v>6</v>
      </c>
      <c r="AH347" s="341" t="e">
        <f t="shared" ca="1" si="64"/>
        <v>#VALUE!</v>
      </c>
    </row>
    <row r="348" spans="3:34">
      <c r="C348" s="307">
        <f t="shared" si="63"/>
        <v>7</v>
      </c>
      <c r="AH348" s="341" t="e">
        <f t="shared" ca="1" si="64"/>
        <v>#VALUE!</v>
      </c>
    </row>
    <row r="349" spans="3:34">
      <c r="C349" s="307">
        <f t="shared" si="63"/>
        <v>8</v>
      </c>
      <c r="AH349" s="341" t="e">
        <f t="shared" ca="1" si="64"/>
        <v>#VALUE!</v>
      </c>
    </row>
    <row r="350" spans="3:34">
      <c r="C350" s="307">
        <f t="shared" si="63"/>
        <v>9</v>
      </c>
      <c r="AH350" s="341" t="e">
        <f t="shared" ca="1" si="64"/>
        <v>#VALUE!</v>
      </c>
    </row>
    <row r="351" spans="3:34">
      <c r="C351" s="307">
        <f t="shared" si="63"/>
        <v>10</v>
      </c>
      <c r="AH351" s="341" t="e">
        <f t="shared" ca="1" si="64"/>
        <v>#VALUE!</v>
      </c>
    </row>
    <row r="352" spans="3:34">
      <c r="C352" s="307">
        <f t="shared" si="63"/>
        <v>11</v>
      </c>
      <c r="AH352" s="341" t="e">
        <f t="shared" ca="1" si="64"/>
        <v>#VALUE!</v>
      </c>
    </row>
    <row r="353" spans="3:34">
      <c r="C353" s="307">
        <f t="shared" si="63"/>
        <v>12</v>
      </c>
      <c r="AH353" s="341" t="e">
        <f t="shared" ca="1" si="64"/>
        <v>#VALUE!</v>
      </c>
    </row>
    <row r="354" spans="3:34">
      <c r="C354" s="307">
        <f t="shared" si="63"/>
        <v>13</v>
      </c>
      <c r="AH354" s="341" t="e">
        <f t="shared" ca="1" si="64"/>
        <v>#VALUE!</v>
      </c>
    </row>
    <row r="355" spans="3:34">
      <c r="C355" s="307">
        <f t="shared" si="63"/>
        <v>14</v>
      </c>
      <c r="AH355" s="341" t="e">
        <f t="shared" ca="1" si="64"/>
        <v>#VALUE!</v>
      </c>
    </row>
    <row r="356" spans="3:34">
      <c r="C356" s="307">
        <f t="shared" si="63"/>
        <v>15</v>
      </c>
      <c r="AH356" s="341" t="e">
        <f t="shared" ca="1" si="64"/>
        <v>#VALUE!</v>
      </c>
    </row>
    <row r="357" spans="3:34">
      <c r="C357" s="307">
        <f t="shared" si="63"/>
        <v>16</v>
      </c>
      <c r="AH357" s="341" t="e">
        <f t="shared" ca="1" si="64"/>
        <v>#VALUE!</v>
      </c>
    </row>
    <row r="358" spans="3:34">
      <c r="C358" s="307">
        <f t="shared" si="63"/>
        <v>17</v>
      </c>
      <c r="AH358" s="341" t="e">
        <f t="shared" ca="1" si="64"/>
        <v>#VALUE!</v>
      </c>
    </row>
    <row r="359" spans="3:34">
      <c r="C359" s="307">
        <f t="shared" si="63"/>
        <v>18</v>
      </c>
      <c r="AH359" s="341" t="e">
        <f t="shared" ca="1" si="64"/>
        <v>#VALUE!</v>
      </c>
    </row>
    <row r="360" spans="3:34">
      <c r="C360" s="307">
        <f t="shared" si="63"/>
        <v>19</v>
      </c>
      <c r="AH360" s="341" t="e">
        <f t="shared" ca="1" si="64"/>
        <v>#VALUE!</v>
      </c>
    </row>
    <row r="361" spans="3:34">
      <c r="C361" s="307">
        <f t="shared" si="63"/>
        <v>20</v>
      </c>
      <c r="AH361" s="341" t="e">
        <f t="shared" ca="1" si="64"/>
        <v>#VALUE!</v>
      </c>
    </row>
    <row r="362" spans="3:34">
      <c r="C362" s="307">
        <f t="shared" si="63"/>
        <v>21</v>
      </c>
      <c r="AH362" s="341" t="e">
        <f t="shared" ca="1" si="64"/>
        <v>#VALUE!</v>
      </c>
    </row>
    <row r="363" spans="3:34">
      <c r="C363" s="307">
        <f t="shared" si="63"/>
        <v>22</v>
      </c>
      <c r="AH363" s="341" t="e">
        <f t="shared" ca="1" si="64"/>
        <v>#VALUE!</v>
      </c>
    </row>
    <row r="364" spans="3:34">
      <c r="C364" s="307">
        <f t="shared" si="63"/>
        <v>23</v>
      </c>
      <c r="AH364" s="341" t="e">
        <f t="shared" ca="1" si="64"/>
        <v>#VALUE!</v>
      </c>
    </row>
    <row r="365" spans="3:34">
      <c r="C365" s="307">
        <f t="shared" si="63"/>
        <v>24</v>
      </c>
      <c r="AH365" s="341" t="e">
        <f t="shared" ca="1" si="64"/>
        <v>#VALUE!</v>
      </c>
    </row>
    <row r="366" spans="3:34">
      <c r="C366" s="307">
        <f t="shared" si="63"/>
        <v>25</v>
      </c>
      <c r="AH366" s="341" t="e">
        <f t="shared" ca="1" si="64"/>
        <v>#VALUE!</v>
      </c>
    </row>
    <row r="367" spans="3:34">
      <c r="C367" s="307">
        <f t="shared" si="63"/>
        <v>26</v>
      </c>
      <c r="AH367" s="341" t="e">
        <f t="shared" ca="1" si="64"/>
        <v>#VALUE!</v>
      </c>
    </row>
    <row r="368" spans="3:34">
      <c r="C368" s="307">
        <f t="shared" si="63"/>
        <v>27</v>
      </c>
      <c r="AH368" s="341" t="e">
        <f t="shared" ca="1" si="64"/>
        <v>#VALUE!</v>
      </c>
    </row>
    <row r="369" spans="3:34">
      <c r="C369" s="307">
        <f t="shared" si="63"/>
        <v>28</v>
      </c>
      <c r="AH369" s="341" t="e">
        <f t="shared" ca="1" si="64"/>
        <v>#VALUE!</v>
      </c>
    </row>
    <row r="370" spans="3:34">
      <c r="C370" s="307">
        <f t="shared" si="63"/>
        <v>29</v>
      </c>
      <c r="AH370" s="341" t="e">
        <f t="shared" ca="1" si="64"/>
        <v>#VALUE!</v>
      </c>
    </row>
    <row r="371" spans="3:34">
      <c r="C371" s="307">
        <f t="shared" si="63"/>
        <v>30</v>
      </c>
      <c r="AH371" s="341" t="e">
        <f t="shared" ca="1" si="64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C5B54-6873-40BA-B213-D3F27A4EEE25}">
  <sheetPr>
    <tabColor theme="5"/>
  </sheetPr>
  <dimension ref="A2:AJ66"/>
  <sheetViews>
    <sheetView showGridLines="0" zoomScale="70" zoomScaleNormal="70" workbookViewId="0">
      <selection activeCell="G58" sqref="G58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790</v>
      </c>
      <c r="D2" s="1238" t="s">
        <v>713</v>
      </c>
    </row>
    <row r="3" spans="1:33" ht="23.25">
      <c r="B3" s="1236" t="s">
        <v>803</v>
      </c>
      <c r="D3" s="1239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46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2">
        <f t="shared" si="0"/>
        <v>4073699.9550725189</v>
      </c>
      <c r="L9" s="1212">
        <f t="shared" si="0"/>
        <v>4168530.9301507464</v>
      </c>
      <c r="M9" s="1212">
        <f t="shared" si="0"/>
        <v>4364999.8344247555</v>
      </c>
      <c r="N9" s="1212">
        <f t="shared" si="0"/>
        <v>4663100.202262952</v>
      </c>
      <c r="O9" s="1212">
        <f t="shared" si="0"/>
        <v>4665542.6642718697</v>
      </c>
      <c r="P9" s="1212">
        <f t="shared" si="0"/>
        <v>4672249.2421313887</v>
      </c>
      <c r="Q9" s="1212">
        <f t="shared" si="0"/>
        <v>4678955.8199909087</v>
      </c>
      <c r="R9" s="1212">
        <f t="shared" si="0"/>
        <v>4685103.5163621325</v>
      </c>
      <c r="S9" s="1212">
        <f t="shared" si="0"/>
        <v>4690692.3312450647</v>
      </c>
      <c r="T9" s="1212">
        <f t="shared" si="0"/>
        <v>4696281.1461279979</v>
      </c>
      <c r="U9" s="1212">
        <f t="shared" si="0"/>
        <v>4701869.9610109283</v>
      </c>
      <c r="V9" s="1212">
        <f t="shared" si="0"/>
        <v>4706899.8944055689</v>
      </c>
      <c r="W9" s="1212">
        <f t="shared" si="0"/>
        <v>4713047.5907767965</v>
      </c>
      <c r="X9" s="1212">
        <f t="shared" si="0"/>
        <v>4719195.2871480193</v>
      </c>
      <c r="Y9" s="1212">
        <f t="shared" si="0"/>
        <v>4723666.3390543666</v>
      </c>
      <c r="Z9" s="1212">
        <f t="shared" si="0"/>
        <v>4728137.390960712</v>
      </c>
      <c r="AA9" s="1212">
        <f t="shared" si="0"/>
        <v>4732608.4428670583</v>
      </c>
      <c r="AB9" s="1212">
        <f t="shared" si="0"/>
        <v>4738197.2577499906</v>
      </c>
      <c r="AC9" s="1212">
        <f t="shared" si="0"/>
        <v>4743786.0726329209</v>
      </c>
      <c r="AD9" s="1212">
        <f t="shared" si="0"/>
        <v>4748816.0060275607</v>
      </c>
      <c r="AE9" s="1212">
        <f t="shared" si="0"/>
        <v>4754404.8209104948</v>
      </c>
      <c r="AF9" s="1212">
        <f t="shared" si="0"/>
        <v>4758316.9913285477</v>
      </c>
      <c r="AG9" s="1213">
        <f t="shared" ref="AG9:AG17" si="1">SUM(C9:AF9)</f>
        <v>126773298.44508675</v>
      </c>
    </row>
    <row r="10" spans="1:33" ht="20.25" customHeight="1">
      <c r="B10" s="469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14">
        <f>(1+$D$3)*'R1 DRE'!K5</f>
        <v>2236337.5618390017</v>
      </c>
      <c r="L10" s="1214">
        <f>(1+$D$3)*'R1 DRE'!L5</f>
        <v>2231422.6329661855</v>
      </c>
      <c r="M10" s="1214">
        <f>(1+$D$3)*'R1 DRE'!M5</f>
        <v>2230697.1871795147</v>
      </c>
      <c r="N10" s="1214">
        <f>(1+$D$3)*'R1 DRE'!N5</f>
        <v>2231802.0443904921</v>
      </c>
      <c r="O10" s="1214">
        <f>(1+$D$3)*'R1 DRE'!O5</f>
        <v>2230786.8367805546</v>
      </c>
      <c r="P10" s="1214">
        <f>(1+$D$3)*'R1 DRE'!P5</f>
        <v>2233993.5260524</v>
      </c>
      <c r="Q10" s="1214">
        <f>(1+$D$3)*'R1 DRE'!Q5</f>
        <v>2237200.2153242463</v>
      </c>
      <c r="R10" s="1214">
        <f>(1+$D$3)*'R1 DRE'!R5</f>
        <v>2240139.680490104</v>
      </c>
      <c r="S10" s="1214">
        <f>(1+$D$3)*'R1 DRE'!S5</f>
        <v>2242811.9215499754</v>
      </c>
      <c r="T10" s="1214">
        <f>(1+$D$3)*'R1 DRE'!T5</f>
        <v>2245484.1626098468</v>
      </c>
      <c r="U10" s="1214">
        <f>(1+$D$3)*'R1 DRE'!U5</f>
        <v>2248156.4036697173</v>
      </c>
      <c r="V10" s="1214">
        <f>(1+$D$3)*'R1 DRE'!V5</f>
        <v>2250561.4206236023</v>
      </c>
      <c r="W10" s="1214">
        <f>(1+$D$3)*'R1 DRE'!W5</f>
        <v>2253500.8857894614</v>
      </c>
      <c r="X10" s="1214">
        <f>(1+$D$3)*'R1 DRE'!X5</f>
        <v>2256440.3509553187</v>
      </c>
      <c r="Y10" s="1214">
        <f>(1+$D$3)*'R1 DRE'!Y5</f>
        <v>2258578.1438032161</v>
      </c>
      <c r="Z10" s="1214">
        <f>(1+$D$3)*'R1 DRE'!Z5</f>
        <v>2260715.9366511134</v>
      </c>
      <c r="AA10" s="1214">
        <f>(1+$D$3)*'R1 DRE'!AA5</f>
        <v>2262853.7294990104</v>
      </c>
      <c r="AB10" s="1214">
        <f>(1+$D$3)*'R1 DRE'!AB5</f>
        <v>2265525.9705588818</v>
      </c>
      <c r="AC10" s="1214">
        <f>(1+$D$3)*'R1 DRE'!AC5</f>
        <v>2268198.2116187527</v>
      </c>
      <c r="AD10" s="1214">
        <f>(1+$D$3)*'R1 DRE'!AD5</f>
        <v>2270603.2285726368</v>
      </c>
      <c r="AE10" s="1214">
        <f>(1+$D$3)*'R1 DRE'!AE5</f>
        <v>2273275.4696325082</v>
      </c>
      <c r="AF10" s="1214">
        <f>(1+$D$3)*'R1 DRE'!AF5</f>
        <v>2275146.0383744184</v>
      </c>
      <c r="AG10" s="1213">
        <f t="shared" si="1"/>
        <v>64892129.401891261</v>
      </c>
    </row>
    <row r="11" spans="1:33" ht="20.25" customHeight="1">
      <c r="B11" s="469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14">
        <f>(1+$D$3)*'R1 DRE'!K6</f>
        <v>1797028.7303120072</v>
      </c>
      <c r="L11" s="1214">
        <f>(1+$D$3)*'R1 DRE'!L6</f>
        <v>1895835.7137177221</v>
      </c>
      <c r="M11" s="1214">
        <f>(1+$D$3)*'R1 DRE'!M6</f>
        <v>2091084.8271024216</v>
      </c>
      <c r="N11" s="1214">
        <f>(1+$D$3)*'R1 DRE'!N6</f>
        <v>2385128.8489391641</v>
      </c>
      <c r="O11" s="1214">
        <f>(1+$D$3)*'R1 DRE'!O6</f>
        <v>2388562.3357658512</v>
      </c>
      <c r="P11" s="1214">
        <f>(1+$D$3)*'R1 DRE'!P6</f>
        <v>2391995.8225925392</v>
      </c>
      <c r="Q11" s="1214">
        <f>(1+$D$3)*'R1 DRE'!Q6</f>
        <v>2395429.3094192278</v>
      </c>
      <c r="R11" s="1214">
        <f>(1+$D$3)*'R1 DRE'!R6</f>
        <v>2398576.6723436909</v>
      </c>
      <c r="S11" s="1214">
        <f>(1+$D$3)*'R1 DRE'!S6</f>
        <v>2401437.9113659309</v>
      </c>
      <c r="T11" s="1214">
        <f>(1+$D$3)*'R1 DRE'!T6</f>
        <v>2404299.1503881705</v>
      </c>
      <c r="U11" s="1214">
        <f>(1+$D$3)*'R1 DRE'!U6</f>
        <v>2407160.3894104101</v>
      </c>
      <c r="V11" s="1214">
        <f>(1+$D$3)*'R1 DRE'!V6</f>
        <v>2409735.5045304266</v>
      </c>
      <c r="W11" s="1214">
        <f>(1+$D$3)*'R1 DRE'!W6</f>
        <v>2412882.8674548911</v>
      </c>
      <c r="X11" s="1214">
        <f>(1+$D$3)*'R1 DRE'!X6</f>
        <v>2416030.2303793547</v>
      </c>
      <c r="Y11" s="1214">
        <f>(1+$D$3)*'R1 DRE'!Y6</f>
        <v>2418319.2215971467</v>
      </c>
      <c r="Z11" s="1214">
        <f>(1+$D$3)*'R1 DRE'!Z6</f>
        <v>2420608.2128149383</v>
      </c>
      <c r="AA11" s="1214">
        <f>(1+$D$3)*'R1 DRE'!AA6</f>
        <v>2422897.2040327298</v>
      </c>
      <c r="AB11" s="1214">
        <f>(1+$D$3)*'R1 DRE'!AB6</f>
        <v>2425758.4430549708</v>
      </c>
      <c r="AC11" s="1214">
        <f>(1+$D$3)*'R1 DRE'!AC6</f>
        <v>2428619.6820772095</v>
      </c>
      <c r="AD11" s="1214">
        <f>(1+$D$3)*'R1 DRE'!AD6</f>
        <v>2431194.7971972255</v>
      </c>
      <c r="AE11" s="1214">
        <f>(1+$D$3)*'R1 DRE'!AE6</f>
        <v>2434056.036219466</v>
      </c>
      <c r="AF11" s="1214">
        <f>(1+$D$3)*'R1 DRE'!AF6</f>
        <v>2436058.903535034</v>
      </c>
      <c r="AG11" s="1213">
        <f t="shared" si="1"/>
        <v>60577191.249674059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14">
        <f>(1+$D$3)*'R1 DRE'!K7</f>
        <v>40333.662921510091</v>
      </c>
      <c r="L12" s="1214">
        <f>(1+$D$3)*'R1 DRE'!L7</f>
        <v>41272.583466839074</v>
      </c>
      <c r="M12" s="1214">
        <f>(1+$D$3)*'R1 DRE'!M7</f>
        <v>43217.820142819364</v>
      </c>
      <c r="N12" s="1214">
        <f>(1+$D$3)*'R1 DRE'!N7</f>
        <v>46169.308933296561</v>
      </c>
      <c r="O12" s="1214">
        <f>(1+$D$3)*'R1 DRE'!O7</f>
        <v>46193.491725464053</v>
      </c>
      <c r="P12" s="1214">
        <f>(1+$D$3)*'R1 DRE'!P7</f>
        <v>46259.893486449393</v>
      </c>
      <c r="Q12" s="1214">
        <f>(1+$D$3)*'R1 DRE'!Q7</f>
        <v>46326.29524743474</v>
      </c>
      <c r="R12" s="1214">
        <f>(1+$D$3)*'R1 DRE'!R7</f>
        <v>46387.163528337944</v>
      </c>
      <c r="S12" s="1214">
        <f>(1+$D$3)*'R1 DRE'!S7</f>
        <v>46442.498329159062</v>
      </c>
      <c r="T12" s="1214">
        <f>(1+$D$3)*'R1 DRE'!T7</f>
        <v>46497.833129980172</v>
      </c>
      <c r="U12" s="1214">
        <f>(1+$D$3)*'R1 DRE'!U7</f>
        <v>46553.167930801268</v>
      </c>
      <c r="V12" s="1214">
        <f>(1+$D$3)*'R1 DRE'!V7</f>
        <v>46602.969251540286</v>
      </c>
      <c r="W12" s="1214">
        <f>(1+$D$3)*'R1 DRE'!W7</f>
        <v>46663.837532443526</v>
      </c>
      <c r="X12" s="1214">
        <f>(1+$D$3)*'R1 DRE'!X7</f>
        <v>46724.705813346729</v>
      </c>
      <c r="Y12" s="1214">
        <f>(1+$D$3)*'R1 DRE'!Y7</f>
        <v>46768.973654003632</v>
      </c>
      <c r="Z12" s="1214">
        <f>(1+$D$3)*'R1 DRE'!Z7</f>
        <v>46813.24149466052</v>
      </c>
      <c r="AA12" s="1214">
        <f>(1+$D$3)*'R1 DRE'!AA7</f>
        <v>46857.509335317409</v>
      </c>
      <c r="AB12" s="1214">
        <f>(1+$D$3)*'R1 DRE'!AB7</f>
        <v>46912.844136138519</v>
      </c>
      <c r="AC12" s="1214">
        <f>(1+$D$3)*'R1 DRE'!AC7</f>
        <v>46968.178936959615</v>
      </c>
      <c r="AD12" s="1214">
        <f>(1+$D$3)*'R1 DRE'!AD7</f>
        <v>47017.980257698626</v>
      </c>
      <c r="AE12" s="1214">
        <f>(1+$D$3)*'R1 DRE'!AE7</f>
        <v>47073.315058519751</v>
      </c>
      <c r="AF12" s="1214">
        <f>(1+$D$3)*'R1 DRE'!AF7</f>
        <v>47112.049419094532</v>
      </c>
      <c r="AG12" s="1213">
        <f t="shared" si="1"/>
        <v>1303977.793521415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2">-SUM(D14:D15)</f>
        <v>-234617.19486967311</v>
      </c>
      <c r="E13" s="1212">
        <f t="shared" si="2"/>
        <v>-255067.11447188459</v>
      </c>
      <c r="F13" s="1212">
        <f t="shared" si="2"/>
        <v>-266470.53804765607</v>
      </c>
      <c r="G13" s="1212">
        <f t="shared" si="2"/>
        <v>-277240.35544356558</v>
      </c>
      <c r="H13" s="1212">
        <f t="shared" si="2"/>
        <v>-305292.86829691898</v>
      </c>
      <c r="I13" s="1212">
        <f t="shared" si="2"/>
        <v>-343021.62437981495</v>
      </c>
      <c r="J13" s="1212">
        <f t="shared" si="2"/>
        <v>-370742.7283114891</v>
      </c>
      <c r="K13" s="1212">
        <f t="shared" si="2"/>
        <v>-376817.245844208</v>
      </c>
      <c r="L13" s="1212">
        <f t="shared" si="2"/>
        <v>-385589.11103894399</v>
      </c>
      <c r="M13" s="1212">
        <f t="shared" si="2"/>
        <v>-403762.4846842899</v>
      </c>
      <c r="N13" s="1212">
        <f t="shared" si="2"/>
        <v>-431336.76870932308</v>
      </c>
      <c r="O13" s="1212">
        <f t="shared" si="2"/>
        <v>-431562.69644514797</v>
      </c>
      <c r="P13" s="1212">
        <f t="shared" si="2"/>
        <v>-432183.05489715346</v>
      </c>
      <c r="Q13" s="1212">
        <f t="shared" si="2"/>
        <v>-432803.41334915906</v>
      </c>
      <c r="R13" s="1212">
        <f t="shared" si="2"/>
        <v>-433372.0752634973</v>
      </c>
      <c r="S13" s="1212">
        <f t="shared" si="2"/>
        <v>-433889.04064016847</v>
      </c>
      <c r="T13" s="1212">
        <f t="shared" si="2"/>
        <v>-434406.00601683982</v>
      </c>
      <c r="U13" s="1212">
        <f t="shared" si="2"/>
        <v>-434922.97139351082</v>
      </c>
      <c r="V13" s="1212">
        <f t="shared" si="2"/>
        <v>-435388.24023251515</v>
      </c>
      <c r="W13" s="1212">
        <f t="shared" si="2"/>
        <v>-435956.90214685362</v>
      </c>
      <c r="X13" s="1212">
        <f t="shared" si="2"/>
        <v>-436525.56406119181</v>
      </c>
      <c r="Y13" s="1212">
        <f t="shared" si="2"/>
        <v>-436939.13636252889</v>
      </c>
      <c r="Z13" s="1212">
        <f t="shared" si="2"/>
        <v>-437352.70866386587</v>
      </c>
      <c r="AA13" s="1212">
        <f t="shared" si="2"/>
        <v>-437766.2809652029</v>
      </c>
      <c r="AB13" s="1212">
        <f t="shared" si="2"/>
        <v>-438283.24634187412</v>
      </c>
      <c r="AC13" s="1212">
        <f t="shared" si="2"/>
        <v>-438800.21171854518</v>
      </c>
      <c r="AD13" s="1212">
        <f t="shared" si="2"/>
        <v>-439265.48055754934</v>
      </c>
      <c r="AE13" s="1212">
        <f t="shared" si="2"/>
        <v>-439782.4459342208</v>
      </c>
      <c r="AF13" s="1212">
        <f t="shared" si="2"/>
        <v>-440144.32169789064</v>
      </c>
      <c r="AG13" s="1213">
        <f t="shared" si="1"/>
        <v>-11678723.795826206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3">0.076*G9</f>
        <v>227786.67041849715</v>
      </c>
      <c r="H14" s="1214">
        <f t="shared" si="3"/>
        <v>250835.22151963072</v>
      </c>
      <c r="I14" s="1214">
        <f t="shared" si="3"/>
        <v>281833.98327422631</v>
      </c>
      <c r="J14" s="1214">
        <f t="shared" si="3"/>
        <v>304610.24163970997</v>
      </c>
      <c r="K14" s="1214">
        <f t="shared" si="3"/>
        <v>309601.19658551144</v>
      </c>
      <c r="L14" s="1214">
        <f t="shared" si="3"/>
        <v>316808.3506914567</v>
      </c>
      <c r="M14" s="1214">
        <f t="shared" si="3"/>
        <v>331739.98741628142</v>
      </c>
      <c r="N14" s="1214">
        <f t="shared" si="3"/>
        <v>354395.61537198437</v>
      </c>
      <c r="O14" s="1214">
        <f t="shared" si="3"/>
        <v>354581.2424846621</v>
      </c>
      <c r="P14" s="1214">
        <f t="shared" si="3"/>
        <v>355090.94240198552</v>
      </c>
      <c r="Q14" s="1214">
        <f t="shared" si="3"/>
        <v>355600.64231930906</v>
      </c>
      <c r="R14" s="1214">
        <f t="shared" si="3"/>
        <v>356067.86724352208</v>
      </c>
      <c r="S14" s="1214">
        <f t="shared" si="3"/>
        <v>356492.61717462493</v>
      </c>
      <c r="T14" s="1214">
        <f t="shared" si="3"/>
        <v>356917.36710572784</v>
      </c>
      <c r="U14" s="1214">
        <f t="shared" si="3"/>
        <v>357342.11703683052</v>
      </c>
      <c r="V14" s="1214">
        <f t="shared" si="3"/>
        <v>357724.39197482326</v>
      </c>
      <c r="W14" s="1214">
        <f t="shared" si="3"/>
        <v>358191.61689903651</v>
      </c>
      <c r="X14" s="1214">
        <f t="shared" si="3"/>
        <v>358658.84182324947</v>
      </c>
      <c r="Y14" s="1214">
        <f t="shared" si="3"/>
        <v>358998.64176813187</v>
      </c>
      <c r="Z14" s="1214">
        <f t="shared" si="3"/>
        <v>359338.44171301409</v>
      </c>
      <c r="AA14" s="1214">
        <f t="shared" si="3"/>
        <v>359678.24165789643</v>
      </c>
      <c r="AB14" s="1214">
        <f t="shared" si="3"/>
        <v>360102.99158899928</v>
      </c>
      <c r="AC14" s="1214">
        <f t="shared" si="3"/>
        <v>360527.74152010196</v>
      </c>
      <c r="AD14" s="1214">
        <f t="shared" si="3"/>
        <v>360910.01645809459</v>
      </c>
      <c r="AE14" s="1214">
        <f t="shared" si="3"/>
        <v>361334.76638919761</v>
      </c>
      <c r="AF14" s="1214">
        <f t="shared" si="3"/>
        <v>361632.09134096961</v>
      </c>
      <c r="AG14" s="1213">
        <f t="shared" si="1"/>
        <v>9595500.0624899883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4">0.0165*G9</f>
        <v>49453.685025068458</v>
      </c>
      <c r="H15" s="1214">
        <f t="shared" si="4"/>
        <v>54457.646777288253</v>
      </c>
      <c r="I15" s="1214">
        <f t="shared" si="4"/>
        <v>61187.641105588613</v>
      </c>
      <c r="J15" s="1214">
        <f t="shared" si="4"/>
        <v>66132.486671779145</v>
      </c>
      <c r="K15" s="1214">
        <f t="shared" si="4"/>
        <v>67216.04925869657</v>
      </c>
      <c r="L15" s="1214">
        <f t="shared" si="4"/>
        <v>68780.760347487318</v>
      </c>
      <c r="M15" s="1214">
        <f t="shared" si="4"/>
        <v>72022.497268008476</v>
      </c>
      <c r="N15" s="1214">
        <f t="shared" si="4"/>
        <v>76941.153337338706</v>
      </c>
      <c r="O15" s="1214">
        <f t="shared" si="4"/>
        <v>76981.453960485858</v>
      </c>
      <c r="P15" s="1214">
        <f t="shared" si="4"/>
        <v>77092.112495167923</v>
      </c>
      <c r="Q15" s="1214">
        <f t="shared" si="4"/>
        <v>77202.771029850002</v>
      </c>
      <c r="R15" s="1214">
        <f t="shared" si="4"/>
        <v>77304.208019975194</v>
      </c>
      <c r="S15" s="1214">
        <f t="shared" si="4"/>
        <v>77396.423465543572</v>
      </c>
      <c r="T15" s="1214">
        <f t="shared" si="4"/>
        <v>77488.638911111964</v>
      </c>
      <c r="U15" s="1214">
        <f t="shared" si="4"/>
        <v>77580.854356680313</v>
      </c>
      <c r="V15" s="1214">
        <f t="shared" si="4"/>
        <v>77663.84825769189</v>
      </c>
      <c r="W15" s="1214">
        <f t="shared" si="4"/>
        <v>77765.285247817141</v>
      </c>
      <c r="X15" s="1214">
        <f t="shared" si="4"/>
        <v>77866.722237942318</v>
      </c>
      <c r="Y15" s="1214">
        <f t="shared" si="4"/>
        <v>77940.494594397052</v>
      </c>
      <c r="Z15" s="1214">
        <f t="shared" si="4"/>
        <v>78014.266950851757</v>
      </c>
      <c r="AA15" s="1214">
        <f t="shared" si="4"/>
        <v>78088.039307306462</v>
      </c>
      <c r="AB15" s="1214">
        <f t="shared" si="4"/>
        <v>78180.254752874855</v>
      </c>
      <c r="AC15" s="1214">
        <f t="shared" si="4"/>
        <v>78272.470198443203</v>
      </c>
      <c r="AD15" s="1214">
        <f t="shared" si="4"/>
        <v>78355.464099454752</v>
      </c>
      <c r="AE15" s="1214">
        <f t="shared" si="4"/>
        <v>78447.679545023173</v>
      </c>
      <c r="AF15" s="1214">
        <f t="shared" si="4"/>
        <v>78512.230356921034</v>
      </c>
      <c r="AG15" s="1213">
        <f t="shared" si="1"/>
        <v>2083223.7333362137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1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5">D9+D13+D16</f>
        <v>2348736.4306745757</v>
      </c>
      <c r="E17" s="1212">
        <f t="shared" si="5"/>
        <v>2607846.6711710477</v>
      </c>
      <c r="F17" s="1212">
        <f t="shared" si="5"/>
        <v>2673176.6493209945</v>
      </c>
      <c r="G17" s="1212">
        <f t="shared" si="5"/>
        <v>2744549.5840927921</v>
      </c>
      <c r="H17" s="1212">
        <f t="shared" si="5"/>
        <v>3009978.9826078052</v>
      </c>
      <c r="I17" s="1212">
        <f t="shared" si="5"/>
        <v>3344926.3386004027</v>
      </c>
      <c r="J17" s="1212">
        <f t="shared" si="5"/>
        <v>3622302.386444245</v>
      </c>
      <c r="K17" s="1212">
        <f t="shared" si="5"/>
        <v>3693599.1862376514</v>
      </c>
      <c r="L17" s="1212">
        <f t="shared" si="5"/>
        <v>3778200.2703578915</v>
      </c>
      <c r="M17" s="1212">
        <f t="shared" si="5"/>
        <v>3951413.904526765</v>
      </c>
      <c r="N17" s="1212">
        <f t="shared" si="5"/>
        <v>4216858.4151617186</v>
      </c>
      <c r="O17" s="1212">
        <f t="shared" si="5"/>
        <v>4233857.8447262766</v>
      </c>
      <c r="P17" s="1212">
        <f t="shared" si="5"/>
        <v>4239730.858341259</v>
      </c>
      <c r="Q17" s="1212">
        <f t="shared" si="5"/>
        <v>4245817.0777487736</v>
      </c>
      <c r="R17" s="1212">
        <f t="shared" si="5"/>
        <v>4251424.0562800746</v>
      </c>
      <c r="S17" s="1212">
        <f t="shared" si="5"/>
        <v>4256523.8498607492</v>
      </c>
      <c r="T17" s="1212">
        <f t="shared" si="5"/>
        <v>4261595.699367011</v>
      </c>
      <c r="U17" s="1212">
        <f t="shared" si="5"/>
        <v>4266667.5488732709</v>
      </c>
      <c r="V17" s="1212">
        <f t="shared" si="5"/>
        <v>4271260.1575033218</v>
      </c>
      <c r="W17" s="1212">
        <f t="shared" si="5"/>
        <v>4276783.3038113816</v>
      </c>
      <c r="X17" s="1212">
        <f t="shared" si="5"/>
        <v>4282362.3382682661</v>
      </c>
      <c r="Y17" s="1212">
        <f t="shared" si="5"/>
        <v>4286503.6500965208</v>
      </c>
      <c r="Z17" s="1212">
        <f t="shared" si="5"/>
        <v>4290561.1297015287</v>
      </c>
      <c r="AA17" s="1212">
        <f t="shared" si="5"/>
        <v>4294618.6093065385</v>
      </c>
      <c r="AB17" s="1212">
        <f t="shared" si="5"/>
        <v>4299634.57066397</v>
      </c>
      <c r="AC17" s="1212">
        <f t="shared" si="5"/>
        <v>4304706.4201702299</v>
      </c>
      <c r="AD17" s="1212">
        <f t="shared" si="5"/>
        <v>4309299.0288002789</v>
      </c>
      <c r="AE17" s="1212">
        <f t="shared" si="5"/>
        <v>4314342.9342321269</v>
      </c>
      <c r="AF17" s="1212">
        <f t="shared" si="5"/>
        <v>4317977.0611097543</v>
      </c>
      <c r="AG17" s="1213">
        <f t="shared" si="1"/>
        <v>114878326.17727935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6">D19+D20</f>
        <v>-369565.70052795502</v>
      </c>
      <c r="E18" s="1212">
        <f t="shared" si="6"/>
        <v>-372990.80023137957</v>
      </c>
      <c r="F18" s="1212">
        <f t="shared" si="6"/>
        <v>-365825.26800000004</v>
      </c>
      <c r="G18" s="1212">
        <f t="shared" si="6"/>
        <v>-364530.62316929037</v>
      </c>
      <c r="H18" s="1212">
        <f t="shared" si="6"/>
        <v>-386664.99739602057</v>
      </c>
      <c r="I18" s="1212">
        <f t="shared" si="6"/>
        <v>-368051.52738592168</v>
      </c>
      <c r="J18" s="1212">
        <f t="shared" si="6"/>
        <v>-369563.79094887548</v>
      </c>
      <c r="K18" s="1212">
        <f t="shared" si="6"/>
        <v>-374710.74257447</v>
      </c>
      <c r="L18" s="1212">
        <f t="shared" si="6"/>
        <v>-362395.04255699547</v>
      </c>
      <c r="M18" s="1212">
        <f t="shared" si="6"/>
        <v>-362481.33999999997</v>
      </c>
      <c r="N18" s="1212">
        <f t="shared" si="6"/>
        <v>-362490.34070234851</v>
      </c>
      <c r="O18" s="1212">
        <f t="shared" si="6"/>
        <v>-362536.99326174881</v>
      </c>
      <c r="P18" s="1212">
        <f t="shared" si="6"/>
        <v>-362583.70954566193</v>
      </c>
      <c r="Q18" s="1212">
        <f t="shared" si="6"/>
        <v>-362630.4975196523</v>
      </c>
      <c r="R18" s="1212">
        <f t="shared" si="6"/>
        <v>-362696.54000000004</v>
      </c>
      <c r="S18" s="1212">
        <f t="shared" si="6"/>
        <v>-362712.66594447545</v>
      </c>
      <c r="T18" s="1212">
        <f t="shared" si="6"/>
        <v>-362751.99800359353</v>
      </c>
      <c r="U18" s="1212">
        <f t="shared" si="6"/>
        <v>-362789.80886980717</v>
      </c>
      <c r="V18" s="1212">
        <f t="shared" si="6"/>
        <v>-362825.60956597811</v>
      </c>
      <c r="W18" s="1212">
        <f t="shared" si="6"/>
        <v>-362857.98</v>
      </c>
      <c r="X18" s="1212">
        <f t="shared" si="6"/>
        <v>-362911.24421609647</v>
      </c>
      <c r="Y18" s="1212">
        <f t="shared" si="6"/>
        <v>-362943.6906476072</v>
      </c>
      <c r="Z18" s="1212">
        <f t="shared" si="6"/>
        <v>-362978.11100334622</v>
      </c>
      <c r="AA18" s="1212">
        <f t="shared" si="6"/>
        <v>-363012.92385767959</v>
      </c>
      <c r="AB18" s="1212">
        <f t="shared" si="6"/>
        <v>-363097.00400000002</v>
      </c>
      <c r="AC18" s="1212">
        <f t="shared" si="6"/>
        <v>-363097.00762754027</v>
      </c>
      <c r="AD18" s="1212">
        <f t="shared" si="6"/>
        <v>-363135.18987865513</v>
      </c>
      <c r="AE18" s="1212">
        <f t="shared" si="6"/>
        <v>-363180.18092086643</v>
      </c>
      <c r="AF18" s="1212">
        <f t="shared" si="6"/>
        <v>-363220.56991323736</v>
      </c>
      <c r="AG18" s="1213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14">
        <f>'R1 DRE'!K14</f>
        <v>-222919.5</v>
      </c>
      <c r="L19" s="1214">
        <f>'R1 DRE'!L14</f>
        <v>-222919.5</v>
      </c>
      <c r="M19" s="1214">
        <f>'R1 DRE'!M14</f>
        <v>-222919.5</v>
      </c>
      <c r="N19" s="1214">
        <f>'R1 DRE'!N14</f>
        <v>-222919.5</v>
      </c>
      <c r="O19" s="1214">
        <f>'R1 DRE'!O14</f>
        <v>-222919.5</v>
      </c>
      <c r="P19" s="1214">
        <f>'R1 DRE'!P14</f>
        <v>-222919.5</v>
      </c>
      <c r="Q19" s="1214">
        <f>'R1 DRE'!Q14</f>
        <v>-222919.5</v>
      </c>
      <c r="R19" s="1214">
        <f>'R1 DRE'!R14</f>
        <v>-222919.5</v>
      </c>
      <c r="S19" s="1214">
        <f>'R1 DRE'!S14</f>
        <v>-222919.5</v>
      </c>
      <c r="T19" s="1214">
        <f>'R1 DRE'!T14</f>
        <v>-222919.5</v>
      </c>
      <c r="U19" s="1214">
        <f>'R1 DRE'!U14</f>
        <v>-222919.5</v>
      </c>
      <c r="V19" s="1214">
        <f>'R1 DRE'!V14</f>
        <v>-222919.5</v>
      </c>
      <c r="W19" s="1214">
        <f>'R1 DRE'!W14</f>
        <v>-222919.5</v>
      </c>
      <c r="X19" s="1214">
        <f>'R1 DRE'!X14</f>
        <v>-222919.5</v>
      </c>
      <c r="Y19" s="1214">
        <f>'R1 DRE'!Y14</f>
        <v>-222919.5</v>
      </c>
      <c r="Z19" s="1214">
        <f>'R1 DRE'!Z14</f>
        <v>-222919.5</v>
      </c>
      <c r="AA19" s="1214">
        <f>'R1 DRE'!AA14</f>
        <v>-222919.5</v>
      </c>
      <c r="AB19" s="1214">
        <f>'R1 DRE'!AB14</f>
        <v>-222919.5</v>
      </c>
      <c r="AC19" s="1214">
        <f>'R1 DRE'!AC14</f>
        <v>-222919.5</v>
      </c>
      <c r="AD19" s="1214">
        <f>'R1 DRE'!AD14</f>
        <v>-222919.5</v>
      </c>
      <c r="AE19" s="1214">
        <f>'R1 DRE'!AE14</f>
        <v>-222919.5</v>
      </c>
      <c r="AF19" s="1214">
        <f>'R1 DRE'!AF14</f>
        <v>-222919.5</v>
      </c>
      <c r="AG19" s="1215">
        <f t="shared" si="7"/>
        <v>-6687585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14">
        <f>'R1 DRE'!K15</f>
        <v>-151791.24257447</v>
      </c>
      <c r="L20" s="1214">
        <f>'R1 DRE'!L15</f>
        <v>-139475.54255699547</v>
      </c>
      <c r="M20" s="1214">
        <f>'R1 DRE'!M15</f>
        <v>-139561.84</v>
      </c>
      <c r="N20" s="1214">
        <f>'R1 DRE'!N15</f>
        <v>-139570.84070234848</v>
      </c>
      <c r="O20" s="1214">
        <f>'R1 DRE'!O15</f>
        <v>-139617.49326174878</v>
      </c>
      <c r="P20" s="1214">
        <f>'R1 DRE'!P15</f>
        <v>-139664.20954566196</v>
      </c>
      <c r="Q20" s="1214">
        <f>'R1 DRE'!Q15</f>
        <v>-139710.9975196523</v>
      </c>
      <c r="R20" s="1214">
        <f>'R1 DRE'!R15</f>
        <v>-139777.04</v>
      </c>
      <c r="S20" s="1214">
        <f>'R1 DRE'!S15</f>
        <v>-139793.16594447548</v>
      </c>
      <c r="T20" s="1214">
        <f>'R1 DRE'!T15</f>
        <v>-139832.49800359353</v>
      </c>
      <c r="U20" s="1214">
        <f>'R1 DRE'!U15</f>
        <v>-139870.30886980714</v>
      </c>
      <c r="V20" s="1214">
        <f>'R1 DRE'!V15</f>
        <v>-139906.10956597811</v>
      </c>
      <c r="W20" s="1214">
        <f>'R1 DRE'!W15</f>
        <v>-139938.48000000001</v>
      </c>
      <c r="X20" s="1214">
        <f>'R1 DRE'!X15</f>
        <v>-139991.74421609644</v>
      </c>
      <c r="Y20" s="1214">
        <f>'R1 DRE'!Y15</f>
        <v>-140024.19064760717</v>
      </c>
      <c r="Z20" s="1214">
        <f>'R1 DRE'!Z15</f>
        <v>-140058.61100334622</v>
      </c>
      <c r="AA20" s="1214">
        <f>'R1 DRE'!AA15</f>
        <v>-140093.42385767962</v>
      </c>
      <c r="AB20" s="1214">
        <f>'R1 DRE'!AB15</f>
        <v>-140177.50400000002</v>
      </c>
      <c r="AC20" s="1214">
        <f>'R1 DRE'!AC15</f>
        <v>-140177.5076275403</v>
      </c>
      <c r="AD20" s="1214">
        <f>'R1 DRE'!AD15</f>
        <v>-140215.68987865516</v>
      </c>
      <c r="AE20" s="1214">
        <f>'R1 DRE'!AE15</f>
        <v>-140260.68092086641</v>
      </c>
      <c r="AF20" s="1214">
        <f>'R1 DRE'!AF15</f>
        <v>-140301.06991323733</v>
      </c>
      <c r="AG20" s="1215">
        <f t="shared" si="7"/>
        <v>-4365715.761531245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8">D22+D23+D24+D25</f>
        <v>-1230326.5123160521</v>
      </c>
      <c r="E21" s="1212">
        <f t="shared" si="8"/>
        <v>-1446948.7737891045</v>
      </c>
      <c r="F21" s="1212">
        <f t="shared" si="8"/>
        <v>-1394729.7694170631</v>
      </c>
      <c r="G21" s="1212">
        <f t="shared" si="8"/>
        <v>-1372431.1735002932</v>
      </c>
      <c r="H21" s="1212">
        <f t="shared" si="8"/>
        <v>-1372166.094364627</v>
      </c>
      <c r="I21" s="1212">
        <f t="shared" si="8"/>
        <v>-1366336.9765073925</v>
      </c>
      <c r="J21" s="1212">
        <f t="shared" si="8"/>
        <v>-1415767.7581980655</v>
      </c>
      <c r="K21" s="1212">
        <f t="shared" si="8"/>
        <v>-1438887.6579406383</v>
      </c>
      <c r="L21" s="1212">
        <f t="shared" si="8"/>
        <v>-1459699.627200658</v>
      </c>
      <c r="M21" s="1212">
        <f t="shared" si="8"/>
        <v>-1460821.3663060188</v>
      </c>
      <c r="N21" s="1212">
        <f t="shared" si="8"/>
        <v>-1462045.7635940488</v>
      </c>
      <c r="O21" s="1212">
        <f t="shared" si="8"/>
        <v>-1462837.8367342837</v>
      </c>
      <c r="P21" s="1212">
        <f t="shared" si="8"/>
        <v>-1463629.9098745186</v>
      </c>
      <c r="Q21" s="1212">
        <f t="shared" si="8"/>
        <v>-1464421.9830147536</v>
      </c>
      <c r="R21" s="1212">
        <f t="shared" si="8"/>
        <v>-1465073.8827858537</v>
      </c>
      <c r="S21" s="1212">
        <f t="shared" si="8"/>
        <v>-1465719.7318946985</v>
      </c>
      <c r="T21" s="1212">
        <f t="shared" si="8"/>
        <v>-1466364.5052424648</v>
      </c>
      <c r="U21" s="1212">
        <f t="shared" si="8"/>
        <v>-1467109.2785902307</v>
      </c>
      <c r="V21" s="1212">
        <f t="shared" si="8"/>
        <v>-1467754.0519379969</v>
      </c>
      <c r="W21" s="1212">
        <f t="shared" si="8"/>
        <v>-1468528.6735217113</v>
      </c>
      <c r="X21" s="1212">
        <f t="shared" si="8"/>
        <v>-1469110.8389274431</v>
      </c>
      <c r="Y21" s="1212">
        <f t="shared" si="8"/>
        <v>-1469661.4495864294</v>
      </c>
      <c r="Z21" s="1212">
        <f t="shared" si="8"/>
        <v>-1470212.0602454157</v>
      </c>
      <c r="AA21" s="1212">
        <f t="shared" si="8"/>
        <v>-1470762.6709044017</v>
      </c>
      <c r="AB21" s="1212">
        <f t="shared" si="8"/>
        <v>-1471525.5055295818</v>
      </c>
      <c r="AC21" s="1212">
        <f t="shared" si="8"/>
        <v>-1472131.1268811177</v>
      </c>
      <c r="AD21" s="1212">
        <f t="shared" si="8"/>
        <v>-1472720.3189069431</v>
      </c>
      <c r="AE21" s="1212">
        <f t="shared" si="8"/>
        <v>-1473335.4033433762</v>
      </c>
      <c r="AF21" s="1212">
        <f t="shared" si="8"/>
        <v>-1473706.477100356</v>
      </c>
      <c r="AG21" s="1213">
        <f t="shared" si="7"/>
        <v>-42912486.362427264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14">
        <f>'R1 DRE'!K17</f>
        <v>-483412.18706838228</v>
      </c>
      <c r="L22" s="1214">
        <f>'R1 DRE'!L17</f>
        <v>-489442.6019993478</v>
      </c>
      <c r="M22" s="1214">
        <f>'R1 DRE'!M17</f>
        <v>-490208.95603734476</v>
      </c>
      <c r="N22" s="1214">
        <f>'R1 DRE'!N17</f>
        <v>-490920.5570620927</v>
      </c>
      <c r="O22" s="1214">
        <f>'R1 DRE'!O17</f>
        <v>-491624.76348001952</v>
      </c>
      <c r="P22" s="1214">
        <f>'R1 DRE'!P17</f>
        <v>-492328.96989794611</v>
      </c>
      <c r="Q22" s="1214">
        <f>'R1 DRE'!Q17</f>
        <v>-493033.1763158727</v>
      </c>
      <c r="R22" s="1214">
        <f>'R1 DRE'!R17</f>
        <v>-493612.01936735166</v>
      </c>
      <c r="S22" s="1214">
        <f>'R1 DRE'!S17</f>
        <v>-494186.17130256217</v>
      </c>
      <c r="T22" s="1214">
        <f>'R1 DRE'!T17</f>
        <v>-494759.40497506119</v>
      </c>
      <c r="U22" s="1214">
        <f>'R1 DRE'!U17</f>
        <v>-495332.63864756015</v>
      </c>
      <c r="V22" s="1214">
        <f>'R1 DRE'!V17</f>
        <v>-495905.87232005922</v>
      </c>
      <c r="W22" s="1214">
        <f>'R1 DRE'!W17</f>
        <v>-496595.18385540805</v>
      </c>
      <c r="X22" s="1214">
        <f>'R1 DRE'!X17</f>
        <v>-497111.64190462325</v>
      </c>
      <c r="Y22" s="1214">
        <f>'R1 DRE'!Y17</f>
        <v>-497601.16502573498</v>
      </c>
      <c r="Z22" s="1214">
        <f>'R1 DRE'!Z17</f>
        <v>-498090.68814684672</v>
      </c>
      <c r="AA22" s="1214">
        <f>'R1 DRE'!AA17</f>
        <v>-498580.2112679584</v>
      </c>
      <c r="AB22" s="1214">
        <f>'R1 DRE'!AB17</f>
        <v>-499259.46152948157</v>
      </c>
      <c r="AC22" s="1214">
        <f>'R1 DRE'!AC17</f>
        <v>-499796.89372358366</v>
      </c>
      <c r="AD22" s="1214">
        <f>'R1 DRE'!AD17</f>
        <v>-500320.77892254677</v>
      </c>
      <c r="AE22" s="1214">
        <f>'R1 DRE'!AE17</f>
        <v>-500867.7180223316</v>
      </c>
      <c r="AF22" s="1214">
        <f>'R1 DRE'!AF17</f>
        <v>-501196.36969936022</v>
      </c>
      <c r="AG22" s="1215">
        <f t="shared" si="7"/>
        <v>-14615965.937531687</v>
      </c>
      <c r="AI22" s="1216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'R1 DRE'!G18</f>
        <v>-14599.065768930037</v>
      </c>
      <c r="H23" s="1214">
        <f>'R1 DRE'!H18</f>
        <v>-15057.798117373999</v>
      </c>
      <c r="I23" s="1214">
        <f>'R1 DRE'!I18</f>
        <v>-15064.87973247327</v>
      </c>
      <c r="J23" s="1214">
        <f>'R1 DRE'!J18</f>
        <v>-15072.495622356846</v>
      </c>
      <c r="K23" s="1214">
        <f>'R1 DRE'!K18</f>
        <v>-15192.826253067265</v>
      </c>
      <c r="L23" s="1214">
        <f>'R1 DRE'!L18</f>
        <v>-15347.122255394672</v>
      </c>
      <c r="M23" s="1214">
        <f>'R1 DRE'!M18</f>
        <v>-15631.795172996442</v>
      </c>
      <c r="N23" s="1214">
        <f>'R1 DRE'!N18</f>
        <v>-16078.51764681211</v>
      </c>
      <c r="O23" s="1214">
        <f>'R1 DRE'!O18</f>
        <v>-16101.57888608165</v>
      </c>
      <c r="P23" s="1214">
        <f>'R1 DRE'!P18</f>
        <v>-16124.640125351203</v>
      </c>
      <c r="Q23" s="1214">
        <f>'R1 DRE'!Q18</f>
        <v>-16147.701364620751</v>
      </c>
      <c r="R23" s="1214">
        <f>'R1 DRE'!R18</f>
        <v>-16166.143434356836</v>
      </c>
      <c r="S23" s="1214">
        <f>'R1 DRE'!S18</f>
        <v>-16184.911737817845</v>
      </c>
      <c r="T23" s="1214">
        <f>'R1 DRE'!T18</f>
        <v>-16203.680041278865</v>
      </c>
      <c r="U23" s="1214">
        <f>'R1 DRE'!U18</f>
        <v>-16222.448344739874</v>
      </c>
      <c r="V23" s="1214">
        <f>'R1 DRE'!V18</f>
        <v>-16241.216648200887</v>
      </c>
      <c r="W23" s="1214">
        <f>'R1 DRE'!W18</f>
        <v>-16264.319313534354</v>
      </c>
      <c r="X23" s="1214">
        <f>'R1 DRE'!X18</f>
        <v>-16280.34814305808</v>
      </c>
      <c r="Y23" s="1214">
        <f>'R1 DRE'!Y18</f>
        <v>-16296.376972581807</v>
      </c>
      <c r="Z23" s="1214">
        <f>'R1 DRE'!Z18</f>
        <v>-16312.405802105539</v>
      </c>
      <c r="AA23" s="1214">
        <f>'R1 DRE'!AA18</f>
        <v>-16328.434631629261</v>
      </c>
      <c r="AB23" s="1214">
        <f>'R1 DRE'!AB18</f>
        <v>-16351.537299443749</v>
      </c>
      <c r="AC23" s="1214">
        <f>'R1 DRE'!AC18</f>
        <v>-16368.34292048484</v>
      </c>
      <c r="AD23" s="1214">
        <f>'R1 DRE'!AD18</f>
        <v>-16385.557657312653</v>
      </c>
      <c r="AE23" s="1214">
        <f>'R1 DRE'!AE18</f>
        <v>-16403.549179438916</v>
      </c>
      <c r="AF23" s="1214">
        <f>'R1 DRE'!AF18</f>
        <v>-16413.322066103116</v>
      </c>
      <c r="AG23" s="1215">
        <f t="shared" si="7"/>
        <v>-477854.6330623313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14">
        <f>'R1 DRE'!K19</f>
        <v>-553251.9</v>
      </c>
      <c r="L24" s="1214">
        <f>'R1 DRE'!L19</f>
        <v>-553251.9</v>
      </c>
      <c r="M24" s="1214">
        <f>'R1 DRE'!M19</f>
        <v>-553251.9</v>
      </c>
      <c r="N24" s="1214">
        <f>'R1 DRE'!N19</f>
        <v>-553251.9</v>
      </c>
      <c r="O24" s="1214">
        <f>'R1 DRE'!O19</f>
        <v>-553251.9</v>
      </c>
      <c r="P24" s="1214">
        <f>'R1 DRE'!P19</f>
        <v>-553251.9</v>
      </c>
      <c r="Q24" s="1214">
        <f>'R1 DRE'!Q19</f>
        <v>-553251.9</v>
      </c>
      <c r="R24" s="1214">
        <f>'R1 DRE'!R19</f>
        <v>-553251.9</v>
      </c>
      <c r="S24" s="1214">
        <f>'R1 DRE'!S19</f>
        <v>-553251.9</v>
      </c>
      <c r="T24" s="1214">
        <f>'R1 DRE'!T19</f>
        <v>-553251.9</v>
      </c>
      <c r="U24" s="1214">
        <f>'R1 DRE'!U19</f>
        <v>-553251.9</v>
      </c>
      <c r="V24" s="1214">
        <f>'R1 DRE'!V19</f>
        <v>-553251.9</v>
      </c>
      <c r="W24" s="1214">
        <f>'R1 DRE'!W19</f>
        <v>-553251.9</v>
      </c>
      <c r="X24" s="1214">
        <f>'R1 DRE'!X19</f>
        <v>-553251.9</v>
      </c>
      <c r="Y24" s="1214">
        <f>'R1 DRE'!Y19</f>
        <v>-553251.9</v>
      </c>
      <c r="Z24" s="1214">
        <f>'R1 DRE'!Z19</f>
        <v>-553251.9</v>
      </c>
      <c r="AA24" s="1214">
        <f>'R1 DRE'!AA19</f>
        <v>-553251.9</v>
      </c>
      <c r="AB24" s="1214">
        <f>'R1 DRE'!AB19</f>
        <v>-553251.9</v>
      </c>
      <c r="AC24" s="1214">
        <f>'R1 DRE'!AC19</f>
        <v>-553251.9</v>
      </c>
      <c r="AD24" s="1214">
        <f>'R1 DRE'!AD19</f>
        <v>-553251.9</v>
      </c>
      <c r="AE24" s="1214">
        <f>'R1 DRE'!AE19</f>
        <v>-553251.9</v>
      </c>
      <c r="AF24" s="1214">
        <f>'R1 DRE'!AF19</f>
        <v>-553251.9</v>
      </c>
      <c r="AG24" s="1215">
        <f t="shared" si="7"/>
        <v>-16472445.540000008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14">
        <f>'R1 DRE'!K20</f>
        <v>-387030.74461918877</v>
      </c>
      <c r="L25" s="1214">
        <f>'R1 DRE'!L20</f>
        <v>-401658.00294591533</v>
      </c>
      <c r="M25" s="1214">
        <f>'R1 DRE'!M20</f>
        <v>-401728.7150956777</v>
      </c>
      <c r="N25" s="1214">
        <f>'R1 DRE'!N20</f>
        <v>-401794.78888514388</v>
      </c>
      <c r="O25" s="1214">
        <f>'R1 DRE'!O20</f>
        <v>-401859.59436818259</v>
      </c>
      <c r="P25" s="1214">
        <f>'R1 DRE'!P20</f>
        <v>-401924.39985122136</v>
      </c>
      <c r="Q25" s="1214">
        <f>'R1 DRE'!Q20</f>
        <v>-401989.20533426024</v>
      </c>
      <c r="R25" s="1214">
        <f>'R1 DRE'!R20</f>
        <v>-402043.81998414529</v>
      </c>
      <c r="S25" s="1214">
        <f>'R1 DRE'!S20</f>
        <v>-402096.74885431846</v>
      </c>
      <c r="T25" s="1214">
        <f>'R1 DRE'!T20</f>
        <v>-402149.52022612467</v>
      </c>
      <c r="U25" s="1214">
        <f>'R1 DRE'!U20</f>
        <v>-402302.29159793071</v>
      </c>
      <c r="V25" s="1214">
        <f>'R1 DRE'!V20</f>
        <v>-402355.06296973687</v>
      </c>
      <c r="W25" s="1214">
        <f>'R1 DRE'!W20</f>
        <v>-402417.270352769</v>
      </c>
      <c r="X25" s="1214">
        <f>'R1 DRE'!X20</f>
        <v>-402466.94887976174</v>
      </c>
      <c r="Y25" s="1214">
        <f>'R1 DRE'!Y20</f>
        <v>-402512.00758811249</v>
      </c>
      <c r="Z25" s="1214">
        <f>'R1 DRE'!Z20</f>
        <v>-402557.06629646337</v>
      </c>
      <c r="AA25" s="1214">
        <f>'R1 DRE'!AA20</f>
        <v>-402602.12500481395</v>
      </c>
      <c r="AB25" s="1214">
        <f>'R1 DRE'!AB20</f>
        <v>-402662.60670065647</v>
      </c>
      <c r="AC25" s="1214">
        <f>'R1 DRE'!AC20</f>
        <v>-402713.99023704906</v>
      </c>
      <c r="AD25" s="1214">
        <f>'R1 DRE'!AD20</f>
        <v>-402762.08232708368</v>
      </c>
      <c r="AE25" s="1214">
        <f>'R1 DRE'!AE20</f>
        <v>-402812.23614160577</v>
      </c>
      <c r="AF25" s="1214">
        <f>'R1 DRE'!AF20</f>
        <v>-402844.88533489278</v>
      </c>
      <c r="AG25" s="1215">
        <f t="shared" si="7"/>
        <v>-11346220.251833245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9">-D17*0.01</f>
        <v>-23487.364306745756</v>
      </c>
      <c r="E26" s="1212">
        <f t="shared" si="9"/>
        <v>-26078.466711710476</v>
      </c>
      <c r="F26" s="1212">
        <f t="shared" si="9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0">-I17*0.005</f>
        <v>-16724.631693002015</v>
      </c>
      <c r="J26" s="1212">
        <f t="shared" si="10"/>
        <v>-18111.511932221227</v>
      </c>
      <c r="K26" s="1212">
        <f t="shared" si="10"/>
        <v>-18467.995931188256</v>
      </c>
      <c r="L26" s="1212">
        <f t="shared" si="10"/>
        <v>-18891.001351789459</v>
      </c>
      <c r="M26" s="1212">
        <f t="shared" si="10"/>
        <v>-19757.069522633825</v>
      </c>
      <c r="N26" s="1212">
        <f t="shared" si="10"/>
        <v>-21084.292075808593</v>
      </c>
      <c r="O26" s="1212">
        <f t="shared" si="10"/>
        <v>-21169.289223631382</v>
      </c>
      <c r="P26" s="1212">
        <f t="shared" si="10"/>
        <v>-21198.654291706294</v>
      </c>
      <c r="Q26" s="1212">
        <f t="shared" si="10"/>
        <v>-21229.085388743868</v>
      </c>
      <c r="R26" s="1212">
        <f t="shared" si="10"/>
        <v>-21257.120281400374</v>
      </c>
      <c r="S26" s="1212">
        <f t="shared" si="10"/>
        <v>-21282.619249303745</v>
      </c>
      <c r="T26" s="1212">
        <f t="shared" si="10"/>
        <v>-21307.978496835054</v>
      </c>
      <c r="U26" s="1212">
        <f t="shared" si="10"/>
        <v>-21333.337744366356</v>
      </c>
      <c r="V26" s="1212">
        <f t="shared" si="10"/>
        <v>-21356.300787516608</v>
      </c>
      <c r="W26" s="1212">
        <f t="shared" si="10"/>
        <v>-21383.916519056907</v>
      </c>
      <c r="X26" s="1212">
        <f t="shared" si="10"/>
        <v>-21411.811691341332</v>
      </c>
      <c r="Y26" s="1212">
        <f t="shared" si="10"/>
        <v>-21432.518250482604</v>
      </c>
      <c r="Z26" s="1212">
        <f t="shared" si="10"/>
        <v>-21452.805648507645</v>
      </c>
      <c r="AA26" s="1212">
        <f t="shared" si="10"/>
        <v>-21473.093046532693</v>
      </c>
      <c r="AB26" s="1212">
        <f t="shared" si="10"/>
        <v>-21498.172853319851</v>
      </c>
      <c r="AC26" s="1212">
        <f t="shared" si="10"/>
        <v>-21523.532100851149</v>
      </c>
      <c r="AD26" s="1212">
        <f t="shared" si="10"/>
        <v>-21546.495144001394</v>
      </c>
      <c r="AE26" s="1212">
        <f t="shared" si="10"/>
        <v>-21571.714671160636</v>
      </c>
      <c r="AF26" s="1212">
        <f t="shared" si="10"/>
        <v>-21589.885305548771</v>
      </c>
      <c r="AG26" s="1213">
        <f>SUM(C26:AF26)</f>
        <v>-628817.15969857248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1">D17+D18+D21+D26</f>
        <v>725356.85352382285</v>
      </c>
      <c r="E27" s="1212">
        <f t="shared" si="11"/>
        <v>761828.63043885329</v>
      </c>
      <c r="F27" s="1212">
        <f t="shared" si="11"/>
        <v>885889.84541072126</v>
      </c>
      <c r="G27" s="1212">
        <f t="shared" si="11"/>
        <v>987003.66554251267</v>
      </c>
      <c r="H27" s="1212">
        <f t="shared" si="11"/>
        <v>1236097.9959341185</v>
      </c>
      <c r="I27" s="1212">
        <f t="shared" si="11"/>
        <v>1593813.2030140865</v>
      </c>
      <c r="J27" s="1212">
        <f t="shared" si="11"/>
        <v>1818859.3253650826</v>
      </c>
      <c r="K27" s="1212">
        <f t="shared" si="11"/>
        <v>1861532.7897913547</v>
      </c>
      <c r="L27" s="1212">
        <f t="shared" si="11"/>
        <v>1937214.5992484484</v>
      </c>
      <c r="M27" s="1212">
        <f t="shared" si="11"/>
        <v>2108354.1286981129</v>
      </c>
      <c r="N27" s="1212">
        <f t="shared" si="11"/>
        <v>2371238.0187895126</v>
      </c>
      <c r="O27" s="1212">
        <f t="shared" si="11"/>
        <v>2387313.7255066126</v>
      </c>
      <c r="P27" s="1212">
        <f t="shared" si="11"/>
        <v>2392318.5846293727</v>
      </c>
      <c r="Q27" s="1212">
        <f t="shared" si="11"/>
        <v>2397535.5118256239</v>
      </c>
      <c r="R27" s="1212">
        <f t="shared" si="11"/>
        <v>2402396.5132128205</v>
      </c>
      <c r="S27" s="1212">
        <f t="shared" si="11"/>
        <v>2406808.8327722712</v>
      </c>
      <c r="T27" s="1212">
        <f t="shared" si="11"/>
        <v>2411171.2176241172</v>
      </c>
      <c r="U27" s="1212">
        <f t="shared" si="11"/>
        <v>2415435.1236688667</v>
      </c>
      <c r="V27" s="1212">
        <f t="shared" si="11"/>
        <v>2419324.1952118305</v>
      </c>
      <c r="W27" s="1212">
        <f t="shared" si="11"/>
        <v>2424012.7337706136</v>
      </c>
      <c r="X27" s="1212">
        <f t="shared" si="11"/>
        <v>2428928.4434333849</v>
      </c>
      <c r="Y27" s="1212">
        <f t="shared" si="11"/>
        <v>2432465.9916120018</v>
      </c>
      <c r="Z27" s="1212">
        <f t="shared" si="11"/>
        <v>2435918.1528042592</v>
      </c>
      <c r="AA27" s="1212">
        <f t="shared" si="11"/>
        <v>2439369.9214979247</v>
      </c>
      <c r="AB27" s="1212">
        <f t="shared" si="11"/>
        <v>2443513.8882810678</v>
      </c>
      <c r="AC27" s="1212">
        <f t="shared" si="11"/>
        <v>2447954.7535607205</v>
      </c>
      <c r="AD27" s="1212">
        <f t="shared" si="11"/>
        <v>2451897.0248706797</v>
      </c>
      <c r="AE27" s="1212">
        <f t="shared" si="11"/>
        <v>2456255.6352967238</v>
      </c>
      <c r="AF27" s="1212">
        <f t="shared" si="11"/>
        <v>2459460.1287906123</v>
      </c>
      <c r="AG27" s="1213">
        <f t="shared" ref="AG27:AG33" si="12">SUM(C27:AF27)</f>
        <v>60283721.893622242</v>
      </c>
    </row>
    <row r="28" spans="1:36" s="1127" customFormat="1" ht="20.25" customHeight="1">
      <c r="B28" s="1128" t="s">
        <v>221</v>
      </c>
      <c r="C28" s="1211"/>
      <c r="D28" s="1211">
        <f t="array" ref="D28:AF28">-TRANSPOSE('E5 R2 DEPR'!AH11:AH39)</f>
        <v>-19422.835502517231</v>
      </c>
      <c r="E28" s="1211">
        <v>-31767.091368703179</v>
      </c>
      <c r="F28" s="1211">
        <v>-42964.776963557146</v>
      </c>
      <c r="G28" s="1211">
        <v>-96570.054420457061</v>
      </c>
      <c r="H28" s="1211">
        <v>-123445.84549485844</v>
      </c>
      <c r="I28" s="1211">
        <v>-436366.68261990033</v>
      </c>
      <c r="J28" s="1211">
        <v>-486052.65689730272</v>
      </c>
      <c r="K28" s="1211">
        <v>-595221.88668875967</v>
      </c>
      <c r="L28" s="1211">
        <v>-686848.83520491084</v>
      </c>
      <c r="M28" s="1211">
        <v>-736837.73873289884</v>
      </c>
      <c r="N28" s="1211">
        <v>-876495.92187088123</v>
      </c>
      <c r="O28" s="1211">
        <v>-1007218.7110648365</v>
      </c>
      <c r="P28" s="1211">
        <v>-1011241.4612855504</v>
      </c>
      <c r="Q28" s="1211">
        <v>-1015515.6333950589</v>
      </c>
      <c r="R28" s="1211">
        <v>-1020074.750311868</v>
      </c>
      <c r="S28" s="1211">
        <v>-1024581.8041513064</v>
      </c>
      <c r="T28" s="1211">
        <v>-1029435.5544399323</v>
      </c>
      <c r="U28" s="1211">
        <v>-1034693.783919277</v>
      </c>
      <c r="V28" s="1211">
        <v>-1040430.0342603803</v>
      </c>
      <c r="W28" s="1211">
        <v>-1046739.909635594</v>
      </c>
      <c r="X28" s="1211">
        <v>-1054383.6600524981</v>
      </c>
      <c r="Y28" s="1211">
        <v>-1061813.5042715152</v>
      </c>
      <c r="Z28" s="1211">
        <v>-1070304.7548075346</v>
      </c>
      <c r="AA28" s="1211">
        <v>-1080211.213766224</v>
      </c>
      <c r="AB28" s="1211">
        <v>-1092098.9645166514</v>
      </c>
      <c r="AC28" s="1211">
        <v>-1109297.4029546855</v>
      </c>
      <c r="AD28" s="1211">
        <v>-1129381.6542053977</v>
      </c>
      <c r="AE28" s="1211">
        <v>-1159915.031081466</v>
      </c>
      <c r="AF28" s="1211">
        <v>-1281647.0328303354</v>
      </c>
      <c r="AG28" s="1217">
        <f t="shared" si="12"/>
        <v>-23400979.186714858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3">D27+D28</f>
        <v>705934.01802130567</v>
      </c>
      <c r="E29" s="1212">
        <f t="shared" si="13"/>
        <v>730061.53907015012</v>
      </c>
      <c r="F29" s="1212">
        <f t="shared" si="13"/>
        <v>842925.06844716414</v>
      </c>
      <c r="G29" s="1212">
        <f t="shared" si="13"/>
        <v>890433.61112205556</v>
      </c>
      <c r="H29" s="1212">
        <f t="shared" si="13"/>
        <v>1112652.1504392601</v>
      </c>
      <c r="I29" s="1212">
        <f t="shared" si="13"/>
        <v>1157446.520394186</v>
      </c>
      <c r="J29" s="1212">
        <f t="shared" si="13"/>
        <v>1332806.6684677799</v>
      </c>
      <c r="K29" s="1212">
        <f t="shared" si="13"/>
        <v>1266310.9031025949</v>
      </c>
      <c r="L29" s="1212">
        <f t="shared" si="13"/>
        <v>1250365.7640435374</v>
      </c>
      <c r="M29" s="1212">
        <f t="shared" si="13"/>
        <v>1371516.3899652141</v>
      </c>
      <c r="N29" s="1212">
        <f t="shared" si="13"/>
        <v>1494742.0969186313</v>
      </c>
      <c r="O29" s="1212">
        <f t="shared" si="13"/>
        <v>1380095.0144417761</v>
      </c>
      <c r="P29" s="1212">
        <f t="shared" si="13"/>
        <v>1381077.1233438223</v>
      </c>
      <c r="Q29" s="1212">
        <f t="shared" si="13"/>
        <v>1382019.8784305649</v>
      </c>
      <c r="R29" s="1212">
        <f t="shared" si="13"/>
        <v>1382321.7629009525</v>
      </c>
      <c r="S29" s="1212">
        <f t="shared" si="13"/>
        <v>1382227.0286209648</v>
      </c>
      <c r="T29" s="1212">
        <f t="shared" si="13"/>
        <v>1381735.6631841848</v>
      </c>
      <c r="U29" s="1212">
        <f t="shared" si="13"/>
        <v>1380741.3397495896</v>
      </c>
      <c r="V29" s="1212">
        <f t="shared" si="13"/>
        <v>1378894.1609514502</v>
      </c>
      <c r="W29" s="1212">
        <f t="shared" si="13"/>
        <v>1377272.8241350194</v>
      </c>
      <c r="X29" s="1212">
        <f t="shared" si="13"/>
        <v>1374544.7833808868</v>
      </c>
      <c r="Y29" s="1212">
        <f t="shared" si="13"/>
        <v>1370652.4873404866</v>
      </c>
      <c r="Z29" s="1212">
        <f t="shared" si="13"/>
        <v>1365613.3979967246</v>
      </c>
      <c r="AA29" s="1212">
        <f t="shared" si="13"/>
        <v>1359158.7077317007</v>
      </c>
      <c r="AB29" s="1212">
        <f t="shared" si="13"/>
        <v>1351414.9237644165</v>
      </c>
      <c r="AC29" s="1212">
        <f t="shared" si="13"/>
        <v>1338657.350606035</v>
      </c>
      <c r="AD29" s="1212">
        <f t="shared" si="13"/>
        <v>1322515.370665282</v>
      </c>
      <c r="AE29" s="1212">
        <f t="shared" si="13"/>
        <v>1296340.6042152578</v>
      </c>
      <c r="AF29" s="1212">
        <f t="shared" si="13"/>
        <v>1177813.0959602769</v>
      </c>
      <c r="AG29" s="1213">
        <f t="shared" si="12"/>
        <v>36882742.706907384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4">D31+D32</f>
        <v>-216017.56612724392</v>
      </c>
      <c r="E30" s="1212">
        <f t="shared" si="14"/>
        <v>-224220.92328385104</v>
      </c>
      <c r="F30" s="1212">
        <f t="shared" si="14"/>
        <v>-262594.52327203582</v>
      </c>
      <c r="G30" s="1212">
        <f t="shared" si="14"/>
        <v>-278747.42778149887</v>
      </c>
      <c r="H30" s="1212">
        <f t="shared" si="14"/>
        <v>-354301.73114934843</v>
      </c>
      <c r="I30" s="1212">
        <f t="shared" si="14"/>
        <v>-369531.81693402323</v>
      </c>
      <c r="J30" s="1212">
        <f t="shared" si="14"/>
        <v>-429154.26727904513</v>
      </c>
      <c r="K30" s="1212">
        <f t="shared" si="14"/>
        <v>-406545.70705488225</v>
      </c>
      <c r="L30" s="1212">
        <f t="shared" si="14"/>
        <v>-401124.3597748027</v>
      </c>
      <c r="M30" s="1212">
        <f t="shared" si="14"/>
        <v>-442315.5725881728</v>
      </c>
      <c r="N30" s="1212">
        <f t="shared" si="14"/>
        <v>-484212.31295233464</v>
      </c>
      <c r="O30" s="1212">
        <f t="shared" si="14"/>
        <v>-445232.30491020385</v>
      </c>
      <c r="P30" s="1212">
        <f t="shared" si="14"/>
        <v>-445566.22193689959</v>
      </c>
      <c r="Q30" s="1212">
        <f t="shared" si="14"/>
        <v>-445886.75866639207</v>
      </c>
      <c r="R30" s="1212">
        <f t="shared" si="14"/>
        <v>-445989.39938632387</v>
      </c>
      <c r="S30" s="1212">
        <f t="shared" si="14"/>
        <v>-445957.18973112805</v>
      </c>
      <c r="T30" s="1212">
        <f t="shared" si="14"/>
        <v>-445790.12548262283</v>
      </c>
      <c r="U30" s="1212">
        <f t="shared" si="14"/>
        <v>-445452.05551486043</v>
      </c>
      <c r="V30" s="1212">
        <f t="shared" si="14"/>
        <v>-444824.01472349308</v>
      </c>
      <c r="W30" s="1212">
        <f t="shared" si="14"/>
        <v>-444272.76020590658</v>
      </c>
      <c r="X30" s="1212">
        <f t="shared" si="14"/>
        <v>-443345.22634950152</v>
      </c>
      <c r="Y30" s="1212">
        <f t="shared" si="14"/>
        <v>-442021.84569576546</v>
      </c>
      <c r="Z30" s="1212">
        <f t="shared" si="14"/>
        <v>-440308.55531888636</v>
      </c>
      <c r="AA30" s="1212">
        <f t="shared" si="14"/>
        <v>-438113.96062877827</v>
      </c>
      <c r="AB30" s="1212">
        <f t="shared" si="14"/>
        <v>-435481.07407990162</v>
      </c>
      <c r="AC30" s="1212">
        <f t="shared" si="14"/>
        <v>-431143.49920605187</v>
      </c>
      <c r="AD30" s="1212">
        <f t="shared" si="14"/>
        <v>-425655.22602619586</v>
      </c>
      <c r="AE30" s="1212">
        <f t="shared" si="14"/>
        <v>-416755.80543318763</v>
      </c>
      <c r="AF30" s="1212">
        <f t="shared" si="14"/>
        <v>-376456.45262649411</v>
      </c>
      <c r="AG30" s="1213">
        <f t="shared" si="12"/>
        <v>-11727018.684119832</v>
      </c>
    </row>
    <row r="31" spans="1:36" s="89" customFormat="1" ht="20.25" customHeight="1">
      <c r="B31" s="477" t="s">
        <v>224</v>
      </c>
      <c r="C31" s="1214"/>
      <c r="D31" s="1214">
        <f t="shared" ref="D31:AF31" si="15">-((D29*0.15)+((D29-240000)*0.1))</f>
        <v>-152483.50450532642</v>
      </c>
      <c r="E31" s="1214">
        <f t="shared" si="15"/>
        <v>-158515.38476753753</v>
      </c>
      <c r="F31" s="1214">
        <f t="shared" si="15"/>
        <v>-186731.26711179104</v>
      </c>
      <c r="G31" s="1214">
        <f t="shared" si="15"/>
        <v>-198608.40278051386</v>
      </c>
      <c r="H31" s="1214">
        <f t="shared" si="15"/>
        <v>-254163.03760981502</v>
      </c>
      <c r="I31" s="1214">
        <f t="shared" si="15"/>
        <v>-265361.63009854651</v>
      </c>
      <c r="J31" s="1214">
        <f t="shared" si="15"/>
        <v>-309201.66711694497</v>
      </c>
      <c r="K31" s="1214">
        <f t="shared" si="15"/>
        <v>-292577.72577564872</v>
      </c>
      <c r="L31" s="1214">
        <f t="shared" si="15"/>
        <v>-288591.44101088436</v>
      </c>
      <c r="M31" s="1214">
        <f t="shared" si="15"/>
        <v>-318879.09749130352</v>
      </c>
      <c r="N31" s="1214">
        <f t="shared" si="15"/>
        <v>-349685.52422965784</v>
      </c>
      <c r="O31" s="1214">
        <f t="shared" si="15"/>
        <v>-321023.75361044402</v>
      </c>
      <c r="P31" s="1214">
        <f t="shared" si="15"/>
        <v>-321269.28083595558</v>
      </c>
      <c r="Q31" s="1214">
        <f t="shared" si="15"/>
        <v>-321504.96960764122</v>
      </c>
      <c r="R31" s="1214">
        <f t="shared" si="15"/>
        <v>-321580.44072523812</v>
      </c>
      <c r="S31" s="1214">
        <f t="shared" si="15"/>
        <v>-321556.75715524121</v>
      </c>
      <c r="T31" s="1214">
        <f t="shared" si="15"/>
        <v>-321433.9157960462</v>
      </c>
      <c r="U31" s="1214">
        <f t="shared" si="15"/>
        <v>-321185.33493739739</v>
      </c>
      <c r="V31" s="1214">
        <f t="shared" si="15"/>
        <v>-320723.54023786256</v>
      </c>
      <c r="W31" s="1214">
        <f t="shared" si="15"/>
        <v>-320318.20603375486</v>
      </c>
      <c r="X31" s="1214">
        <f t="shared" si="15"/>
        <v>-319636.19584522169</v>
      </c>
      <c r="Y31" s="1214">
        <f t="shared" si="15"/>
        <v>-318663.12183512165</v>
      </c>
      <c r="Z31" s="1214">
        <f t="shared" si="15"/>
        <v>-317403.34949918115</v>
      </c>
      <c r="AA31" s="1214">
        <f t="shared" si="15"/>
        <v>-315789.67693292518</v>
      </c>
      <c r="AB31" s="1214">
        <f t="shared" si="15"/>
        <v>-313853.73094110412</v>
      </c>
      <c r="AC31" s="1214">
        <f t="shared" si="15"/>
        <v>-310664.33765150874</v>
      </c>
      <c r="AD31" s="1214">
        <f t="shared" si="15"/>
        <v>-306628.8426663205</v>
      </c>
      <c r="AE31" s="1214">
        <f t="shared" si="15"/>
        <v>-300085.15105381445</v>
      </c>
      <c r="AF31" s="1214">
        <f t="shared" si="15"/>
        <v>-270453.27399006922</v>
      </c>
      <c r="AG31" s="1213">
        <f t="shared" si="12"/>
        <v>-8438572.5618528184</v>
      </c>
    </row>
    <row r="32" spans="1:36" s="89" customFormat="1" ht="20.25" customHeight="1">
      <c r="B32" s="477" t="s">
        <v>225</v>
      </c>
      <c r="C32" s="1214"/>
      <c r="D32" s="1214">
        <f t="shared" ref="D32:AF32" si="16">-(D29*0.09)</f>
        <v>-63534.061621917506</v>
      </c>
      <c r="E32" s="1214">
        <f t="shared" si="16"/>
        <v>-65705.538516313507</v>
      </c>
      <c r="F32" s="1214">
        <f t="shared" si="16"/>
        <v>-75863.256160244768</v>
      </c>
      <c r="G32" s="1214">
        <f t="shared" si="16"/>
        <v>-80139.025000984999</v>
      </c>
      <c r="H32" s="1214">
        <f t="shared" si="16"/>
        <v>-100138.6935395334</v>
      </c>
      <c r="I32" s="1214">
        <f t="shared" si="16"/>
        <v>-104170.18683547674</v>
      </c>
      <c r="J32" s="1214">
        <f t="shared" si="16"/>
        <v>-119952.60016210018</v>
      </c>
      <c r="K32" s="1214">
        <f t="shared" si="16"/>
        <v>-113967.98127923354</v>
      </c>
      <c r="L32" s="1214">
        <f t="shared" si="16"/>
        <v>-112532.91876391837</v>
      </c>
      <c r="M32" s="1214">
        <f t="shared" si="16"/>
        <v>-123436.47509686927</v>
      </c>
      <c r="N32" s="1214">
        <f t="shared" si="16"/>
        <v>-134526.78872267681</v>
      </c>
      <c r="O32" s="1214">
        <f t="shared" si="16"/>
        <v>-124208.55129975984</v>
      </c>
      <c r="P32" s="1214">
        <f t="shared" si="16"/>
        <v>-124296.94110094401</v>
      </c>
      <c r="Q32" s="1214">
        <f t="shared" si="16"/>
        <v>-124381.78905875083</v>
      </c>
      <c r="R32" s="1214">
        <f t="shared" si="16"/>
        <v>-124408.95866108572</v>
      </c>
      <c r="S32" s="1214">
        <f t="shared" si="16"/>
        <v>-124400.43257588684</v>
      </c>
      <c r="T32" s="1214">
        <f t="shared" si="16"/>
        <v>-124356.20968657662</v>
      </c>
      <c r="U32" s="1214">
        <f t="shared" si="16"/>
        <v>-124266.72057746306</v>
      </c>
      <c r="V32" s="1214">
        <f t="shared" si="16"/>
        <v>-124100.47448563052</v>
      </c>
      <c r="W32" s="1214">
        <f t="shared" si="16"/>
        <v>-123954.55417215175</v>
      </c>
      <c r="X32" s="1214">
        <f t="shared" si="16"/>
        <v>-123709.0305042798</v>
      </c>
      <c r="Y32" s="1214">
        <f t="shared" si="16"/>
        <v>-123358.72386064379</v>
      </c>
      <c r="Z32" s="1214">
        <f t="shared" si="16"/>
        <v>-122905.20581970521</v>
      </c>
      <c r="AA32" s="1214">
        <f t="shared" si="16"/>
        <v>-122324.28369585307</v>
      </c>
      <c r="AB32" s="1214">
        <f t="shared" si="16"/>
        <v>-121627.34313879749</v>
      </c>
      <c r="AC32" s="1214">
        <f t="shared" si="16"/>
        <v>-120479.16155454314</v>
      </c>
      <c r="AD32" s="1214">
        <f t="shared" si="16"/>
        <v>-119026.38335987537</v>
      </c>
      <c r="AE32" s="1214">
        <f t="shared" si="16"/>
        <v>-116670.6543793732</v>
      </c>
      <c r="AF32" s="1214">
        <f t="shared" si="16"/>
        <v>-106003.17863642491</v>
      </c>
      <c r="AG32" s="1213">
        <f t="shared" si="12"/>
        <v>-3288446.1222670143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7">D29+D30</f>
        <v>489916.45189406176</v>
      </c>
      <c r="E33" s="1219">
        <f t="shared" si="17"/>
        <v>505840.61578629911</v>
      </c>
      <c r="F33" s="1219">
        <f t="shared" si="17"/>
        <v>580330.54517512838</v>
      </c>
      <c r="G33" s="1219">
        <f t="shared" si="17"/>
        <v>611686.18334055669</v>
      </c>
      <c r="H33" s="1219">
        <f t="shared" si="17"/>
        <v>758350.41928991163</v>
      </c>
      <c r="I33" s="1219">
        <f t="shared" si="17"/>
        <v>787914.70346016274</v>
      </c>
      <c r="J33" s="1219">
        <f t="shared" si="17"/>
        <v>903652.40118873469</v>
      </c>
      <c r="K33" s="1219">
        <f t="shared" si="17"/>
        <v>859765.19604771258</v>
      </c>
      <c r="L33" s="1219">
        <f t="shared" si="17"/>
        <v>849241.40426873474</v>
      </c>
      <c r="M33" s="1219">
        <f t="shared" si="17"/>
        <v>929200.81737704133</v>
      </c>
      <c r="N33" s="1219">
        <f t="shared" si="17"/>
        <v>1010529.7839662967</v>
      </c>
      <c r="O33" s="1219">
        <f t="shared" si="17"/>
        <v>934862.70953157218</v>
      </c>
      <c r="P33" s="1219">
        <f t="shared" si="17"/>
        <v>935510.90140692273</v>
      </c>
      <c r="Q33" s="1219">
        <f t="shared" si="17"/>
        <v>936133.11976417282</v>
      </c>
      <c r="R33" s="1219">
        <f t="shared" si="17"/>
        <v>936332.36351462861</v>
      </c>
      <c r="S33" s="1219">
        <f t="shared" si="17"/>
        <v>936269.8388898368</v>
      </c>
      <c r="T33" s="1219">
        <f t="shared" si="17"/>
        <v>935945.53770156205</v>
      </c>
      <c r="U33" s="1219">
        <f t="shared" si="17"/>
        <v>935289.28423472913</v>
      </c>
      <c r="V33" s="1219">
        <f t="shared" si="17"/>
        <v>934070.14622795722</v>
      </c>
      <c r="W33" s="1219">
        <f t="shared" si="17"/>
        <v>933000.06392911286</v>
      </c>
      <c r="X33" s="1219">
        <f t="shared" si="17"/>
        <v>931199.55703138525</v>
      </c>
      <c r="Y33" s="1219">
        <f t="shared" si="17"/>
        <v>928630.64164472115</v>
      </c>
      <c r="Z33" s="1219">
        <f t="shared" si="17"/>
        <v>925304.84267783817</v>
      </c>
      <c r="AA33" s="1219">
        <f t="shared" si="17"/>
        <v>921044.74710292253</v>
      </c>
      <c r="AB33" s="1219">
        <f t="shared" si="17"/>
        <v>915933.8496845148</v>
      </c>
      <c r="AC33" s="1219">
        <f t="shared" si="17"/>
        <v>907513.85139998305</v>
      </c>
      <c r="AD33" s="1219">
        <f t="shared" si="17"/>
        <v>896860.14463908621</v>
      </c>
      <c r="AE33" s="1219">
        <f t="shared" si="17"/>
        <v>879584.79878207017</v>
      </c>
      <c r="AF33" s="1219">
        <f t="shared" si="17"/>
        <v>801356.64333378279</v>
      </c>
      <c r="AG33" s="1220">
        <f t="shared" si="12"/>
        <v>25155724.02278756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166897.82256588902</v>
      </c>
      <c r="I35" s="135">
        <f t="shared" si="18"/>
        <v>173616.9780591279</v>
      </c>
      <c r="J35" s="135">
        <f t="shared" si="18"/>
        <v>199921.00027016699</v>
      </c>
      <c r="K35" s="135">
        <f t="shared" si="18"/>
        <v>189946.63546538923</v>
      </c>
      <c r="L35" s="135">
        <f t="shared" si="18"/>
        <v>187554.86460653061</v>
      </c>
      <c r="M35" s="135">
        <f t="shared" si="18"/>
        <v>205727.4584947821</v>
      </c>
      <c r="N35" s="135">
        <f t="shared" si="18"/>
        <v>224211.31453779471</v>
      </c>
      <c r="O35" s="135">
        <f t="shared" si="18"/>
        <v>207014.25216626641</v>
      </c>
      <c r="P35" s="135">
        <f t="shared" si="18"/>
        <v>207161.56850157335</v>
      </c>
      <c r="Q35" s="135">
        <f t="shared" si="18"/>
        <v>207302.98176458472</v>
      </c>
      <c r="R35" s="135">
        <f t="shared" si="18"/>
        <v>207348.26443514286</v>
      </c>
      <c r="S35" s="135">
        <f t="shared" si="18"/>
        <v>207334.05429314473</v>
      </c>
      <c r="T35" s="135">
        <f t="shared" si="18"/>
        <v>207260.34947762772</v>
      </c>
      <c r="U35" s="135">
        <f t="shared" si="18"/>
        <v>207111.20096243842</v>
      </c>
      <c r="V35" s="135">
        <f t="shared" si="18"/>
        <v>206834.12414271754</v>
      </c>
      <c r="W35" s="135">
        <f t="shared" si="18"/>
        <v>206590.9236202529</v>
      </c>
      <c r="X35" s="135">
        <f t="shared" si="18"/>
        <v>206181.717507133</v>
      </c>
      <c r="Y35" s="135">
        <f t="shared" si="18"/>
        <v>205597.873101073</v>
      </c>
      <c r="Z35" s="135">
        <f t="shared" si="18"/>
        <v>204842.00969950869</v>
      </c>
      <c r="AA35" s="135">
        <f t="shared" si="18"/>
        <v>203873.8061597551</v>
      </c>
      <c r="AB35" s="135">
        <f t="shared" si="18"/>
        <v>202712.23856466246</v>
      </c>
      <c r="AC35" s="135">
        <f t="shared" si="18"/>
        <v>200798.60259090524</v>
      </c>
      <c r="AD35" s="135">
        <f t="shared" si="18"/>
        <v>198377.30559979231</v>
      </c>
      <c r="AE35" s="135">
        <f t="shared" si="18"/>
        <v>194451.09063228866</v>
      </c>
      <c r="AF35" s="135">
        <f t="shared" si="18"/>
        <v>176671.96439404154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87265.215043926015</v>
      </c>
      <c r="I36" s="135">
        <f t="shared" si="19"/>
        <v>91744.652039418608</v>
      </c>
      <c r="J36" s="135">
        <f t="shared" si="19"/>
        <v>109280.666846778</v>
      </c>
      <c r="K36" s="135">
        <f t="shared" si="19"/>
        <v>102631.09031025949</v>
      </c>
      <c r="L36" s="135">
        <f t="shared" si="19"/>
        <v>101036.57640435375</v>
      </c>
      <c r="M36" s="135">
        <f t="shared" si="19"/>
        <v>113151.63899652142</v>
      </c>
      <c r="N36" s="135">
        <f t="shared" si="19"/>
        <v>125474.20969186314</v>
      </c>
      <c r="O36" s="135">
        <f t="shared" si="19"/>
        <v>114009.50144417761</v>
      </c>
      <c r="P36" s="135">
        <f t="shared" si="19"/>
        <v>114107.71233438223</v>
      </c>
      <c r="Q36" s="135">
        <f t="shared" si="19"/>
        <v>114201.9878430565</v>
      </c>
      <c r="R36" s="135">
        <f t="shared" si="19"/>
        <v>114232.17629009526</v>
      </c>
      <c r="S36" s="135">
        <f t="shared" si="19"/>
        <v>114222.70286209648</v>
      </c>
      <c r="T36" s="135">
        <f t="shared" si="19"/>
        <v>114173.56631841848</v>
      </c>
      <c r="U36" s="135">
        <f t="shared" si="19"/>
        <v>114074.13397495897</v>
      </c>
      <c r="V36" s="135">
        <f t="shared" si="19"/>
        <v>113889.41609514503</v>
      </c>
      <c r="W36" s="135">
        <f t="shared" si="19"/>
        <v>113727.28241350195</v>
      </c>
      <c r="X36" s="135">
        <f t="shared" si="19"/>
        <v>113454.47833808868</v>
      </c>
      <c r="Y36" s="135">
        <f t="shared" si="19"/>
        <v>113065.24873404867</v>
      </c>
      <c r="Z36" s="135">
        <f t="shared" si="19"/>
        <v>112561.33979967247</v>
      </c>
      <c r="AA36" s="135">
        <f t="shared" si="19"/>
        <v>111915.87077317009</v>
      </c>
      <c r="AB36" s="135">
        <f t="shared" si="19"/>
        <v>111141.49237644166</v>
      </c>
      <c r="AC36" s="135">
        <f t="shared" si="19"/>
        <v>109865.7350606035</v>
      </c>
      <c r="AD36" s="135">
        <f t="shared" si="19"/>
        <v>108251.53706652821</v>
      </c>
      <c r="AE36" s="135">
        <f t="shared" si="19"/>
        <v>105634.06042152579</v>
      </c>
      <c r="AF36" s="135">
        <f t="shared" si="19"/>
        <v>93781.309596027699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254163.03760981502</v>
      </c>
      <c r="I37" s="135">
        <f t="shared" si="20"/>
        <v>265361.63009854651</v>
      </c>
      <c r="J37" s="135">
        <f t="shared" si="20"/>
        <v>309201.66711694497</v>
      </c>
      <c r="K37" s="135">
        <f t="shared" si="20"/>
        <v>292577.72577564872</v>
      </c>
      <c r="L37" s="135">
        <f t="shared" si="20"/>
        <v>288591.44101088436</v>
      </c>
      <c r="M37" s="135">
        <f t="shared" si="20"/>
        <v>318879.09749130352</v>
      </c>
      <c r="N37" s="135">
        <f t="shared" si="20"/>
        <v>349685.52422965784</v>
      </c>
      <c r="O37" s="135">
        <f t="shared" si="20"/>
        <v>321023.75361044402</v>
      </c>
      <c r="P37" s="135">
        <f t="shared" si="20"/>
        <v>321269.28083595558</v>
      </c>
      <c r="Q37" s="135">
        <f t="shared" si="20"/>
        <v>321504.96960764122</v>
      </c>
      <c r="R37" s="135">
        <f t="shared" si="20"/>
        <v>321580.44072523812</v>
      </c>
      <c r="S37" s="135">
        <f t="shared" si="20"/>
        <v>321556.75715524121</v>
      </c>
      <c r="T37" s="135">
        <f t="shared" si="20"/>
        <v>321433.9157960462</v>
      </c>
      <c r="U37" s="135">
        <f t="shared" si="20"/>
        <v>321185.33493739739</v>
      </c>
      <c r="V37" s="135">
        <f t="shared" si="20"/>
        <v>320723.54023786256</v>
      </c>
      <c r="W37" s="135">
        <f t="shared" si="20"/>
        <v>320318.20603375486</v>
      </c>
      <c r="X37" s="135">
        <f t="shared" si="20"/>
        <v>319636.19584522169</v>
      </c>
      <c r="Y37" s="135">
        <f t="shared" si="20"/>
        <v>318663.12183512165</v>
      </c>
      <c r="Z37" s="135">
        <f t="shared" si="20"/>
        <v>317403.34949918115</v>
      </c>
      <c r="AA37" s="135">
        <f t="shared" si="20"/>
        <v>315789.67693292518</v>
      </c>
      <c r="AB37" s="135">
        <f t="shared" si="20"/>
        <v>313853.73094110412</v>
      </c>
      <c r="AC37" s="135">
        <f t="shared" si="20"/>
        <v>310664.33765150874</v>
      </c>
      <c r="AD37" s="135">
        <f t="shared" si="20"/>
        <v>306628.8426663205</v>
      </c>
      <c r="AE37" s="135">
        <f t="shared" si="20"/>
        <v>300085.15105381445</v>
      </c>
      <c r="AF37" s="135">
        <f t="shared" si="20"/>
        <v>270453.27399006922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2">D27</f>
        <v>725356.85352382285</v>
      </c>
      <c r="E45" s="1227">
        <f t="shared" si="22"/>
        <v>761828.63043885329</v>
      </c>
      <c r="F45" s="1227">
        <f t="shared" si="22"/>
        <v>885889.84541072126</v>
      </c>
      <c r="G45" s="1227">
        <f t="shared" si="22"/>
        <v>987003.66554251267</v>
      </c>
      <c r="H45" s="1227">
        <f t="shared" si="22"/>
        <v>1236097.9959341185</v>
      </c>
      <c r="I45" s="1227">
        <f t="shared" si="22"/>
        <v>1593813.2030140865</v>
      </c>
      <c r="J45" s="1227">
        <f t="shared" si="22"/>
        <v>1818859.3253650826</v>
      </c>
      <c r="K45" s="1227">
        <f t="shared" si="22"/>
        <v>1861532.7897913547</v>
      </c>
      <c r="L45" s="1227">
        <f t="shared" si="22"/>
        <v>1937214.5992484484</v>
      </c>
      <c r="M45" s="1227">
        <f t="shared" si="22"/>
        <v>2108354.1286981129</v>
      </c>
      <c r="N45" s="1227">
        <f t="shared" si="22"/>
        <v>2371238.0187895126</v>
      </c>
      <c r="O45" s="1227">
        <f t="shared" si="22"/>
        <v>2387313.7255066126</v>
      </c>
      <c r="P45" s="1227">
        <f t="shared" si="22"/>
        <v>2392318.5846293727</v>
      </c>
      <c r="Q45" s="1227">
        <f t="shared" si="22"/>
        <v>2397535.5118256239</v>
      </c>
      <c r="R45" s="1227">
        <f t="shared" si="22"/>
        <v>2402396.5132128205</v>
      </c>
      <c r="S45" s="1227">
        <f t="shared" si="22"/>
        <v>2406808.8327722712</v>
      </c>
      <c r="T45" s="1227">
        <f t="shared" si="22"/>
        <v>2411171.2176241172</v>
      </c>
      <c r="U45" s="1227">
        <f t="shared" si="22"/>
        <v>2415435.1236688667</v>
      </c>
      <c r="V45" s="1227">
        <f t="shared" si="22"/>
        <v>2419324.1952118305</v>
      </c>
      <c r="W45" s="1227">
        <f t="shared" si="22"/>
        <v>2424012.7337706136</v>
      </c>
      <c r="X45" s="1227">
        <f t="shared" si="22"/>
        <v>2428928.4434333849</v>
      </c>
      <c r="Y45" s="1227">
        <f t="shared" si="22"/>
        <v>2432465.9916120018</v>
      </c>
      <c r="Z45" s="1227">
        <f t="shared" si="22"/>
        <v>2435918.1528042592</v>
      </c>
      <c r="AA45" s="1227">
        <f t="shared" si="22"/>
        <v>2439369.9214979247</v>
      </c>
      <c r="AB45" s="1227">
        <f t="shared" si="22"/>
        <v>2443513.8882810678</v>
      </c>
      <c r="AC45" s="1227">
        <f t="shared" si="22"/>
        <v>2447954.7535607205</v>
      </c>
      <c r="AD45" s="1227">
        <f t="shared" si="22"/>
        <v>2451897.0248706797</v>
      </c>
      <c r="AE45" s="1227">
        <f t="shared" si="22"/>
        <v>2456255.6352967238</v>
      </c>
      <c r="AF45" s="1227">
        <f t="shared" si="22"/>
        <v>2459460.1287906123</v>
      </c>
      <c r="AG45" s="1229">
        <f>SUM(C45:AF45)</f>
        <v>60283721.893622242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5" si="23">SUM(C46:AF46)</f>
        <v>0</v>
      </c>
    </row>
    <row r="47" spans="2:34" s="205" customFormat="1" ht="21" customHeight="1">
      <c r="B47" s="468" t="s">
        <v>229</v>
      </c>
      <c r="C47" s="1212">
        <f t="shared" ref="C47:AF47" si="24">C48+C52</f>
        <v>-563262.22957299976</v>
      </c>
      <c r="D47" s="1212">
        <f t="shared" si="24"/>
        <v>-561656.73038045038</v>
      </c>
      <c r="E47" s="1212">
        <f t="shared" si="24"/>
        <v>-526558.43434490811</v>
      </c>
      <c r="F47" s="1212">
        <f t="shared" si="24"/>
        <v>-1656331.7371514337</v>
      </c>
      <c r="G47" s="1212">
        <f t="shared" si="24"/>
        <v>-950642.20464153343</v>
      </c>
      <c r="H47" s="1212">
        <f t="shared" si="24"/>
        <v>-7844694.7648898894</v>
      </c>
      <c r="I47" s="1212">
        <f t="shared" si="24"/>
        <v>-1512309.2253142786</v>
      </c>
      <c r="J47" s="1212">
        <f t="shared" si="24"/>
        <v>-2830877.3226910979</v>
      </c>
      <c r="K47" s="1212">
        <f t="shared" si="24"/>
        <v>-2330711.6258940576</v>
      </c>
      <c r="L47" s="1212">
        <f t="shared" si="24"/>
        <v>-1400902.4303345634</v>
      </c>
      <c r="M47" s="1212">
        <f t="shared" si="24"/>
        <v>-3095821.0522098383</v>
      </c>
      <c r="N47" s="1212">
        <f t="shared" si="24"/>
        <v>-2837222.518443529</v>
      </c>
      <c r="O47" s="1212">
        <f t="shared" si="24"/>
        <v>-513619.05866234039</v>
      </c>
      <c r="P47" s="1212">
        <f t="shared" si="24"/>
        <v>-513952.97568903619</v>
      </c>
      <c r="Q47" s="1212">
        <f t="shared" si="24"/>
        <v>-514273.51241852867</v>
      </c>
      <c r="R47" s="1212">
        <f t="shared" si="24"/>
        <v>-509088.15313846048</v>
      </c>
      <c r="S47" s="1212">
        <f t="shared" si="24"/>
        <v>-509055.94348326465</v>
      </c>
      <c r="T47" s="1212">
        <f t="shared" si="24"/>
        <v>-508888.87923475937</v>
      </c>
      <c r="U47" s="1212">
        <f t="shared" si="24"/>
        <v>-508550.80926699704</v>
      </c>
      <c r="V47" s="1212">
        <f t="shared" si="24"/>
        <v>-507922.76847562962</v>
      </c>
      <c r="W47" s="1212">
        <f t="shared" si="24"/>
        <v>-513066.51395804319</v>
      </c>
      <c r="X47" s="1212">
        <f t="shared" si="24"/>
        <v>-502783.98010163812</v>
      </c>
      <c r="Y47" s="1212">
        <f t="shared" si="24"/>
        <v>-501460.59944790206</v>
      </c>
      <c r="Z47" s="1212">
        <f t="shared" si="24"/>
        <v>-499747.3090710229</v>
      </c>
      <c r="AA47" s="1212">
        <f t="shared" si="24"/>
        <v>-497552.71438091481</v>
      </c>
      <c r="AB47" s="1212">
        <f t="shared" si="24"/>
        <v>-504274.82783203817</v>
      </c>
      <c r="AC47" s="1212">
        <f t="shared" si="24"/>
        <v>-491396.25295818842</v>
      </c>
      <c r="AD47" s="1212">
        <f t="shared" si="24"/>
        <v>-486721.9797783324</v>
      </c>
      <c r="AE47" s="1212">
        <f t="shared" si="24"/>
        <v>-479040.55918532424</v>
      </c>
      <c r="AF47" s="1228">
        <f t="shared" si="24"/>
        <v>-435903.70062322705</v>
      </c>
      <c r="AG47" s="1231">
        <f t="shared" si="23"/>
        <v>-35108290.813574232</v>
      </c>
    </row>
    <row r="48" spans="2:34" s="206" customFormat="1" ht="21" customHeight="1">
      <c r="B48" s="468" t="s">
        <v>230</v>
      </c>
      <c r="C48" s="1212">
        <f t="shared" ref="C48:AF48" si="25">SUM(C49:C51)</f>
        <v>-563262.22957299976</v>
      </c>
      <c r="D48" s="1212">
        <f t="shared" si="25"/>
        <v>-345639.16425320646</v>
      </c>
      <c r="E48" s="1212">
        <f t="shared" si="25"/>
        <v>-302337.51106105704</v>
      </c>
      <c r="F48" s="1212">
        <f t="shared" si="25"/>
        <v>-1393737.2138793978</v>
      </c>
      <c r="G48" s="1212">
        <f t="shared" si="25"/>
        <v>-671894.77686003456</v>
      </c>
      <c r="H48" s="1212">
        <f t="shared" si="25"/>
        <v>-7490393.033740541</v>
      </c>
      <c r="I48" s="1212">
        <f t="shared" si="25"/>
        <v>-1142777.4083802553</v>
      </c>
      <c r="J48" s="1212">
        <f t="shared" si="25"/>
        <v>-2401723.0554120527</v>
      </c>
      <c r="K48" s="1212">
        <f t="shared" si="25"/>
        <v>-1924165.9188391753</v>
      </c>
      <c r="L48" s="1212">
        <f t="shared" si="25"/>
        <v>-999778.07055976056</v>
      </c>
      <c r="M48" s="1212">
        <f t="shared" si="25"/>
        <v>-2653505.4796216656</v>
      </c>
      <c r="N48" s="1212">
        <f t="shared" si="25"/>
        <v>-2353010.2054911945</v>
      </c>
      <c r="O48" s="1212">
        <f t="shared" si="25"/>
        <v>-68386.753752136574</v>
      </c>
      <c r="P48" s="1212">
        <f t="shared" si="25"/>
        <v>-68386.753752136574</v>
      </c>
      <c r="Q48" s="1212">
        <f t="shared" si="25"/>
        <v>-68386.753752136574</v>
      </c>
      <c r="R48" s="1212">
        <f t="shared" si="25"/>
        <v>-63098.753752136574</v>
      </c>
      <c r="S48" s="1212">
        <f t="shared" si="25"/>
        <v>-63098.753752136574</v>
      </c>
      <c r="T48" s="1212">
        <f t="shared" si="25"/>
        <v>-63098.753752136574</v>
      </c>
      <c r="U48" s="1212">
        <f t="shared" si="25"/>
        <v>-63098.753752136574</v>
      </c>
      <c r="V48" s="1212">
        <f t="shared" si="25"/>
        <v>-63098.753752136574</v>
      </c>
      <c r="W48" s="1212">
        <f t="shared" si="25"/>
        <v>-68793.753752136574</v>
      </c>
      <c r="X48" s="1212">
        <f t="shared" si="25"/>
        <v>-59438.753752136574</v>
      </c>
      <c r="Y48" s="1212">
        <f t="shared" si="25"/>
        <v>-59438.753752136574</v>
      </c>
      <c r="Z48" s="1212">
        <f t="shared" si="25"/>
        <v>-59438.753752136574</v>
      </c>
      <c r="AA48" s="1212">
        <f t="shared" si="25"/>
        <v>-59438.753752136574</v>
      </c>
      <c r="AB48" s="1212">
        <f t="shared" si="25"/>
        <v>-68793.753752136574</v>
      </c>
      <c r="AC48" s="1212">
        <f t="shared" si="25"/>
        <v>-60252.753752136574</v>
      </c>
      <c r="AD48" s="1212">
        <f t="shared" si="25"/>
        <v>-61066.753752136574</v>
      </c>
      <c r="AE48" s="1212">
        <f t="shared" si="25"/>
        <v>-62284.753752136574</v>
      </c>
      <c r="AF48" s="1212">
        <f t="shared" si="25"/>
        <v>-59447.247996732927</v>
      </c>
      <c r="AG48" s="1231">
        <f t="shared" si="23"/>
        <v>-23381272.129454359</v>
      </c>
      <c r="AH48" s="207"/>
    </row>
    <row r="49" spans="2:34" s="206" customFormat="1" ht="21" customHeight="1">
      <c r="B49" s="1258" t="s">
        <v>231</v>
      </c>
      <c r="C49" s="1214">
        <f>'R1 FC'!C8</f>
        <v>-408428.3754822117</v>
      </c>
      <c r="D49" s="1214">
        <f>'R1 FC'!D8</f>
        <v>-329783.01199834509</v>
      </c>
      <c r="E49" s="1214">
        <f>'R1 FC'!E8</f>
        <v>-226602.31678867349</v>
      </c>
      <c r="F49" s="1214">
        <f>'R1 FC'!F8</f>
        <v>-1359859.3479073208</v>
      </c>
      <c r="G49" s="1222">
        <f>'R1 FC'!G8-'E5 CAPEX'!J120</f>
        <v>-392262.3403888006</v>
      </c>
      <c r="H49" s="1222">
        <f>'R1 FC'!H8-'E5 CAPEX'!K120</f>
        <v>-2219517.384454648</v>
      </c>
      <c r="I49" s="1222">
        <f>'R1 FC'!I8-'E5 CAPEX'!L120</f>
        <v>-99435.813516290713</v>
      </c>
      <c r="J49" s="1222">
        <f>'R1 FC'!J8-'E5 CAPEX'!M120</f>
        <v>-156630.89518321707</v>
      </c>
      <c r="K49" s="1214">
        <f>'R1 FC'!K8</f>
        <v>-14581.887780059598</v>
      </c>
      <c r="L49" s="1214">
        <f>'R1 FC'!L8</f>
        <v>-15189.887780059598</v>
      </c>
      <c r="M49" s="1214">
        <f>'R1 FC'!M8</f>
        <v>-14785.887780059598</v>
      </c>
      <c r="N49" s="1214">
        <f>'R1 FC'!N8</f>
        <v>-14275.887780059598</v>
      </c>
      <c r="O49" s="1214">
        <f>'R1 FC'!O8</f>
        <v>-14275.887780059598</v>
      </c>
      <c r="P49" s="1214">
        <f>'R1 FC'!P8</f>
        <v>-14275.887780059598</v>
      </c>
      <c r="Q49" s="1214">
        <f>'R1 FC'!Q8</f>
        <v>-14275.887780059598</v>
      </c>
      <c r="R49" s="1214">
        <f>'R1 FC'!R8</f>
        <v>-12851.887780059598</v>
      </c>
      <c r="S49" s="1214">
        <f>'R1 FC'!S8</f>
        <v>-12851.887780059598</v>
      </c>
      <c r="T49" s="1214">
        <f>'R1 FC'!T8</f>
        <v>-12851.887780059598</v>
      </c>
      <c r="U49" s="1214">
        <f>'R1 FC'!U8</f>
        <v>-12851.887780059598</v>
      </c>
      <c r="V49" s="1214">
        <f>'R1 FC'!V8</f>
        <v>-12851.887780059598</v>
      </c>
      <c r="W49" s="1214">
        <f>'R1 FC'!W8</f>
        <v>-14377.887780059598</v>
      </c>
      <c r="X49" s="1214">
        <f>'R1 FC'!X8</f>
        <v>-11835.887780059598</v>
      </c>
      <c r="Y49" s="1214">
        <f>'R1 FC'!Y8</f>
        <v>-11835.887780059598</v>
      </c>
      <c r="Z49" s="1214">
        <f>'R1 FC'!Z8</f>
        <v>-11835.887780059598</v>
      </c>
      <c r="AA49" s="1214">
        <f>'R1 FC'!AA8</f>
        <v>-11835.887780059598</v>
      </c>
      <c r="AB49" s="1214">
        <f>'R1 FC'!AB8</f>
        <v>-14377.887780059598</v>
      </c>
      <c r="AC49" s="1214">
        <f>'R1 FC'!AC8</f>
        <v>-12039.887780059598</v>
      </c>
      <c r="AD49" s="1214">
        <f>'R1 FC'!AD8</f>
        <v>-12243.887780059598</v>
      </c>
      <c r="AE49" s="1214">
        <f>'R1 FC'!AE8</f>
        <v>-12647.887780059598</v>
      </c>
      <c r="AF49" s="1214">
        <f>'R1 FC'!AF8</f>
        <v>-9773.2620246559418</v>
      </c>
      <c r="AG49" s="1231">
        <f t="shared" si="23"/>
        <v>-5481244.3911254248</v>
      </c>
    </row>
    <row r="50" spans="2:34" s="206" customFormat="1" ht="21" customHeight="1">
      <c r="B50" s="1258" t="s">
        <v>232</v>
      </c>
      <c r="C50" s="1214">
        <f>'R1 FC'!C9</f>
        <v>-37879.125589369905</v>
      </c>
      <c r="D50" s="1214">
        <f>'R1 FC'!D9</f>
        <v>-571.94869673148537</v>
      </c>
      <c r="E50" s="1214">
        <f>'R1 FC'!E9</f>
        <v>-9420.8028316306008</v>
      </c>
      <c r="F50" s="1214">
        <f>'R1 FC'!F9</f>
        <v>-816</v>
      </c>
      <c r="G50" s="1222">
        <f>'R1 FC'!G9-'E5 CAPEX'!J121</f>
        <v>-264774.07995946426</v>
      </c>
      <c r="H50" s="1222">
        <f>'R1 FC'!H9-'E5 CAPEX'!K121</f>
        <v>-5221610.1859909734</v>
      </c>
      <c r="I50" s="1222">
        <f>'R1 FC'!I9-'E5 CAPEX'!L121</f>
        <v>-1023067.6764175253</v>
      </c>
      <c r="J50" s="1222">
        <f>'R1 FC'!J9-'E5 CAPEX'!M121</f>
        <v>-2179670.1740695303</v>
      </c>
      <c r="K50" s="1214">
        <f>'R1 FC'!K9</f>
        <v>-1876522.1650870387</v>
      </c>
      <c r="L50" s="1214">
        <f>'R1 FC'!L9</f>
        <v>-951526.31680762395</v>
      </c>
      <c r="M50" s="1214">
        <f>'R1 FC'!M9</f>
        <v>-2605657.7258695289</v>
      </c>
      <c r="N50" s="1214">
        <f>'R1 FC'!N9</f>
        <v>-2305672.4517390579</v>
      </c>
      <c r="O50" s="1214">
        <f>'R1 FC'!O9</f>
        <v>-21049</v>
      </c>
      <c r="P50" s="1214">
        <f>'R1 FC'!P9</f>
        <v>-21049</v>
      </c>
      <c r="Q50" s="1214">
        <f>'R1 FC'!Q9</f>
        <v>-21049</v>
      </c>
      <c r="R50" s="1214">
        <f>'R1 FC'!R9</f>
        <v>-17185</v>
      </c>
      <c r="S50" s="1214">
        <f>'R1 FC'!S9</f>
        <v>-17185</v>
      </c>
      <c r="T50" s="1214">
        <f>'R1 FC'!T9</f>
        <v>-17185</v>
      </c>
      <c r="U50" s="1214">
        <f>'R1 FC'!U9</f>
        <v>-17185</v>
      </c>
      <c r="V50" s="1214">
        <f>'R1 FC'!V9</f>
        <v>-17185</v>
      </c>
      <c r="W50" s="1214">
        <f>'R1 FC'!W9</f>
        <v>-21354</v>
      </c>
      <c r="X50" s="1214">
        <f>'R1 FC'!X9</f>
        <v>-14541</v>
      </c>
      <c r="Y50" s="1214">
        <f>'R1 FC'!Y9</f>
        <v>-14541</v>
      </c>
      <c r="Z50" s="1214">
        <f>'R1 FC'!Z9</f>
        <v>-14541</v>
      </c>
      <c r="AA50" s="1214">
        <f>'R1 FC'!AA9</f>
        <v>-14541</v>
      </c>
      <c r="AB50" s="1214">
        <f>'R1 FC'!AB9</f>
        <v>-21354</v>
      </c>
      <c r="AC50" s="1214">
        <f>'R1 FC'!AC9</f>
        <v>-15151</v>
      </c>
      <c r="AD50" s="1214">
        <f>'R1 FC'!AD9</f>
        <v>-15761</v>
      </c>
      <c r="AE50" s="1214">
        <f>'R1 FC'!AE9</f>
        <v>-16575</v>
      </c>
      <c r="AF50" s="1214">
        <f>'R1 FC'!AF9</f>
        <v>-16612.120000000003</v>
      </c>
      <c r="AG50" s="1231">
        <f t="shared" si="23"/>
        <v>-16791231.773058474</v>
      </c>
    </row>
    <row r="51" spans="2:34" s="206" customFormat="1" ht="21" customHeight="1">
      <c r="B51" s="1258" t="s">
        <v>233</v>
      </c>
      <c r="C51" s="1214">
        <f>'R1 FC'!C10</f>
        <v>-116954.72850141811</v>
      </c>
      <c r="D51" s="1214">
        <f>'R1 FC'!D10</f>
        <v>-15284.203558129915</v>
      </c>
      <c r="E51" s="1214">
        <f>'R1 FC'!E10</f>
        <v>-66314.391440752952</v>
      </c>
      <c r="F51" s="1214">
        <f>'R1 FC'!F10</f>
        <v>-33061.865972076979</v>
      </c>
      <c r="G51" s="1222">
        <f>'R1 FC'!G10-'E5 CAPEX'!J122</f>
        <v>-14858.356511769754</v>
      </c>
      <c r="H51" s="1222">
        <f>'R1 FC'!H10-'E5 CAPEX'!K122</f>
        <v>-49265.463294919617</v>
      </c>
      <c r="I51" s="1222">
        <f>'R1 FC'!I10-'E5 CAPEX'!L122</f>
        <v>-20273.918446439355</v>
      </c>
      <c r="J51" s="1222">
        <f>'R1 FC'!J10-'E5 CAPEX'!M122</f>
        <v>-65421.986159305168</v>
      </c>
      <c r="K51" s="1214">
        <f>'R1 FC'!K10</f>
        <v>-33061.865972076979</v>
      </c>
      <c r="L51" s="1214">
        <f>'R1 FC'!L10</f>
        <v>-33061.865972076979</v>
      </c>
      <c r="M51" s="1214">
        <f>'R1 FC'!M10</f>
        <v>-33061.865972076979</v>
      </c>
      <c r="N51" s="1214">
        <f>'R1 FC'!N10</f>
        <v>-33061.865972076979</v>
      </c>
      <c r="O51" s="1214">
        <f>'R1 FC'!O10</f>
        <v>-33061.865972076979</v>
      </c>
      <c r="P51" s="1214">
        <f>'R1 FC'!P10</f>
        <v>-33061.865972076979</v>
      </c>
      <c r="Q51" s="1214">
        <f>'R1 FC'!Q10</f>
        <v>-33061.865972076979</v>
      </c>
      <c r="R51" s="1214">
        <f>'R1 FC'!R10</f>
        <v>-33061.865972076979</v>
      </c>
      <c r="S51" s="1214">
        <f>'R1 FC'!S10</f>
        <v>-33061.865972076979</v>
      </c>
      <c r="T51" s="1214">
        <f>'R1 FC'!T10</f>
        <v>-33061.865972076979</v>
      </c>
      <c r="U51" s="1214">
        <f>'R1 FC'!U10</f>
        <v>-33061.865972076979</v>
      </c>
      <c r="V51" s="1214">
        <f>'R1 FC'!V10</f>
        <v>-33061.865972076979</v>
      </c>
      <c r="W51" s="1214">
        <f>'R1 FC'!W10</f>
        <v>-33061.865972076979</v>
      </c>
      <c r="X51" s="1214">
        <f>'R1 FC'!X10</f>
        <v>-33061.865972076979</v>
      </c>
      <c r="Y51" s="1214">
        <f>'R1 FC'!Y10</f>
        <v>-33061.865972076979</v>
      </c>
      <c r="Z51" s="1214">
        <f>'R1 FC'!Z10</f>
        <v>-33061.865972076979</v>
      </c>
      <c r="AA51" s="1214">
        <f>'R1 FC'!AA10</f>
        <v>-33061.865972076979</v>
      </c>
      <c r="AB51" s="1214">
        <f>'R1 FC'!AB10</f>
        <v>-33061.865972076979</v>
      </c>
      <c r="AC51" s="1214">
        <f>'R1 FC'!AC10</f>
        <v>-33061.865972076979</v>
      </c>
      <c r="AD51" s="1214">
        <f>'R1 FC'!AD10</f>
        <v>-33061.865972076979</v>
      </c>
      <c r="AE51" s="1214">
        <f>'R1 FC'!AE10</f>
        <v>-33061.865972076979</v>
      </c>
      <c r="AF51" s="1214">
        <f>'R1 FC'!AF10</f>
        <v>-33061.865972076979</v>
      </c>
      <c r="AG51" s="1231">
        <f t="shared" si="23"/>
        <v>-1108795.965270506</v>
      </c>
    </row>
    <row r="52" spans="2:34" s="206" customFormat="1" ht="21" customHeight="1">
      <c r="B52" s="468" t="s">
        <v>234</v>
      </c>
      <c r="C52" s="1212">
        <f>C53+C54</f>
        <v>0</v>
      </c>
      <c r="D52" s="1212">
        <f t="shared" ref="D52:AF52" si="26">D53+D54</f>
        <v>-216017.56612724392</v>
      </c>
      <c r="E52" s="1212">
        <f t="shared" si="26"/>
        <v>-224220.92328385104</v>
      </c>
      <c r="F52" s="1212">
        <f t="shared" si="26"/>
        <v>-262594.52327203582</v>
      </c>
      <c r="G52" s="1212">
        <f t="shared" si="26"/>
        <v>-278747.42778149887</v>
      </c>
      <c r="H52" s="1212">
        <f t="shared" si="26"/>
        <v>-354301.73114934843</v>
      </c>
      <c r="I52" s="1212">
        <f t="shared" si="26"/>
        <v>-369531.81693402323</v>
      </c>
      <c r="J52" s="1212">
        <f t="shared" si="26"/>
        <v>-429154.26727904513</v>
      </c>
      <c r="K52" s="1212">
        <f t="shared" si="26"/>
        <v>-406545.70705488225</v>
      </c>
      <c r="L52" s="1212">
        <f t="shared" si="26"/>
        <v>-401124.3597748027</v>
      </c>
      <c r="M52" s="1212">
        <f t="shared" si="26"/>
        <v>-442315.5725881728</v>
      </c>
      <c r="N52" s="1212">
        <f t="shared" si="26"/>
        <v>-484212.31295233464</v>
      </c>
      <c r="O52" s="1212">
        <f t="shared" si="26"/>
        <v>-445232.30491020385</v>
      </c>
      <c r="P52" s="1212">
        <f t="shared" si="26"/>
        <v>-445566.22193689959</v>
      </c>
      <c r="Q52" s="1212">
        <f t="shared" si="26"/>
        <v>-445886.75866639207</v>
      </c>
      <c r="R52" s="1212">
        <f t="shared" si="26"/>
        <v>-445989.39938632387</v>
      </c>
      <c r="S52" s="1212">
        <f t="shared" si="26"/>
        <v>-445957.18973112805</v>
      </c>
      <c r="T52" s="1212">
        <f t="shared" si="26"/>
        <v>-445790.12548262283</v>
      </c>
      <c r="U52" s="1212">
        <f t="shared" si="26"/>
        <v>-445452.05551486043</v>
      </c>
      <c r="V52" s="1212">
        <f t="shared" si="26"/>
        <v>-444824.01472349308</v>
      </c>
      <c r="W52" s="1212">
        <f t="shared" si="26"/>
        <v>-444272.76020590658</v>
      </c>
      <c r="X52" s="1212">
        <f t="shared" si="26"/>
        <v>-443345.22634950152</v>
      </c>
      <c r="Y52" s="1212">
        <f t="shared" si="26"/>
        <v>-442021.84569576546</v>
      </c>
      <c r="Z52" s="1212">
        <f t="shared" si="26"/>
        <v>-440308.55531888636</v>
      </c>
      <c r="AA52" s="1212">
        <f t="shared" si="26"/>
        <v>-438113.96062877827</v>
      </c>
      <c r="AB52" s="1212">
        <f t="shared" si="26"/>
        <v>-435481.07407990162</v>
      </c>
      <c r="AC52" s="1212">
        <f t="shared" si="26"/>
        <v>-431143.49920605187</v>
      </c>
      <c r="AD52" s="1212">
        <f t="shared" si="26"/>
        <v>-425655.22602619586</v>
      </c>
      <c r="AE52" s="1212">
        <f t="shared" si="26"/>
        <v>-416755.80543318763</v>
      </c>
      <c r="AF52" s="1228">
        <f t="shared" si="26"/>
        <v>-376456.45262649411</v>
      </c>
      <c r="AG52" s="1231">
        <f t="shared" si="23"/>
        <v>-11727018.684119832</v>
      </c>
    </row>
    <row r="53" spans="2:34" s="206" customFormat="1" ht="21" customHeight="1">
      <c r="B53" s="469" t="s">
        <v>235</v>
      </c>
      <c r="C53" s="1214">
        <f>C31</f>
        <v>0</v>
      </c>
      <c r="D53" s="1214">
        <f t="shared" ref="D53:AF54" si="27">D31</f>
        <v>-152483.50450532642</v>
      </c>
      <c r="E53" s="1214">
        <f t="shared" si="27"/>
        <v>-158515.38476753753</v>
      </c>
      <c r="F53" s="1214">
        <f t="shared" si="27"/>
        <v>-186731.26711179104</v>
      </c>
      <c r="G53" s="1214">
        <f t="shared" si="27"/>
        <v>-198608.40278051386</v>
      </c>
      <c r="H53" s="1214">
        <f t="shared" si="27"/>
        <v>-254163.03760981502</v>
      </c>
      <c r="I53" s="1214">
        <f t="shared" si="27"/>
        <v>-265361.63009854651</v>
      </c>
      <c r="J53" s="1214">
        <f t="shared" si="27"/>
        <v>-309201.66711694497</v>
      </c>
      <c r="K53" s="1214">
        <f t="shared" si="27"/>
        <v>-292577.72577564872</v>
      </c>
      <c r="L53" s="1214">
        <f t="shared" si="27"/>
        <v>-288591.44101088436</v>
      </c>
      <c r="M53" s="1214">
        <f t="shared" si="27"/>
        <v>-318879.09749130352</v>
      </c>
      <c r="N53" s="1214">
        <f t="shared" si="27"/>
        <v>-349685.52422965784</v>
      </c>
      <c r="O53" s="1214">
        <f t="shared" si="27"/>
        <v>-321023.75361044402</v>
      </c>
      <c r="P53" s="1214">
        <f t="shared" si="27"/>
        <v>-321269.28083595558</v>
      </c>
      <c r="Q53" s="1214">
        <f t="shared" si="27"/>
        <v>-321504.96960764122</v>
      </c>
      <c r="R53" s="1214">
        <f t="shared" si="27"/>
        <v>-321580.44072523812</v>
      </c>
      <c r="S53" s="1214">
        <f t="shared" si="27"/>
        <v>-321556.75715524121</v>
      </c>
      <c r="T53" s="1214">
        <f t="shared" si="27"/>
        <v>-321433.9157960462</v>
      </c>
      <c r="U53" s="1214">
        <f t="shared" si="27"/>
        <v>-321185.33493739739</v>
      </c>
      <c r="V53" s="1214">
        <f t="shared" si="27"/>
        <v>-320723.54023786256</v>
      </c>
      <c r="W53" s="1214">
        <f t="shared" si="27"/>
        <v>-320318.20603375486</v>
      </c>
      <c r="X53" s="1214">
        <f t="shared" si="27"/>
        <v>-319636.19584522169</v>
      </c>
      <c r="Y53" s="1214">
        <f t="shared" si="27"/>
        <v>-318663.12183512165</v>
      </c>
      <c r="Z53" s="1214">
        <f t="shared" si="27"/>
        <v>-317403.34949918115</v>
      </c>
      <c r="AA53" s="1214">
        <f t="shared" si="27"/>
        <v>-315789.67693292518</v>
      </c>
      <c r="AB53" s="1214">
        <f t="shared" si="27"/>
        <v>-313853.73094110412</v>
      </c>
      <c r="AC53" s="1214">
        <f t="shared" si="27"/>
        <v>-310664.33765150874</v>
      </c>
      <c r="AD53" s="1214">
        <f t="shared" si="27"/>
        <v>-306628.8426663205</v>
      </c>
      <c r="AE53" s="1214">
        <f t="shared" si="27"/>
        <v>-300085.15105381445</v>
      </c>
      <c r="AF53" s="1214">
        <f t="shared" si="27"/>
        <v>-270453.27399006922</v>
      </c>
      <c r="AG53" s="1231">
        <f t="shared" si="23"/>
        <v>-8438572.5618528184</v>
      </c>
    </row>
    <row r="54" spans="2:34" s="206" customFormat="1" ht="21" customHeight="1" thickBot="1">
      <c r="B54" s="476" t="s">
        <v>236</v>
      </c>
      <c r="C54" s="1214">
        <f>C32</f>
        <v>0</v>
      </c>
      <c r="D54" s="1214">
        <f t="shared" si="27"/>
        <v>-63534.061621917506</v>
      </c>
      <c r="E54" s="1214">
        <f t="shared" si="27"/>
        <v>-65705.538516313507</v>
      </c>
      <c r="F54" s="1214">
        <f t="shared" si="27"/>
        <v>-75863.256160244768</v>
      </c>
      <c r="G54" s="1214">
        <f t="shared" si="27"/>
        <v>-80139.025000984999</v>
      </c>
      <c r="H54" s="1214">
        <f t="shared" si="27"/>
        <v>-100138.6935395334</v>
      </c>
      <c r="I54" s="1214">
        <f t="shared" si="27"/>
        <v>-104170.18683547674</v>
      </c>
      <c r="J54" s="1214">
        <f t="shared" si="27"/>
        <v>-119952.60016210018</v>
      </c>
      <c r="K54" s="1214">
        <f t="shared" si="27"/>
        <v>-113967.98127923354</v>
      </c>
      <c r="L54" s="1214">
        <f t="shared" si="27"/>
        <v>-112532.91876391837</v>
      </c>
      <c r="M54" s="1214">
        <f t="shared" si="27"/>
        <v>-123436.47509686927</v>
      </c>
      <c r="N54" s="1214">
        <f t="shared" si="27"/>
        <v>-134526.78872267681</v>
      </c>
      <c r="O54" s="1214">
        <f t="shared" si="27"/>
        <v>-124208.55129975984</v>
      </c>
      <c r="P54" s="1214">
        <f t="shared" si="27"/>
        <v>-124296.94110094401</v>
      </c>
      <c r="Q54" s="1214">
        <f t="shared" si="27"/>
        <v>-124381.78905875083</v>
      </c>
      <c r="R54" s="1214">
        <f t="shared" si="27"/>
        <v>-124408.95866108572</v>
      </c>
      <c r="S54" s="1214">
        <f t="shared" si="27"/>
        <v>-124400.43257588684</v>
      </c>
      <c r="T54" s="1214">
        <f t="shared" si="27"/>
        <v>-124356.20968657662</v>
      </c>
      <c r="U54" s="1214">
        <f t="shared" si="27"/>
        <v>-124266.72057746306</v>
      </c>
      <c r="V54" s="1214">
        <f t="shared" si="27"/>
        <v>-124100.47448563052</v>
      </c>
      <c r="W54" s="1214">
        <f t="shared" si="27"/>
        <v>-123954.55417215175</v>
      </c>
      <c r="X54" s="1214">
        <f t="shared" si="27"/>
        <v>-123709.0305042798</v>
      </c>
      <c r="Y54" s="1214">
        <f t="shared" si="27"/>
        <v>-123358.72386064379</v>
      </c>
      <c r="Z54" s="1214">
        <f t="shared" si="27"/>
        <v>-122905.20581970521</v>
      </c>
      <c r="AA54" s="1214">
        <f t="shared" si="27"/>
        <v>-122324.28369585307</v>
      </c>
      <c r="AB54" s="1214">
        <f t="shared" si="27"/>
        <v>-121627.34313879749</v>
      </c>
      <c r="AC54" s="1214">
        <f t="shared" si="27"/>
        <v>-120479.16155454314</v>
      </c>
      <c r="AD54" s="1214">
        <f t="shared" si="27"/>
        <v>-119026.38335987537</v>
      </c>
      <c r="AE54" s="1214">
        <f t="shared" si="27"/>
        <v>-116670.6543793732</v>
      </c>
      <c r="AF54" s="1214">
        <f t="shared" si="27"/>
        <v>-106003.17863642491</v>
      </c>
      <c r="AG54" s="1232">
        <f t="shared" si="23"/>
        <v>-3288446.1222670143</v>
      </c>
    </row>
    <row r="55" spans="2:34" s="206" customFormat="1" ht="21" customHeight="1" thickBot="1">
      <c r="B55" s="472" t="s">
        <v>237</v>
      </c>
      <c r="C55" s="1233">
        <f>C45+C47</f>
        <v>-218809.77007688157</v>
      </c>
      <c r="D55" s="1233">
        <f t="shared" ref="D55:AF55" si="28">D45+D47</f>
        <v>163700.12314337248</v>
      </c>
      <c r="E55" s="1233">
        <f t="shared" si="28"/>
        <v>235270.19609394518</v>
      </c>
      <c r="F55" s="1233">
        <f t="shared" si="28"/>
        <v>-770441.89174071245</v>
      </c>
      <c r="G55" s="1233">
        <f t="shared" si="28"/>
        <v>36361.460900979233</v>
      </c>
      <c r="H55" s="1233">
        <f t="shared" si="28"/>
        <v>-6608596.7689557709</v>
      </c>
      <c r="I55" s="1233">
        <f t="shared" si="28"/>
        <v>81503.977699807845</v>
      </c>
      <c r="J55" s="1233">
        <f t="shared" si="28"/>
        <v>-1012017.9973260153</v>
      </c>
      <c r="K55" s="1233">
        <f t="shared" si="28"/>
        <v>-469178.83610270289</v>
      </c>
      <c r="L55" s="1233">
        <f t="shared" si="28"/>
        <v>536312.16891388502</v>
      </c>
      <c r="M55" s="1233">
        <f t="shared" si="28"/>
        <v>-987466.92351172538</v>
      </c>
      <c r="N55" s="1233">
        <f t="shared" si="28"/>
        <v>-465984.49965401646</v>
      </c>
      <c r="O55" s="1233">
        <f t="shared" si="28"/>
        <v>1873694.6668442721</v>
      </c>
      <c r="P55" s="1233">
        <f t="shared" si="28"/>
        <v>1878365.6089403364</v>
      </c>
      <c r="Q55" s="1233">
        <f t="shared" si="28"/>
        <v>1883261.9994070954</v>
      </c>
      <c r="R55" s="1233">
        <f t="shared" si="28"/>
        <v>1893308.3600743599</v>
      </c>
      <c r="S55" s="1233">
        <f t="shared" si="28"/>
        <v>1897752.8892890066</v>
      </c>
      <c r="T55" s="1233">
        <f t="shared" si="28"/>
        <v>1902282.3383893578</v>
      </c>
      <c r="U55" s="1233">
        <f t="shared" si="28"/>
        <v>1906884.3144018697</v>
      </c>
      <c r="V55" s="1233">
        <f t="shared" si="28"/>
        <v>1911401.4267362009</v>
      </c>
      <c r="W55" s="1233">
        <f t="shared" si="28"/>
        <v>1910946.2198125704</v>
      </c>
      <c r="X55" s="1233">
        <f t="shared" si="28"/>
        <v>1926144.4633317469</v>
      </c>
      <c r="Y55" s="1233">
        <f t="shared" si="28"/>
        <v>1931005.3921640997</v>
      </c>
      <c r="Z55" s="1233">
        <f t="shared" si="28"/>
        <v>1936170.8437332362</v>
      </c>
      <c r="AA55" s="1233">
        <f t="shared" si="28"/>
        <v>1941817.2071170099</v>
      </c>
      <c r="AB55" s="1233">
        <f t="shared" si="28"/>
        <v>1939239.0604490298</v>
      </c>
      <c r="AC55" s="1233">
        <f t="shared" si="28"/>
        <v>1956558.5006025322</v>
      </c>
      <c r="AD55" s="1233">
        <f t="shared" si="28"/>
        <v>1965175.0450923473</v>
      </c>
      <c r="AE55" s="1233">
        <f t="shared" si="28"/>
        <v>1977215.0761113996</v>
      </c>
      <c r="AF55" s="1234">
        <f t="shared" si="28"/>
        <v>2023556.4281673853</v>
      </c>
      <c r="AG55" s="1235">
        <f t="shared" si="23"/>
        <v>25175431.080048017</v>
      </c>
      <c r="AH55" s="207"/>
    </row>
    <row r="56" spans="2:34" s="206" customFormat="1" ht="21" customHeight="1" thickBot="1">
      <c r="B56" s="472" t="s">
        <v>238</v>
      </c>
      <c r="C56" s="886">
        <f>IRR(C55:AF55)</f>
        <v>9.9150695240969311E-2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714</v>
      </c>
      <c r="C58" s="886">
        <v>0.1203</v>
      </c>
    </row>
    <row r="59" spans="2:34" ht="15" thickBot="1"/>
    <row r="60" spans="2:34" ht="15.75" thickBot="1">
      <c r="B60" s="472" t="s">
        <v>659</v>
      </c>
      <c r="C60" s="886">
        <f>C56-C58</f>
        <v>-2.1149304759030693E-2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13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0D4F-1CD6-46D7-A064-DEA18241E286}">
  <sheetPr>
    <tabColor theme="5"/>
  </sheetPr>
  <dimension ref="A2:AJ66"/>
  <sheetViews>
    <sheetView showGridLines="0" zoomScale="70" zoomScaleNormal="70" workbookViewId="0">
      <selection activeCell="D3" sqref="D3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790</v>
      </c>
      <c r="D2" s="1238" t="s">
        <v>713</v>
      </c>
    </row>
    <row r="3" spans="1:33" ht="23.25">
      <c r="B3" s="1236" t="s">
        <v>803</v>
      </c>
      <c r="D3" s="1239">
        <v>0.11341438423726441</v>
      </c>
      <c r="F3" s="1237"/>
    </row>
    <row r="5" spans="1:33">
      <c r="D5" s="1237">
        <f>C56</f>
        <v>0.12017021562794783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46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2">
        <f t="shared" si="0"/>
        <v>4535716.1270444393</v>
      </c>
      <c r="L9" s="1212">
        <f t="shared" si="0"/>
        <v>4641302.2987677846</v>
      </c>
      <c r="M9" s="1212">
        <f t="shared" si="0"/>
        <v>4860053.6028418001</v>
      </c>
      <c r="N9" s="1212">
        <f t="shared" si="0"/>
        <v>5191962.8403392686</v>
      </c>
      <c r="O9" s="1212">
        <f t="shared" si="0"/>
        <v>5194682.3126729494</v>
      </c>
      <c r="P9" s="1212">
        <f t="shared" si="0"/>
        <v>5202149.5129307453</v>
      </c>
      <c r="Q9" s="1212">
        <f t="shared" si="0"/>
        <v>5209616.7131885421</v>
      </c>
      <c r="R9" s="1212">
        <f t="shared" si="0"/>
        <v>5216461.6467581866</v>
      </c>
      <c r="S9" s="1212">
        <f t="shared" si="0"/>
        <v>5222684.3136396827</v>
      </c>
      <c r="T9" s="1212">
        <f t="shared" si="0"/>
        <v>5228906.9805211788</v>
      </c>
      <c r="U9" s="1212">
        <f t="shared" si="0"/>
        <v>5235129.647402673</v>
      </c>
      <c r="V9" s="1212">
        <f t="shared" si="0"/>
        <v>5240730.0475960216</v>
      </c>
      <c r="W9" s="1212">
        <f t="shared" si="0"/>
        <v>5247574.981165668</v>
      </c>
      <c r="X9" s="1212">
        <f t="shared" si="0"/>
        <v>5254419.9147353126</v>
      </c>
      <c r="Y9" s="1212">
        <f t="shared" si="0"/>
        <v>5259398.0482405098</v>
      </c>
      <c r="Z9" s="1212">
        <f t="shared" si="0"/>
        <v>5264376.1817457071</v>
      </c>
      <c r="AA9" s="1212">
        <f t="shared" si="0"/>
        <v>5269354.3152509034</v>
      </c>
      <c r="AB9" s="1212">
        <f t="shared" si="0"/>
        <v>5275576.9821324004</v>
      </c>
      <c r="AC9" s="1212">
        <f t="shared" si="0"/>
        <v>5281799.6490138946</v>
      </c>
      <c r="AD9" s="1212">
        <f t="shared" si="0"/>
        <v>5287400.0492072422</v>
      </c>
      <c r="AE9" s="1212">
        <f t="shared" si="0"/>
        <v>5293622.7160887383</v>
      </c>
      <c r="AF9" s="1212">
        <f t="shared" si="0"/>
        <v>5297978.582905787</v>
      </c>
      <c r="AG9" s="1213">
        <f t="shared" ref="AG9:AG17" si="1">SUM(C9:AF9)</f>
        <v>138356094.21236289</v>
      </c>
    </row>
    <row r="10" spans="1:33" ht="20.25" customHeight="1">
      <c r="B10" s="469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14">
        <f>(1+$D$3)*'R1 DRE'!K5</f>
        <v>2489970.4093616372</v>
      </c>
      <c r="L10" s="1214">
        <f>(1+$D$3)*'R1 DRE'!L5</f>
        <v>2484498.0568571407</v>
      </c>
      <c r="M10" s="1214">
        <f>(1+$D$3)*'R1 DRE'!M5</f>
        <v>2483690.335083277</v>
      </c>
      <c r="N10" s="1214">
        <f>(1+$D$3)*'R1 DRE'!N5</f>
        <v>2484920.4989945074</v>
      </c>
      <c r="O10" s="1214">
        <f>(1+$D$3)*'R1 DRE'!O5</f>
        <v>2483790.1522386158</v>
      </c>
      <c r="P10" s="1214">
        <f>(1+$D$3)*'R1 DRE'!P5</f>
        <v>2487360.5261996677</v>
      </c>
      <c r="Q10" s="1214">
        <f>(1+$D$3)*'R1 DRE'!Q5</f>
        <v>2490930.900160721</v>
      </c>
      <c r="R10" s="1214">
        <f>(1+$D$3)*'R1 DRE'!R5</f>
        <v>2494203.7429583515</v>
      </c>
      <c r="S10" s="1214">
        <f>(1+$D$3)*'R1 DRE'!S5</f>
        <v>2497179.0545925614</v>
      </c>
      <c r="T10" s="1214">
        <f>(1+$D$3)*'R1 DRE'!T5</f>
        <v>2500154.3662267718</v>
      </c>
      <c r="U10" s="1214">
        <f>(1+$D$3)*'R1 DRE'!U5</f>
        <v>2503129.6778609809</v>
      </c>
      <c r="V10" s="1214">
        <f>(1+$D$3)*'R1 DRE'!V5</f>
        <v>2505807.4583317712</v>
      </c>
      <c r="W10" s="1214">
        <f>(1+$D$3)*'R1 DRE'!W5</f>
        <v>2509080.3011294031</v>
      </c>
      <c r="X10" s="1214">
        <f>(1+$D$3)*'R1 DRE'!X5</f>
        <v>2512353.1439270326</v>
      </c>
      <c r="Y10" s="1214">
        <f>(1+$D$3)*'R1 DRE'!Y5</f>
        <v>2514733.3932344015</v>
      </c>
      <c r="Z10" s="1214">
        <f>(1+$D$3)*'R1 DRE'!Z5</f>
        <v>2517113.6425417699</v>
      </c>
      <c r="AA10" s="1214">
        <f>(1+$D$3)*'R1 DRE'!AA5</f>
        <v>2519493.8918491378</v>
      </c>
      <c r="AB10" s="1214">
        <f>(1+$D$3)*'R1 DRE'!AB5</f>
        <v>2522469.2034833482</v>
      </c>
      <c r="AC10" s="1214">
        <f>(1+$D$3)*'R1 DRE'!AC5</f>
        <v>2525444.5151175577</v>
      </c>
      <c r="AD10" s="1214">
        <f>(1+$D$3)*'R1 DRE'!AD5</f>
        <v>2528122.2955883467</v>
      </c>
      <c r="AE10" s="1214">
        <f>(1+$D$3)*'R1 DRE'!AE5</f>
        <v>2531097.6072225571</v>
      </c>
      <c r="AF10" s="1214">
        <f>(1+$D$3)*'R1 DRE'!AF5</f>
        <v>2533180.3253665045</v>
      </c>
      <c r="AG10" s="1213">
        <f t="shared" si="1"/>
        <v>70506621.341286361</v>
      </c>
    </row>
    <row r="11" spans="1:33" ht="20.25" customHeight="1">
      <c r="B11" s="469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14">
        <f>(1+$D$3)*'R1 DRE'!K6</f>
        <v>2000837.6372170164</v>
      </c>
      <c r="L11" s="1214">
        <f>(1+$D$3)*'R1 DRE'!L6</f>
        <v>2110850.7538040322</v>
      </c>
      <c r="M11" s="1214">
        <f>(1+$D$3)*'R1 DRE'!M6</f>
        <v>2328243.9251561291</v>
      </c>
      <c r="N11" s="1214">
        <f>(1+$D$3)*'R1 DRE'!N6</f>
        <v>2655636.7686681347</v>
      </c>
      <c r="O11" s="1214">
        <f>(1+$D$3)*'R1 DRE'!O6</f>
        <v>2659459.6622890569</v>
      </c>
      <c r="P11" s="1214">
        <f>(1+$D$3)*'R1 DRE'!P6</f>
        <v>2663282.5559099806</v>
      </c>
      <c r="Q11" s="1214">
        <f>(1+$D$3)*'R1 DRE'!Q6</f>
        <v>2667105.4495309046</v>
      </c>
      <c r="R11" s="1214">
        <f>(1+$D$3)*'R1 DRE'!R6</f>
        <v>2670609.7686834172</v>
      </c>
      <c r="S11" s="1214">
        <f>(1+$D$3)*'R1 DRE'!S6</f>
        <v>2673795.5133675202</v>
      </c>
      <c r="T11" s="1214">
        <f>(1+$D$3)*'R1 DRE'!T6</f>
        <v>2676981.2580516227</v>
      </c>
      <c r="U11" s="1214">
        <f>(1+$D$3)*'R1 DRE'!U6</f>
        <v>2680167.0027357251</v>
      </c>
      <c r="V11" s="1214">
        <f>(1+$D$3)*'R1 DRE'!V6</f>
        <v>2683034.1729514184</v>
      </c>
      <c r="W11" s="1214">
        <f>(1+$D$3)*'R1 DRE'!W6</f>
        <v>2686538.4921039324</v>
      </c>
      <c r="X11" s="1214">
        <f>(1+$D$3)*'R1 DRE'!X6</f>
        <v>2690042.811256445</v>
      </c>
      <c r="Y11" s="1214">
        <f>(1+$D$3)*'R1 DRE'!Y6</f>
        <v>2692591.4070037277</v>
      </c>
      <c r="Z11" s="1214">
        <f>(1+$D$3)*'R1 DRE'!Z6</f>
        <v>2695140.0027510095</v>
      </c>
      <c r="AA11" s="1214">
        <f>(1+$D$3)*'R1 DRE'!AA6</f>
        <v>2697688.5984982913</v>
      </c>
      <c r="AB11" s="1214">
        <f>(1+$D$3)*'R1 DRE'!AB6</f>
        <v>2700874.3431823952</v>
      </c>
      <c r="AC11" s="1214">
        <f>(1+$D$3)*'R1 DRE'!AC6</f>
        <v>2704060.0878664968</v>
      </c>
      <c r="AD11" s="1214">
        <f>(1+$D$3)*'R1 DRE'!AD6</f>
        <v>2706927.2580821896</v>
      </c>
      <c r="AE11" s="1214">
        <f>(1+$D$3)*'R1 DRE'!AE6</f>
        <v>2710113.002766293</v>
      </c>
      <c r="AF11" s="1214">
        <f>(1+$D$3)*'R1 DRE'!AF6</f>
        <v>2712343.0240451652</v>
      </c>
      <c r="AG11" s="1213">
        <f t="shared" si="1"/>
        <v>66430813.931344435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14">
        <f>(1+$D$3)*'R1 DRE'!K7</f>
        <v>44908.080465786537</v>
      </c>
      <c r="L12" s="1214">
        <f>(1+$D$3)*'R1 DRE'!L7</f>
        <v>45953.488106611723</v>
      </c>
      <c r="M12" s="1214">
        <f>(1+$D$3)*'R1 DRE'!M7</f>
        <v>48119.342602394063</v>
      </c>
      <c r="N12" s="1214">
        <f>(1+$D$3)*'R1 DRE'!N7</f>
        <v>51405.57267662642</v>
      </c>
      <c r="O12" s="1214">
        <f>(1+$D$3)*'R1 DRE'!O7</f>
        <v>51432.498145276724</v>
      </c>
      <c r="P12" s="1214">
        <f>(1+$D$3)*'R1 DRE'!P7</f>
        <v>51506.430821096488</v>
      </c>
      <c r="Q12" s="1214">
        <f>(1+$D$3)*'R1 DRE'!Q7</f>
        <v>51580.363496916259</v>
      </c>
      <c r="R12" s="1214">
        <f>(1+$D$3)*'R1 DRE'!R7</f>
        <v>51648.135116417681</v>
      </c>
      <c r="S12" s="1214">
        <f>(1+$D$3)*'R1 DRE'!S7</f>
        <v>51709.745679600812</v>
      </c>
      <c r="T12" s="1214">
        <f>(1+$D$3)*'R1 DRE'!T7</f>
        <v>51771.356242783942</v>
      </c>
      <c r="U12" s="1214">
        <f>(1+$D$3)*'R1 DRE'!U7</f>
        <v>51832.966805967058</v>
      </c>
      <c r="V12" s="1214">
        <f>(1+$D$3)*'R1 DRE'!V7</f>
        <v>51888.416312831891</v>
      </c>
      <c r="W12" s="1214">
        <f>(1+$D$3)*'R1 DRE'!W7</f>
        <v>51956.187932333356</v>
      </c>
      <c r="X12" s="1214">
        <f>(1+$D$3)*'R1 DRE'!X7</f>
        <v>52023.959551834778</v>
      </c>
      <c r="Y12" s="1214">
        <f>(1+$D$3)*'R1 DRE'!Y7</f>
        <v>52073.248002381297</v>
      </c>
      <c r="Z12" s="1214">
        <f>(1+$D$3)*'R1 DRE'!Z7</f>
        <v>52122.536452927794</v>
      </c>
      <c r="AA12" s="1214">
        <f>(1+$D$3)*'R1 DRE'!AA7</f>
        <v>52171.824903474298</v>
      </c>
      <c r="AB12" s="1214">
        <f>(1+$D$3)*'R1 DRE'!AB7</f>
        <v>52233.435466657429</v>
      </c>
      <c r="AC12" s="1214">
        <f>(1+$D$3)*'R1 DRE'!AC7</f>
        <v>52295.046029840538</v>
      </c>
      <c r="AD12" s="1214">
        <f>(1+$D$3)*'R1 DRE'!AD7</f>
        <v>52350.49553670537</v>
      </c>
      <c r="AE12" s="1214">
        <f>(1+$D$3)*'R1 DRE'!AE7</f>
        <v>52412.106099888515</v>
      </c>
      <c r="AF12" s="1214">
        <f>(1+$D$3)*'R1 DRE'!AF7</f>
        <v>52455.233494116706</v>
      </c>
      <c r="AG12" s="1213">
        <f t="shared" si="1"/>
        <v>1418658.9397320696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2">-SUM(D14:D15)</f>
        <v>-234617.19486967311</v>
      </c>
      <c r="E13" s="1212">
        <f t="shared" si="2"/>
        <v>-255067.11447188459</v>
      </c>
      <c r="F13" s="1212">
        <f t="shared" si="2"/>
        <v>-266470.53804765607</v>
      </c>
      <c r="G13" s="1212">
        <f t="shared" si="2"/>
        <v>-277240.35544356558</v>
      </c>
      <c r="H13" s="1212">
        <f t="shared" si="2"/>
        <v>-305292.86829691898</v>
      </c>
      <c r="I13" s="1212">
        <f t="shared" si="2"/>
        <v>-343021.62437981495</v>
      </c>
      <c r="J13" s="1212">
        <f t="shared" si="2"/>
        <v>-370742.7283114891</v>
      </c>
      <c r="K13" s="1212">
        <f t="shared" si="2"/>
        <v>-419553.74175161065</v>
      </c>
      <c r="L13" s="1212">
        <f t="shared" si="2"/>
        <v>-429320.46263602009</v>
      </c>
      <c r="M13" s="1212">
        <f t="shared" si="2"/>
        <v>-449554.95826286648</v>
      </c>
      <c r="N13" s="1212">
        <f t="shared" si="2"/>
        <v>-480256.56273138232</v>
      </c>
      <c r="O13" s="1212">
        <f t="shared" si="2"/>
        <v>-480508.11392224784</v>
      </c>
      <c r="P13" s="1212">
        <f t="shared" si="2"/>
        <v>-481198.8299460939</v>
      </c>
      <c r="Q13" s="1212">
        <f t="shared" si="2"/>
        <v>-481889.54596994014</v>
      </c>
      <c r="R13" s="1212">
        <f t="shared" si="2"/>
        <v>-482522.70232513221</v>
      </c>
      <c r="S13" s="1212">
        <f t="shared" si="2"/>
        <v>-483098.29901167064</v>
      </c>
      <c r="T13" s="1212">
        <f t="shared" si="2"/>
        <v>-483673.89569820906</v>
      </c>
      <c r="U13" s="1212">
        <f t="shared" si="2"/>
        <v>-484249.49238474725</v>
      </c>
      <c r="V13" s="1212">
        <f t="shared" si="2"/>
        <v>-484767.52940263198</v>
      </c>
      <c r="W13" s="1212">
        <f t="shared" si="2"/>
        <v>-485400.68575782428</v>
      </c>
      <c r="X13" s="1212">
        <f t="shared" si="2"/>
        <v>-486033.84211301641</v>
      </c>
      <c r="Y13" s="1212">
        <f t="shared" si="2"/>
        <v>-486494.31946224719</v>
      </c>
      <c r="Z13" s="1212">
        <f t="shared" si="2"/>
        <v>-486954.79681147792</v>
      </c>
      <c r="AA13" s="1212">
        <f t="shared" si="2"/>
        <v>-487415.27416070853</v>
      </c>
      <c r="AB13" s="1212">
        <f t="shared" si="2"/>
        <v>-487990.87084724708</v>
      </c>
      <c r="AC13" s="1212">
        <f t="shared" si="2"/>
        <v>-488566.46753378521</v>
      </c>
      <c r="AD13" s="1212">
        <f t="shared" si="2"/>
        <v>-489084.50455166987</v>
      </c>
      <c r="AE13" s="1212">
        <f t="shared" si="2"/>
        <v>-489660.10123820824</v>
      </c>
      <c r="AF13" s="1212">
        <f t="shared" si="2"/>
        <v>-490063.01891878527</v>
      </c>
      <c r="AG13" s="1213">
        <f t="shared" si="1"/>
        <v>-12750132.404299248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3">0.076*G9</f>
        <v>227786.67041849715</v>
      </c>
      <c r="H14" s="1214">
        <f t="shared" si="3"/>
        <v>250835.22151963072</v>
      </c>
      <c r="I14" s="1214">
        <f t="shared" si="3"/>
        <v>281833.98327422631</v>
      </c>
      <c r="J14" s="1214">
        <f t="shared" si="3"/>
        <v>304610.24163970997</v>
      </c>
      <c r="K14" s="1214">
        <f t="shared" si="3"/>
        <v>344714.42565537739</v>
      </c>
      <c r="L14" s="1214">
        <f t="shared" si="3"/>
        <v>352738.97470635164</v>
      </c>
      <c r="M14" s="1214">
        <f t="shared" si="3"/>
        <v>369364.07381597679</v>
      </c>
      <c r="N14" s="1214">
        <f t="shared" si="3"/>
        <v>394589.1758657844</v>
      </c>
      <c r="O14" s="1214">
        <f t="shared" si="3"/>
        <v>394795.85576314415</v>
      </c>
      <c r="P14" s="1214">
        <f t="shared" si="3"/>
        <v>395363.36298273661</v>
      </c>
      <c r="Q14" s="1214">
        <f t="shared" si="3"/>
        <v>395930.87020232918</v>
      </c>
      <c r="R14" s="1214">
        <f t="shared" si="3"/>
        <v>396451.08515362215</v>
      </c>
      <c r="S14" s="1214">
        <f t="shared" si="3"/>
        <v>396924.0078366159</v>
      </c>
      <c r="T14" s="1214">
        <f t="shared" si="3"/>
        <v>397396.9305196096</v>
      </c>
      <c r="U14" s="1214">
        <f t="shared" si="3"/>
        <v>397869.85320260312</v>
      </c>
      <c r="V14" s="1214">
        <f t="shared" si="3"/>
        <v>398295.48361729761</v>
      </c>
      <c r="W14" s="1214">
        <f t="shared" si="3"/>
        <v>398815.69856859074</v>
      </c>
      <c r="X14" s="1214">
        <f t="shared" si="3"/>
        <v>399335.91351988376</v>
      </c>
      <c r="Y14" s="1214">
        <f t="shared" si="3"/>
        <v>399714.25166627875</v>
      </c>
      <c r="Z14" s="1214">
        <f t="shared" si="3"/>
        <v>400092.58981267374</v>
      </c>
      <c r="AA14" s="1214">
        <f t="shared" si="3"/>
        <v>400470.92795906862</v>
      </c>
      <c r="AB14" s="1214">
        <f t="shared" si="3"/>
        <v>400943.85064206243</v>
      </c>
      <c r="AC14" s="1214">
        <f t="shared" si="3"/>
        <v>401416.77332505595</v>
      </c>
      <c r="AD14" s="1214">
        <f t="shared" si="3"/>
        <v>401842.40373975039</v>
      </c>
      <c r="AE14" s="1214">
        <f t="shared" si="3"/>
        <v>402315.32642274408</v>
      </c>
      <c r="AF14" s="1214">
        <f t="shared" si="3"/>
        <v>402646.37230083981</v>
      </c>
      <c r="AG14" s="1213">
        <f t="shared" si="1"/>
        <v>10475792.540802972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4">0.0165*G9</f>
        <v>49453.685025068458</v>
      </c>
      <c r="H15" s="1214">
        <f t="shared" si="4"/>
        <v>54457.646777288253</v>
      </c>
      <c r="I15" s="1214">
        <f t="shared" si="4"/>
        <v>61187.641105588613</v>
      </c>
      <c r="J15" s="1214">
        <f t="shared" si="4"/>
        <v>66132.486671779145</v>
      </c>
      <c r="K15" s="1214">
        <f t="shared" si="4"/>
        <v>74839.316096233248</v>
      </c>
      <c r="L15" s="1214">
        <f t="shared" si="4"/>
        <v>76581.487929668452</v>
      </c>
      <c r="M15" s="1214">
        <f t="shared" si="4"/>
        <v>80190.8844468897</v>
      </c>
      <c r="N15" s="1214">
        <f t="shared" si="4"/>
        <v>85667.386865597931</v>
      </c>
      <c r="O15" s="1214">
        <f t="shared" si="4"/>
        <v>85712.258159103672</v>
      </c>
      <c r="P15" s="1214">
        <f t="shared" si="4"/>
        <v>85835.466963357307</v>
      </c>
      <c r="Q15" s="1214">
        <f t="shared" si="4"/>
        <v>85958.675767610941</v>
      </c>
      <c r="R15" s="1214">
        <f t="shared" si="4"/>
        <v>86071.617171510079</v>
      </c>
      <c r="S15" s="1214">
        <f t="shared" si="4"/>
        <v>86174.291175054765</v>
      </c>
      <c r="T15" s="1214">
        <f t="shared" si="4"/>
        <v>86276.96517859945</v>
      </c>
      <c r="U15" s="1214">
        <f t="shared" si="4"/>
        <v>86379.639182144107</v>
      </c>
      <c r="V15" s="1214">
        <f t="shared" si="4"/>
        <v>86472.045785334354</v>
      </c>
      <c r="W15" s="1214">
        <f t="shared" si="4"/>
        <v>86584.987189233521</v>
      </c>
      <c r="X15" s="1214">
        <f t="shared" si="4"/>
        <v>86697.928593132659</v>
      </c>
      <c r="Y15" s="1214">
        <f t="shared" si="4"/>
        <v>86780.067795968411</v>
      </c>
      <c r="Z15" s="1214">
        <f t="shared" si="4"/>
        <v>86862.206998804177</v>
      </c>
      <c r="AA15" s="1214">
        <f t="shared" si="4"/>
        <v>86944.346201639913</v>
      </c>
      <c r="AB15" s="1214">
        <f t="shared" si="4"/>
        <v>87047.020205184614</v>
      </c>
      <c r="AC15" s="1214">
        <f t="shared" si="4"/>
        <v>87149.69420872927</v>
      </c>
      <c r="AD15" s="1214">
        <f t="shared" si="4"/>
        <v>87242.100811919503</v>
      </c>
      <c r="AE15" s="1214">
        <f t="shared" si="4"/>
        <v>87344.774815464189</v>
      </c>
      <c r="AF15" s="1214">
        <f t="shared" si="4"/>
        <v>87416.646617945487</v>
      </c>
      <c r="AG15" s="1213">
        <f t="shared" si="1"/>
        <v>2274339.86349627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1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5">D9+D13+D16</f>
        <v>2348736.4306745757</v>
      </c>
      <c r="E17" s="1212">
        <f t="shared" si="5"/>
        <v>2607846.6711710477</v>
      </c>
      <c r="F17" s="1212">
        <f t="shared" si="5"/>
        <v>2673176.6493209945</v>
      </c>
      <c r="G17" s="1212">
        <f t="shared" si="5"/>
        <v>2744549.5840927921</v>
      </c>
      <c r="H17" s="1212">
        <f t="shared" si="5"/>
        <v>3009978.9826078052</v>
      </c>
      <c r="I17" s="1212">
        <f t="shared" si="5"/>
        <v>3344926.3386004027</v>
      </c>
      <c r="J17" s="1212">
        <f t="shared" si="5"/>
        <v>3622302.386444245</v>
      </c>
      <c r="K17" s="1212">
        <f t="shared" si="5"/>
        <v>4112878.8623021692</v>
      </c>
      <c r="L17" s="1212">
        <f t="shared" si="5"/>
        <v>4207240.2873778529</v>
      </c>
      <c r="M17" s="1212">
        <f t="shared" si="5"/>
        <v>4400675.1993652331</v>
      </c>
      <c r="N17" s="1212">
        <f t="shared" si="5"/>
        <v>4696801.2592159761</v>
      </c>
      <c r="O17" s="1212">
        <f t="shared" si="5"/>
        <v>4714052.0756502561</v>
      </c>
      <c r="P17" s="1212">
        <f t="shared" si="5"/>
        <v>4720615.354091675</v>
      </c>
      <c r="Q17" s="1212">
        <f t="shared" si="5"/>
        <v>4727391.8383256262</v>
      </c>
      <c r="R17" s="1212">
        <f t="shared" si="5"/>
        <v>4733631.5596144935</v>
      </c>
      <c r="S17" s="1212">
        <f t="shared" si="5"/>
        <v>4739306.573883865</v>
      </c>
      <c r="T17" s="1212">
        <f t="shared" si="5"/>
        <v>4744953.6440788228</v>
      </c>
      <c r="U17" s="1212">
        <f t="shared" si="5"/>
        <v>4750600.7142737787</v>
      </c>
      <c r="V17" s="1212">
        <f t="shared" si="5"/>
        <v>4755711.0215236573</v>
      </c>
      <c r="W17" s="1212">
        <f t="shared" si="5"/>
        <v>4761866.9105892824</v>
      </c>
      <c r="X17" s="1212">
        <f t="shared" si="5"/>
        <v>4768078.687803735</v>
      </c>
      <c r="Y17" s="1212">
        <f t="shared" si="5"/>
        <v>4772680.1761829453</v>
      </c>
      <c r="Z17" s="1212">
        <f t="shared" si="5"/>
        <v>4777197.8323389115</v>
      </c>
      <c r="AA17" s="1212">
        <f t="shared" si="5"/>
        <v>4781715.4884948777</v>
      </c>
      <c r="AB17" s="1212">
        <f t="shared" si="5"/>
        <v>4787306.6705410071</v>
      </c>
      <c r="AC17" s="1212">
        <f t="shared" si="5"/>
        <v>4792953.7407359639</v>
      </c>
      <c r="AD17" s="1212">
        <f t="shared" si="5"/>
        <v>4798064.0479858406</v>
      </c>
      <c r="AE17" s="1212">
        <f t="shared" si="5"/>
        <v>4803683.1741063837</v>
      </c>
      <c r="AF17" s="1212">
        <f t="shared" si="5"/>
        <v>4807719.9554660991</v>
      </c>
      <c r="AG17" s="1213">
        <f t="shared" si="1"/>
        <v>125389713.3360824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6">D19+D20</f>
        <v>-369565.70052795502</v>
      </c>
      <c r="E18" s="1212">
        <f t="shared" si="6"/>
        <v>-372990.80023137957</v>
      </c>
      <c r="F18" s="1212">
        <f t="shared" si="6"/>
        <v>-365825.26800000004</v>
      </c>
      <c r="G18" s="1212">
        <f t="shared" si="6"/>
        <v>-364530.62316929037</v>
      </c>
      <c r="H18" s="1212">
        <f t="shared" si="6"/>
        <v>-386664.99739602057</v>
      </c>
      <c r="I18" s="1212">
        <f t="shared" si="6"/>
        <v>-368051.52738592168</v>
      </c>
      <c r="J18" s="1212">
        <f t="shared" si="6"/>
        <v>-369563.79094887548</v>
      </c>
      <c r="K18" s="1212">
        <f t="shared" si="6"/>
        <v>-374710.74257447</v>
      </c>
      <c r="L18" s="1212">
        <f t="shared" si="6"/>
        <v>-362395.04255699547</v>
      </c>
      <c r="M18" s="1212">
        <f t="shared" si="6"/>
        <v>-362481.33999999997</v>
      </c>
      <c r="N18" s="1212">
        <f t="shared" si="6"/>
        <v>-362490.34070234851</v>
      </c>
      <c r="O18" s="1212">
        <f t="shared" si="6"/>
        <v>-362536.99326174881</v>
      </c>
      <c r="P18" s="1212">
        <f t="shared" si="6"/>
        <v>-362583.70954566193</v>
      </c>
      <c r="Q18" s="1212">
        <f t="shared" si="6"/>
        <v>-362630.4975196523</v>
      </c>
      <c r="R18" s="1212">
        <f t="shared" si="6"/>
        <v>-362696.54000000004</v>
      </c>
      <c r="S18" s="1212">
        <f t="shared" si="6"/>
        <v>-362712.66594447545</v>
      </c>
      <c r="T18" s="1212">
        <f t="shared" si="6"/>
        <v>-362751.99800359353</v>
      </c>
      <c r="U18" s="1212">
        <f t="shared" si="6"/>
        <v>-362789.80886980717</v>
      </c>
      <c r="V18" s="1212">
        <f t="shared" si="6"/>
        <v>-362825.60956597811</v>
      </c>
      <c r="W18" s="1212">
        <f t="shared" si="6"/>
        <v>-362857.98</v>
      </c>
      <c r="X18" s="1212">
        <f t="shared" si="6"/>
        <v>-362911.24421609647</v>
      </c>
      <c r="Y18" s="1212">
        <f t="shared" si="6"/>
        <v>-362943.6906476072</v>
      </c>
      <c r="Z18" s="1212">
        <f t="shared" si="6"/>
        <v>-362978.11100334622</v>
      </c>
      <c r="AA18" s="1212">
        <f t="shared" si="6"/>
        <v>-363012.92385767959</v>
      </c>
      <c r="AB18" s="1212">
        <f t="shared" si="6"/>
        <v>-363097.00400000002</v>
      </c>
      <c r="AC18" s="1212">
        <f t="shared" si="6"/>
        <v>-363097.00762754027</v>
      </c>
      <c r="AD18" s="1212">
        <f t="shared" si="6"/>
        <v>-363135.18987865513</v>
      </c>
      <c r="AE18" s="1212">
        <f t="shared" si="6"/>
        <v>-363180.18092086643</v>
      </c>
      <c r="AF18" s="1212">
        <f t="shared" si="6"/>
        <v>-363220.56991323736</v>
      </c>
      <c r="AG18" s="1213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14">
        <f>'R1 DRE'!K14</f>
        <v>-222919.5</v>
      </c>
      <c r="L19" s="1214">
        <f>'R1 DRE'!L14</f>
        <v>-222919.5</v>
      </c>
      <c r="M19" s="1214">
        <f>'R1 DRE'!M14</f>
        <v>-222919.5</v>
      </c>
      <c r="N19" s="1214">
        <f>'R1 DRE'!N14</f>
        <v>-222919.5</v>
      </c>
      <c r="O19" s="1214">
        <f>'R1 DRE'!O14</f>
        <v>-222919.5</v>
      </c>
      <c r="P19" s="1214">
        <f>'R1 DRE'!P14</f>
        <v>-222919.5</v>
      </c>
      <c r="Q19" s="1214">
        <f>'R1 DRE'!Q14</f>
        <v>-222919.5</v>
      </c>
      <c r="R19" s="1214">
        <f>'R1 DRE'!R14</f>
        <v>-222919.5</v>
      </c>
      <c r="S19" s="1214">
        <f>'R1 DRE'!S14</f>
        <v>-222919.5</v>
      </c>
      <c r="T19" s="1214">
        <f>'R1 DRE'!T14</f>
        <v>-222919.5</v>
      </c>
      <c r="U19" s="1214">
        <f>'R1 DRE'!U14</f>
        <v>-222919.5</v>
      </c>
      <c r="V19" s="1214">
        <f>'R1 DRE'!V14</f>
        <v>-222919.5</v>
      </c>
      <c r="W19" s="1214">
        <f>'R1 DRE'!W14</f>
        <v>-222919.5</v>
      </c>
      <c r="X19" s="1214">
        <f>'R1 DRE'!X14</f>
        <v>-222919.5</v>
      </c>
      <c r="Y19" s="1214">
        <f>'R1 DRE'!Y14</f>
        <v>-222919.5</v>
      </c>
      <c r="Z19" s="1214">
        <f>'R1 DRE'!Z14</f>
        <v>-222919.5</v>
      </c>
      <c r="AA19" s="1214">
        <f>'R1 DRE'!AA14</f>
        <v>-222919.5</v>
      </c>
      <c r="AB19" s="1214">
        <f>'R1 DRE'!AB14</f>
        <v>-222919.5</v>
      </c>
      <c r="AC19" s="1214">
        <f>'R1 DRE'!AC14</f>
        <v>-222919.5</v>
      </c>
      <c r="AD19" s="1214">
        <f>'R1 DRE'!AD14</f>
        <v>-222919.5</v>
      </c>
      <c r="AE19" s="1214">
        <f>'R1 DRE'!AE14</f>
        <v>-222919.5</v>
      </c>
      <c r="AF19" s="1214">
        <f>'R1 DRE'!AF14</f>
        <v>-222919.5</v>
      </c>
      <c r="AG19" s="1215">
        <f t="shared" si="7"/>
        <v>-6687585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14">
        <f>'R1 DRE'!K15</f>
        <v>-151791.24257447</v>
      </c>
      <c r="L20" s="1214">
        <f>'R1 DRE'!L15</f>
        <v>-139475.54255699547</v>
      </c>
      <c r="M20" s="1214">
        <f>'R1 DRE'!M15</f>
        <v>-139561.84</v>
      </c>
      <c r="N20" s="1214">
        <f>'R1 DRE'!N15</f>
        <v>-139570.84070234848</v>
      </c>
      <c r="O20" s="1214">
        <f>'R1 DRE'!O15</f>
        <v>-139617.49326174878</v>
      </c>
      <c r="P20" s="1214">
        <f>'R1 DRE'!P15</f>
        <v>-139664.20954566196</v>
      </c>
      <c r="Q20" s="1214">
        <f>'R1 DRE'!Q15</f>
        <v>-139710.9975196523</v>
      </c>
      <c r="R20" s="1214">
        <f>'R1 DRE'!R15</f>
        <v>-139777.04</v>
      </c>
      <c r="S20" s="1214">
        <f>'R1 DRE'!S15</f>
        <v>-139793.16594447548</v>
      </c>
      <c r="T20" s="1214">
        <f>'R1 DRE'!T15</f>
        <v>-139832.49800359353</v>
      </c>
      <c r="U20" s="1214">
        <f>'R1 DRE'!U15</f>
        <v>-139870.30886980714</v>
      </c>
      <c r="V20" s="1214">
        <f>'R1 DRE'!V15</f>
        <v>-139906.10956597811</v>
      </c>
      <c r="W20" s="1214">
        <f>'R1 DRE'!W15</f>
        <v>-139938.48000000001</v>
      </c>
      <c r="X20" s="1214">
        <f>'R1 DRE'!X15</f>
        <v>-139991.74421609644</v>
      </c>
      <c r="Y20" s="1214">
        <f>'R1 DRE'!Y15</f>
        <v>-140024.19064760717</v>
      </c>
      <c r="Z20" s="1214">
        <f>'R1 DRE'!Z15</f>
        <v>-140058.61100334622</v>
      </c>
      <c r="AA20" s="1214">
        <f>'R1 DRE'!AA15</f>
        <v>-140093.42385767962</v>
      </c>
      <c r="AB20" s="1214">
        <f>'R1 DRE'!AB15</f>
        <v>-140177.50400000002</v>
      </c>
      <c r="AC20" s="1214">
        <f>'R1 DRE'!AC15</f>
        <v>-140177.5076275403</v>
      </c>
      <c r="AD20" s="1214">
        <f>'R1 DRE'!AD15</f>
        <v>-140215.68987865516</v>
      </c>
      <c r="AE20" s="1214">
        <f>'R1 DRE'!AE15</f>
        <v>-140260.68092086641</v>
      </c>
      <c r="AF20" s="1214">
        <f>'R1 DRE'!AF15</f>
        <v>-140301.06991323733</v>
      </c>
      <c r="AG20" s="1215">
        <f t="shared" si="7"/>
        <v>-4365715.761531245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8">D22+D23+D24+D25</f>
        <v>-1230326.5123160521</v>
      </c>
      <c r="E21" s="1212">
        <f t="shared" si="8"/>
        <v>-1446948.7737891045</v>
      </c>
      <c r="F21" s="1212">
        <f t="shared" si="8"/>
        <v>-1394729.7694170631</v>
      </c>
      <c r="G21" s="1212">
        <f t="shared" si="8"/>
        <v>-1372431.1735002932</v>
      </c>
      <c r="H21" s="1212">
        <f t="shared" si="8"/>
        <v>-1372166.094364627</v>
      </c>
      <c r="I21" s="1212">
        <f t="shared" si="8"/>
        <v>-1366336.9765073925</v>
      </c>
      <c r="J21" s="1212">
        <f t="shared" si="8"/>
        <v>-1415767.7581980655</v>
      </c>
      <c r="K21" s="1212">
        <f t="shared" si="8"/>
        <v>-1438887.6579406383</v>
      </c>
      <c r="L21" s="1212">
        <f t="shared" si="8"/>
        <v>-1459699.627200658</v>
      </c>
      <c r="M21" s="1212">
        <f t="shared" si="8"/>
        <v>-1460821.3663060188</v>
      </c>
      <c r="N21" s="1212">
        <f t="shared" si="8"/>
        <v>-1462045.7635940488</v>
      </c>
      <c r="O21" s="1212">
        <f t="shared" si="8"/>
        <v>-1462837.8367342837</v>
      </c>
      <c r="P21" s="1212">
        <f t="shared" si="8"/>
        <v>-1463629.9098745186</v>
      </c>
      <c r="Q21" s="1212">
        <f t="shared" si="8"/>
        <v>-1464421.9830147536</v>
      </c>
      <c r="R21" s="1212">
        <f t="shared" si="8"/>
        <v>-1465073.8827858537</v>
      </c>
      <c r="S21" s="1212">
        <f t="shared" si="8"/>
        <v>-1465719.7318946985</v>
      </c>
      <c r="T21" s="1212">
        <f t="shared" si="8"/>
        <v>-1466364.5052424648</v>
      </c>
      <c r="U21" s="1212">
        <f t="shared" si="8"/>
        <v>-1467109.2785902307</v>
      </c>
      <c r="V21" s="1212">
        <f t="shared" si="8"/>
        <v>-1467754.0519379969</v>
      </c>
      <c r="W21" s="1212">
        <f t="shared" si="8"/>
        <v>-1468528.6735217113</v>
      </c>
      <c r="X21" s="1212">
        <f t="shared" si="8"/>
        <v>-1469110.8389274431</v>
      </c>
      <c r="Y21" s="1212">
        <f t="shared" si="8"/>
        <v>-1469661.4495864294</v>
      </c>
      <c r="Z21" s="1212">
        <f t="shared" si="8"/>
        <v>-1470212.0602454157</v>
      </c>
      <c r="AA21" s="1212">
        <f t="shared" si="8"/>
        <v>-1470762.6709044017</v>
      </c>
      <c r="AB21" s="1212">
        <f t="shared" si="8"/>
        <v>-1471525.5055295818</v>
      </c>
      <c r="AC21" s="1212">
        <f t="shared" si="8"/>
        <v>-1472131.1268811177</v>
      </c>
      <c r="AD21" s="1212">
        <f t="shared" si="8"/>
        <v>-1472720.3189069431</v>
      </c>
      <c r="AE21" s="1212">
        <f t="shared" si="8"/>
        <v>-1473335.4033433762</v>
      </c>
      <c r="AF21" s="1212">
        <f t="shared" si="8"/>
        <v>-1473706.477100356</v>
      </c>
      <c r="AG21" s="1213">
        <f t="shared" si="7"/>
        <v>-42912486.362427264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14">
        <f>'R1 DRE'!K17</f>
        <v>-483412.18706838228</v>
      </c>
      <c r="L22" s="1214">
        <f>'R1 DRE'!L17</f>
        <v>-489442.6019993478</v>
      </c>
      <c r="M22" s="1214">
        <f>'R1 DRE'!M17</f>
        <v>-490208.95603734476</v>
      </c>
      <c r="N22" s="1214">
        <f>'R1 DRE'!N17</f>
        <v>-490920.5570620927</v>
      </c>
      <c r="O22" s="1214">
        <f>'R1 DRE'!O17</f>
        <v>-491624.76348001952</v>
      </c>
      <c r="P22" s="1214">
        <f>'R1 DRE'!P17</f>
        <v>-492328.96989794611</v>
      </c>
      <c r="Q22" s="1214">
        <f>'R1 DRE'!Q17</f>
        <v>-493033.1763158727</v>
      </c>
      <c r="R22" s="1214">
        <f>'R1 DRE'!R17</f>
        <v>-493612.01936735166</v>
      </c>
      <c r="S22" s="1214">
        <f>'R1 DRE'!S17</f>
        <v>-494186.17130256217</v>
      </c>
      <c r="T22" s="1214">
        <f>'R1 DRE'!T17</f>
        <v>-494759.40497506119</v>
      </c>
      <c r="U22" s="1214">
        <f>'R1 DRE'!U17</f>
        <v>-495332.63864756015</v>
      </c>
      <c r="V22" s="1214">
        <f>'R1 DRE'!V17</f>
        <v>-495905.87232005922</v>
      </c>
      <c r="W22" s="1214">
        <f>'R1 DRE'!W17</f>
        <v>-496595.18385540805</v>
      </c>
      <c r="X22" s="1214">
        <f>'R1 DRE'!X17</f>
        <v>-497111.64190462325</v>
      </c>
      <c r="Y22" s="1214">
        <f>'R1 DRE'!Y17</f>
        <v>-497601.16502573498</v>
      </c>
      <c r="Z22" s="1214">
        <f>'R1 DRE'!Z17</f>
        <v>-498090.68814684672</v>
      </c>
      <c r="AA22" s="1214">
        <f>'R1 DRE'!AA17</f>
        <v>-498580.2112679584</v>
      </c>
      <c r="AB22" s="1214">
        <f>'R1 DRE'!AB17</f>
        <v>-499259.46152948157</v>
      </c>
      <c r="AC22" s="1214">
        <f>'R1 DRE'!AC17</f>
        <v>-499796.89372358366</v>
      </c>
      <c r="AD22" s="1214">
        <f>'R1 DRE'!AD17</f>
        <v>-500320.77892254677</v>
      </c>
      <c r="AE22" s="1214">
        <f>'R1 DRE'!AE17</f>
        <v>-500867.7180223316</v>
      </c>
      <c r="AF22" s="1214">
        <f>'R1 DRE'!AF17</f>
        <v>-501196.36969936022</v>
      </c>
      <c r="AG22" s="1215">
        <f t="shared" si="7"/>
        <v>-14615965.937531687</v>
      </c>
      <c r="AI22" s="1216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'R1 DRE'!G18</f>
        <v>-14599.065768930037</v>
      </c>
      <c r="H23" s="1214">
        <f>'R1 DRE'!H18</f>
        <v>-15057.798117373999</v>
      </c>
      <c r="I23" s="1214">
        <f>'R1 DRE'!I18</f>
        <v>-15064.87973247327</v>
      </c>
      <c r="J23" s="1214">
        <f>'R1 DRE'!J18</f>
        <v>-15072.495622356846</v>
      </c>
      <c r="K23" s="1214">
        <f>'R1 DRE'!K18</f>
        <v>-15192.826253067265</v>
      </c>
      <c r="L23" s="1214">
        <f>'R1 DRE'!L18</f>
        <v>-15347.122255394672</v>
      </c>
      <c r="M23" s="1214">
        <f>'R1 DRE'!M18</f>
        <v>-15631.795172996442</v>
      </c>
      <c r="N23" s="1214">
        <f>'R1 DRE'!N18</f>
        <v>-16078.51764681211</v>
      </c>
      <c r="O23" s="1214">
        <f>'R1 DRE'!O18</f>
        <v>-16101.57888608165</v>
      </c>
      <c r="P23" s="1214">
        <f>'R1 DRE'!P18</f>
        <v>-16124.640125351203</v>
      </c>
      <c r="Q23" s="1214">
        <f>'R1 DRE'!Q18</f>
        <v>-16147.701364620751</v>
      </c>
      <c r="R23" s="1214">
        <f>'R1 DRE'!R18</f>
        <v>-16166.143434356836</v>
      </c>
      <c r="S23" s="1214">
        <f>'R1 DRE'!S18</f>
        <v>-16184.911737817845</v>
      </c>
      <c r="T23" s="1214">
        <f>'R1 DRE'!T18</f>
        <v>-16203.680041278865</v>
      </c>
      <c r="U23" s="1214">
        <f>'R1 DRE'!U18</f>
        <v>-16222.448344739874</v>
      </c>
      <c r="V23" s="1214">
        <f>'R1 DRE'!V18</f>
        <v>-16241.216648200887</v>
      </c>
      <c r="W23" s="1214">
        <f>'R1 DRE'!W18</f>
        <v>-16264.319313534354</v>
      </c>
      <c r="X23" s="1214">
        <f>'R1 DRE'!X18</f>
        <v>-16280.34814305808</v>
      </c>
      <c r="Y23" s="1214">
        <f>'R1 DRE'!Y18</f>
        <v>-16296.376972581807</v>
      </c>
      <c r="Z23" s="1214">
        <f>'R1 DRE'!Z18</f>
        <v>-16312.405802105539</v>
      </c>
      <c r="AA23" s="1214">
        <f>'R1 DRE'!AA18</f>
        <v>-16328.434631629261</v>
      </c>
      <c r="AB23" s="1214">
        <f>'R1 DRE'!AB18</f>
        <v>-16351.537299443749</v>
      </c>
      <c r="AC23" s="1214">
        <f>'R1 DRE'!AC18</f>
        <v>-16368.34292048484</v>
      </c>
      <c r="AD23" s="1214">
        <f>'R1 DRE'!AD18</f>
        <v>-16385.557657312653</v>
      </c>
      <c r="AE23" s="1214">
        <f>'R1 DRE'!AE18</f>
        <v>-16403.549179438916</v>
      </c>
      <c r="AF23" s="1214">
        <f>'R1 DRE'!AF18</f>
        <v>-16413.322066103116</v>
      </c>
      <c r="AG23" s="1215">
        <f t="shared" si="7"/>
        <v>-477854.6330623313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14">
        <f>'R1 DRE'!K19</f>
        <v>-553251.9</v>
      </c>
      <c r="L24" s="1214">
        <f>'R1 DRE'!L19</f>
        <v>-553251.9</v>
      </c>
      <c r="M24" s="1214">
        <f>'R1 DRE'!M19</f>
        <v>-553251.9</v>
      </c>
      <c r="N24" s="1214">
        <f>'R1 DRE'!N19</f>
        <v>-553251.9</v>
      </c>
      <c r="O24" s="1214">
        <f>'R1 DRE'!O19</f>
        <v>-553251.9</v>
      </c>
      <c r="P24" s="1214">
        <f>'R1 DRE'!P19</f>
        <v>-553251.9</v>
      </c>
      <c r="Q24" s="1214">
        <f>'R1 DRE'!Q19</f>
        <v>-553251.9</v>
      </c>
      <c r="R24" s="1214">
        <f>'R1 DRE'!R19</f>
        <v>-553251.9</v>
      </c>
      <c r="S24" s="1214">
        <f>'R1 DRE'!S19</f>
        <v>-553251.9</v>
      </c>
      <c r="T24" s="1214">
        <f>'R1 DRE'!T19</f>
        <v>-553251.9</v>
      </c>
      <c r="U24" s="1214">
        <f>'R1 DRE'!U19</f>
        <v>-553251.9</v>
      </c>
      <c r="V24" s="1214">
        <f>'R1 DRE'!V19</f>
        <v>-553251.9</v>
      </c>
      <c r="W24" s="1214">
        <f>'R1 DRE'!W19</f>
        <v>-553251.9</v>
      </c>
      <c r="X24" s="1214">
        <f>'R1 DRE'!X19</f>
        <v>-553251.9</v>
      </c>
      <c r="Y24" s="1214">
        <f>'R1 DRE'!Y19</f>
        <v>-553251.9</v>
      </c>
      <c r="Z24" s="1214">
        <f>'R1 DRE'!Z19</f>
        <v>-553251.9</v>
      </c>
      <c r="AA24" s="1214">
        <f>'R1 DRE'!AA19</f>
        <v>-553251.9</v>
      </c>
      <c r="AB24" s="1214">
        <f>'R1 DRE'!AB19</f>
        <v>-553251.9</v>
      </c>
      <c r="AC24" s="1214">
        <f>'R1 DRE'!AC19</f>
        <v>-553251.9</v>
      </c>
      <c r="AD24" s="1214">
        <f>'R1 DRE'!AD19</f>
        <v>-553251.9</v>
      </c>
      <c r="AE24" s="1214">
        <f>'R1 DRE'!AE19</f>
        <v>-553251.9</v>
      </c>
      <c r="AF24" s="1214">
        <f>'R1 DRE'!AF19</f>
        <v>-553251.9</v>
      </c>
      <c r="AG24" s="1215">
        <f t="shared" si="7"/>
        <v>-16472445.540000008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14">
        <f>'R1 DRE'!K20</f>
        <v>-387030.74461918877</v>
      </c>
      <c r="L25" s="1214">
        <f>'R1 DRE'!L20</f>
        <v>-401658.00294591533</v>
      </c>
      <c r="M25" s="1214">
        <f>'R1 DRE'!M20</f>
        <v>-401728.7150956777</v>
      </c>
      <c r="N25" s="1214">
        <f>'R1 DRE'!N20</f>
        <v>-401794.78888514388</v>
      </c>
      <c r="O25" s="1214">
        <f>'R1 DRE'!O20</f>
        <v>-401859.59436818259</v>
      </c>
      <c r="P25" s="1214">
        <f>'R1 DRE'!P20</f>
        <v>-401924.39985122136</v>
      </c>
      <c r="Q25" s="1214">
        <f>'R1 DRE'!Q20</f>
        <v>-401989.20533426024</v>
      </c>
      <c r="R25" s="1214">
        <f>'R1 DRE'!R20</f>
        <v>-402043.81998414529</v>
      </c>
      <c r="S25" s="1214">
        <f>'R1 DRE'!S20</f>
        <v>-402096.74885431846</v>
      </c>
      <c r="T25" s="1214">
        <f>'R1 DRE'!T20</f>
        <v>-402149.52022612467</v>
      </c>
      <c r="U25" s="1214">
        <f>'R1 DRE'!U20</f>
        <v>-402302.29159793071</v>
      </c>
      <c r="V25" s="1214">
        <f>'R1 DRE'!V20</f>
        <v>-402355.06296973687</v>
      </c>
      <c r="W25" s="1214">
        <f>'R1 DRE'!W20</f>
        <v>-402417.270352769</v>
      </c>
      <c r="X25" s="1214">
        <f>'R1 DRE'!X20</f>
        <v>-402466.94887976174</v>
      </c>
      <c r="Y25" s="1214">
        <f>'R1 DRE'!Y20</f>
        <v>-402512.00758811249</v>
      </c>
      <c r="Z25" s="1214">
        <f>'R1 DRE'!Z20</f>
        <v>-402557.06629646337</v>
      </c>
      <c r="AA25" s="1214">
        <f>'R1 DRE'!AA20</f>
        <v>-402602.12500481395</v>
      </c>
      <c r="AB25" s="1214">
        <f>'R1 DRE'!AB20</f>
        <v>-402662.60670065647</v>
      </c>
      <c r="AC25" s="1214">
        <f>'R1 DRE'!AC20</f>
        <v>-402713.99023704906</v>
      </c>
      <c r="AD25" s="1214">
        <f>'R1 DRE'!AD20</f>
        <v>-402762.08232708368</v>
      </c>
      <c r="AE25" s="1214">
        <f>'R1 DRE'!AE20</f>
        <v>-402812.23614160577</v>
      </c>
      <c r="AF25" s="1214">
        <f>'R1 DRE'!AF20</f>
        <v>-402844.88533489278</v>
      </c>
      <c r="AG25" s="1215">
        <f t="shared" si="7"/>
        <v>-11346220.251833245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9">-D17*0.01</f>
        <v>-23487.364306745756</v>
      </c>
      <c r="E26" s="1212">
        <f t="shared" si="9"/>
        <v>-26078.466711710476</v>
      </c>
      <c r="F26" s="1212">
        <f t="shared" si="9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0">-I17*0.005</f>
        <v>-16724.631693002015</v>
      </c>
      <c r="J26" s="1212">
        <f t="shared" si="10"/>
        <v>-18111.511932221227</v>
      </c>
      <c r="K26" s="1212">
        <f t="shared" si="10"/>
        <v>-20564.394311510845</v>
      </c>
      <c r="L26" s="1212">
        <f t="shared" si="10"/>
        <v>-21036.201436889267</v>
      </c>
      <c r="M26" s="1212">
        <f t="shared" si="10"/>
        <v>-22003.375996826166</v>
      </c>
      <c r="N26" s="1212">
        <f t="shared" si="10"/>
        <v>-23484.006296079882</v>
      </c>
      <c r="O26" s="1212">
        <f t="shared" si="10"/>
        <v>-23570.260378251282</v>
      </c>
      <c r="P26" s="1212">
        <f t="shared" si="10"/>
        <v>-23603.076770458374</v>
      </c>
      <c r="Q26" s="1212">
        <f t="shared" si="10"/>
        <v>-23636.959191628132</v>
      </c>
      <c r="R26" s="1212">
        <f t="shared" si="10"/>
        <v>-23668.157798072469</v>
      </c>
      <c r="S26" s="1212">
        <f t="shared" si="10"/>
        <v>-23696.532869419327</v>
      </c>
      <c r="T26" s="1212">
        <f t="shared" si="10"/>
        <v>-23724.768220394115</v>
      </c>
      <c r="U26" s="1212">
        <f t="shared" si="10"/>
        <v>-23753.003571368896</v>
      </c>
      <c r="V26" s="1212">
        <f t="shared" si="10"/>
        <v>-23778.555107618286</v>
      </c>
      <c r="W26" s="1212">
        <f t="shared" si="10"/>
        <v>-23809.334552946413</v>
      </c>
      <c r="X26" s="1212">
        <f t="shared" si="10"/>
        <v>-23840.393439018677</v>
      </c>
      <c r="Y26" s="1212">
        <f t="shared" si="10"/>
        <v>-23863.400880914727</v>
      </c>
      <c r="Z26" s="1212">
        <f t="shared" si="10"/>
        <v>-23885.989161694557</v>
      </c>
      <c r="AA26" s="1212">
        <f t="shared" si="10"/>
        <v>-23908.57744247439</v>
      </c>
      <c r="AB26" s="1212">
        <f t="shared" si="10"/>
        <v>-23936.533352705035</v>
      </c>
      <c r="AC26" s="1212">
        <f t="shared" si="10"/>
        <v>-23964.76870367982</v>
      </c>
      <c r="AD26" s="1212">
        <f t="shared" si="10"/>
        <v>-23990.320239929202</v>
      </c>
      <c r="AE26" s="1212">
        <f t="shared" si="10"/>
        <v>-24018.415870531921</v>
      </c>
      <c r="AF26" s="1212">
        <f t="shared" si="10"/>
        <v>-24038.599777330495</v>
      </c>
      <c r="AG26" s="1213">
        <f>SUM(C26:AF26)</f>
        <v>-681374.09549258766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1">D17+D18+D21+D26</f>
        <v>725356.85352382285</v>
      </c>
      <c r="E27" s="1212">
        <f t="shared" si="11"/>
        <v>761828.63043885329</v>
      </c>
      <c r="F27" s="1212">
        <f t="shared" si="11"/>
        <v>885889.84541072126</v>
      </c>
      <c r="G27" s="1212">
        <f t="shared" si="11"/>
        <v>987003.66554251267</v>
      </c>
      <c r="H27" s="1212">
        <f t="shared" si="11"/>
        <v>1236097.9959341185</v>
      </c>
      <c r="I27" s="1212">
        <f t="shared" si="11"/>
        <v>1593813.2030140865</v>
      </c>
      <c r="J27" s="1212">
        <f t="shared" si="11"/>
        <v>1818859.3253650826</v>
      </c>
      <c r="K27" s="1212">
        <f t="shared" si="11"/>
        <v>2278716.0674755499</v>
      </c>
      <c r="L27" s="1212">
        <f t="shared" si="11"/>
        <v>2364109.4161833101</v>
      </c>
      <c r="M27" s="1212">
        <f t="shared" si="11"/>
        <v>2555369.117062388</v>
      </c>
      <c r="N27" s="1212">
        <f t="shared" si="11"/>
        <v>2848781.1486234986</v>
      </c>
      <c r="O27" s="1212">
        <f t="shared" si="11"/>
        <v>2865106.9852759722</v>
      </c>
      <c r="P27" s="1212">
        <f t="shared" si="11"/>
        <v>2870798.6579010366</v>
      </c>
      <c r="Q27" s="1212">
        <f t="shared" si="11"/>
        <v>2876702.398599592</v>
      </c>
      <c r="R27" s="1212">
        <f t="shared" si="11"/>
        <v>2882192.9790305672</v>
      </c>
      <c r="S27" s="1212">
        <f t="shared" si="11"/>
        <v>2887177.6431752713</v>
      </c>
      <c r="T27" s="1212">
        <f t="shared" si="11"/>
        <v>2892112.3726123702</v>
      </c>
      <c r="U27" s="1212">
        <f t="shared" si="11"/>
        <v>2896948.6232423722</v>
      </c>
      <c r="V27" s="1212">
        <f t="shared" si="11"/>
        <v>2901352.8049120642</v>
      </c>
      <c r="W27" s="1212">
        <f t="shared" si="11"/>
        <v>2906670.9225146249</v>
      </c>
      <c r="X27" s="1212">
        <f t="shared" si="11"/>
        <v>2912216.2112211767</v>
      </c>
      <c r="Y27" s="1212">
        <f t="shared" si="11"/>
        <v>2916211.6350679942</v>
      </c>
      <c r="Z27" s="1212">
        <f t="shared" si="11"/>
        <v>2920121.6719284556</v>
      </c>
      <c r="AA27" s="1212">
        <f t="shared" si="11"/>
        <v>2924031.3162903222</v>
      </c>
      <c r="AB27" s="1212">
        <f t="shared" si="11"/>
        <v>2928747.6276587206</v>
      </c>
      <c r="AC27" s="1212">
        <f t="shared" si="11"/>
        <v>2933760.8375236257</v>
      </c>
      <c r="AD27" s="1212">
        <f t="shared" si="11"/>
        <v>2938218.2189603127</v>
      </c>
      <c r="AE27" s="1212">
        <f t="shared" si="11"/>
        <v>2943149.1739716092</v>
      </c>
      <c r="AF27" s="1212">
        <f t="shared" si="11"/>
        <v>2946754.3086751751</v>
      </c>
      <c r="AG27" s="1213">
        <f t="shared" ref="AG27:AG33" si="12">SUM(C27:AF27)</f>
        <v>70742552.116631314</v>
      </c>
    </row>
    <row r="28" spans="1:36" s="1127" customFormat="1" ht="20.25" customHeight="1">
      <c r="B28" s="1128" t="s">
        <v>221</v>
      </c>
      <c r="C28" s="1211"/>
      <c r="D28" s="1211">
        <f t="array" ref="D28:AF28">-TRANSPOSE('E5 R2 DEPR'!AH11:AH39)</f>
        <v>-19422.835502517231</v>
      </c>
      <c r="E28" s="1211">
        <v>-31767.091368703179</v>
      </c>
      <c r="F28" s="1211">
        <v>-42964.776963557146</v>
      </c>
      <c r="G28" s="1211">
        <v>-96570.054420457061</v>
      </c>
      <c r="H28" s="1211">
        <v>-123445.84549485844</v>
      </c>
      <c r="I28" s="1211">
        <v>-436366.68261990033</v>
      </c>
      <c r="J28" s="1211">
        <v>-486052.65689730272</v>
      </c>
      <c r="K28" s="1211">
        <v>-595221.88668875967</v>
      </c>
      <c r="L28" s="1211">
        <v>-686848.83520491084</v>
      </c>
      <c r="M28" s="1211">
        <v>-736837.73873289884</v>
      </c>
      <c r="N28" s="1211">
        <v>-876495.92187088123</v>
      </c>
      <c r="O28" s="1211">
        <v>-1007218.7110648365</v>
      </c>
      <c r="P28" s="1211">
        <v>-1011241.4612855504</v>
      </c>
      <c r="Q28" s="1211">
        <v>-1015515.6333950589</v>
      </c>
      <c r="R28" s="1211">
        <v>-1020074.750311868</v>
      </c>
      <c r="S28" s="1211">
        <v>-1024581.8041513064</v>
      </c>
      <c r="T28" s="1211">
        <v>-1029435.5544399323</v>
      </c>
      <c r="U28" s="1211">
        <v>-1034693.783919277</v>
      </c>
      <c r="V28" s="1211">
        <v>-1040430.0342603803</v>
      </c>
      <c r="W28" s="1211">
        <v>-1046739.909635594</v>
      </c>
      <c r="X28" s="1211">
        <v>-1054383.6600524981</v>
      </c>
      <c r="Y28" s="1211">
        <v>-1061813.5042715152</v>
      </c>
      <c r="Z28" s="1211">
        <v>-1070304.7548075346</v>
      </c>
      <c r="AA28" s="1211">
        <v>-1080211.213766224</v>
      </c>
      <c r="AB28" s="1211">
        <v>-1092098.9645166514</v>
      </c>
      <c r="AC28" s="1211">
        <v>-1109297.4029546855</v>
      </c>
      <c r="AD28" s="1211">
        <v>-1129381.6542053977</v>
      </c>
      <c r="AE28" s="1211">
        <v>-1159915.031081466</v>
      </c>
      <c r="AF28" s="1211">
        <v>-1281647.0328303354</v>
      </c>
      <c r="AG28" s="1217">
        <f t="shared" si="12"/>
        <v>-23400979.186714858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3">D27+D28</f>
        <v>705934.01802130567</v>
      </c>
      <c r="E29" s="1212">
        <f t="shared" si="13"/>
        <v>730061.53907015012</v>
      </c>
      <c r="F29" s="1212">
        <f t="shared" si="13"/>
        <v>842925.06844716414</v>
      </c>
      <c r="G29" s="1212">
        <f t="shared" si="13"/>
        <v>890433.61112205556</v>
      </c>
      <c r="H29" s="1212">
        <f t="shared" si="13"/>
        <v>1112652.1504392601</v>
      </c>
      <c r="I29" s="1212">
        <f t="shared" si="13"/>
        <v>1157446.520394186</v>
      </c>
      <c r="J29" s="1212">
        <f t="shared" si="13"/>
        <v>1332806.6684677799</v>
      </c>
      <c r="K29" s="1212">
        <f t="shared" si="13"/>
        <v>1683494.1807867903</v>
      </c>
      <c r="L29" s="1212">
        <f t="shared" si="13"/>
        <v>1677260.5809783991</v>
      </c>
      <c r="M29" s="1212">
        <f t="shared" si="13"/>
        <v>1818531.3783294891</v>
      </c>
      <c r="N29" s="1212">
        <f t="shared" si="13"/>
        <v>1972285.2267526174</v>
      </c>
      <c r="O29" s="1212">
        <f t="shared" si="13"/>
        <v>1857888.2742111357</v>
      </c>
      <c r="P29" s="1212">
        <f t="shared" si="13"/>
        <v>1859557.1966154862</v>
      </c>
      <c r="Q29" s="1212">
        <f t="shared" si="13"/>
        <v>1861186.765204533</v>
      </c>
      <c r="R29" s="1212">
        <f t="shared" si="13"/>
        <v>1862118.2287186992</v>
      </c>
      <c r="S29" s="1212">
        <f t="shared" si="13"/>
        <v>1862595.8390239649</v>
      </c>
      <c r="T29" s="1212">
        <f t="shared" si="13"/>
        <v>1862676.8181724378</v>
      </c>
      <c r="U29" s="1212">
        <f t="shared" si="13"/>
        <v>1862254.839323095</v>
      </c>
      <c r="V29" s="1212">
        <f t="shared" si="13"/>
        <v>1860922.7706516839</v>
      </c>
      <c r="W29" s="1212">
        <f t="shared" si="13"/>
        <v>1859931.0128790308</v>
      </c>
      <c r="X29" s="1212">
        <f t="shared" si="13"/>
        <v>1857832.5511686786</v>
      </c>
      <c r="Y29" s="1212">
        <f t="shared" si="13"/>
        <v>1854398.1307964791</v>
      </c>
      <c r="Z29" s="1212">
        <f t="shared" si="13"/>
        <v>1849816.917120921</v>
      </c>
      <c r="AA29" s="1212">
        <f t="shared" si="13"/>
        <v>1843820.1025240982</v>
      </c>
      <c r="AB29" s="1212">
        <f t="shared" si="13"/>
        <v>1836648.6631420692</v>
      </c>
      <c r="AC29" s="1212">
        <f t="shared" si="13"/>
        <v>1824463.4345689402</v>
      </c>
      <c r="AD29" s="1212">
        <f t="shared" si="13"/>
        <v>1808836.564754915</v>
      </c>
      <c r="AE29" s="1212">
        <f t="shared" si="13"/>
        <v>1783234.1428901432</v>
      </c>
      <c r="AF29" s="1212">
        <f t="shared" si="13"/>
        <v>1665107.2758448396</v>
      </c>
      <c r="AG29" s="1213">
        <f t="shared" si="12"/>
        <v>47341572.929916471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4">D31+D32</f>
        <v>-216017.56612724392</v>
      </c>
      <c r="E30" s="1212">
        <f t="shared" si="14"/>
        <v>-224220.92328385104</v>
      </c>
      <c r="F30" s="1212">
        <f t="shared" si="14"/>
        <v>-262594.52327203582</v>
      </c>
      <c r="G30" s="1212">
        <f t="shared" si="14"/>
        <v>-278747.42778149887</v>
      </c>
      <c r="H30" s="1212">
        <f t="shared" si="14"/>
        <v>-354301.73114934843</v>
      </c>
      <c r="I30" s="1212">
        <f t="shared" si="14"/>
        <v>-369531.81693402323</v>
      </c>
      <c r="J30" s="1212">
        <f t="shared" si="14"/>
        <v>-429154.26727904513</v>
      </c>
      <c r="K30" s="1212">
        <f t="shared" si="14"/>
        <v>-548388.02146750875</v>
      </c>
      <c r="L30" s="1212">
        <f t="shared" si="14"/>
        <v>-546268.59753265569</v>
      </c>
      <c r="M30" s="1212">
        <f t="shared" si="14"/>
        <v>-594300.6686320263</v>
      </c>
      <c r="N30" s="1212">
        <f t="shared" si="14"/>
        <v>-646576.97709588986</v>
      </c>
      <c r="O30" s="1212">
        <f t="shared" si="14"/>
        <v>-607682.0132317862</v>
      </c>
      <c r="P30" s="1212">
        <f t="shared" si="14"/>
        <v>-608249.44684926525</v>
      </c>
      <c r="Q30" s="1212">
        <f t="shared" si="14"/>
        <v>-608803.50016954122</v>
      </c>
      <c r="R30" s="1212">
        <f t="shared" si="14"/>
        <v>-609120.19776435767</v>
      </c>
      <c r="S30" s="1212">
        <f t="shared" si="14"/>
        <v>-609282.5852681481</v>
      </c>
      <c r="T30" s="1212">
        <f t="shared" si="14"/>
        <v>-609310.11817862885</v>
      </c>
      <c r="U30" s="1212">
        <f t="shared" si="14"/>
        <v>-609166.64536985231</v>
      </c>
      <c r="V30" s="1212">
        <f t="shared" si="14"/>
        <v>-608713.74202157243</v>
      </c>
      <c r="W30" s="1212">
        <f t="shared" si="14"/>
        <v>-608376.5443788704</v>
      </c>
      <c r="X30" s="1212">
        <f t="shared" si="14"/>
        <v>-607663.06739735068</v>
      </c>
      <c r="Y30" s="1212">
        <f t="shared" si="14"/>
        <v>-606495.36447080295</v>
      </c>
      <c r="Z30" s="1212">
        <f t="shared" si="14"/>
        <v>-604937.75182111305</v>
      </c>
      <c r="AA30" s="1212">
        <f t="shared" si="14"/>
        <v>-602898.83485819341</v>
      </c>
      <c r="AB30" s="1212">
        <f t="shared" si="14"/>
        <v>-600460.54546830361</v>
      </c>
      <c r="AC30" s="1212">
        <f t="shared" si="14"/>
        <v>-596317.56775343965</v>
      </c>
      <c r="AD30" s="1212">
        <f t="shared" si="14"/>
        <v>-591004.43201667105</v>
      </c>
      <c r="AE30" s="1212">
        <f t="shared" si="14"/>
        <v>-582299.60858264868</v>
      </c>
      <c r="AF30" s="1212">
        <f t="shared" si="14"/>
        <v>-542136.47378724546</v>
      </c>
      <c r="AG30" s="1213">
        <f t="shared" si="12"/>
        <v>-15283020.95994292</v>
      </c>
    </row>
    <row r="31" spans="1:36" s="89" customFormat="1" ht="20.25" customHeight="1">
      <c r="B31" s="477" t="s">
        <v>224</v>
      </c>
      <c r="C31" s="1214"/>
      <c r="D31" s="1214">
        <f t="shared" ref="D31:AF31" si="15">-((D29*0.15)+((D29-240000)*0.1))</f>
        <v>-152483.50450532642</v>
      </c>
      <c r="E31" s="1214">
        <f t="shared" si="15"/>
        <v>-158515.38476753753</v>
      </c>
      <c r="F31" s="1214">
        <f t="shared" si="15"/>
        <v>-186731.26711179104</v>
      </c>
      <c r="G31" s="1214">
        <f t="shared" si="15"/>
        <v>-198608.40278051386</v>
      </c>
      <c r="H31" s="1214">
        <f t="shared" si="15"/>
        <v>-254163.03760981502</v>
      </c>
      <c r="I31" s="1214">
        <f t="shared" si="15"/>
        <v>-265361.63009854651</v>
      </c>
      <c r="J31" s="1214">
        <f t="shared" si="15"/>
        <v>-309201.66711694497</v>
      </c>
      <c r="K31" s="1214">
        <f t="shared" si="15"/>
        <v>-396873.54519669758</v>
      </c>
      <c r="L31" s="1214">
        <f t="shared" si="15"/>
        <v>-395315.14524459979</v>
      </c>
      <c r="M31" s="1214">
        <f t="shared" si="15"/>
        <v>-430632.84458237229</v>
      </c>
      <c r="N31" s="1214">
        <f t="shared" si="15"/>
        <v>-469071.30668815435</v>
      </c>
      <c r="O31" s="1214">
        <f t="shared" si="15"/>
        <v>-440472.06855278392</v>
      </c>
      <c r="P31" s="1214">
        <f t="shared" si="15"/>
        <v>-440889.29915387154</v>
      </c>
      <c r="Q31" s="1214">
        <f t="shared" si="15"/>
        <v>-441296.69130113325</v>
      </c>
      <c r="R31" s="1214">
        <f t="shared" si="15"/>
        <v>-441529.55717967474</v>
      </c>
      <c r="S31" s="1214">
        <f t="shared" si="15"/>
        <v>-441648.95975599124</v>
      </c>
      <c r="T31" s="1214">
        <f t="shared" si="15"/>
        <v>-441669.20454310946</v>
      </c>
      <c r="U31" s="1214">
        <f t="shared" si="15"/>
        <v>-441563.70983077376</v>
      </c>
      <c r="V31" s="1214">
        <f t="shared" si="15"/>
        <v>-441230.69266292092</v>
      </c>
      <c r="W31" s="1214">
        <f t="shared" si="15"/>
        <v>-440982.75321975769</v>
      </c>
      <c r="X31" s="1214">
        <f t="shared" si="15"/>
        <v>-440458.13779216958</v>
      </c>
      <c r="Y31" s="1214">
        <f t="shared" si="15"/>
        <v>-439599.53269911977</v>
      </c>
      <c r="Z31" s="1214">
        <f t="shared" si="15"/>
        <v>-438454.22928023024</v>
      </c>
      <c r="AA31" s="1214">
        <f t="shared" si="15"/>
        <v>-436955.02563102456</v>
      </c>
      <c r="AB31" s="1214">
        <f t="shared" si="15"/>
        <v>-435162.16578551731</v>
      </c>
      <c r="AC31" s="1214">
        <f t="shared" si="15"/>
        <v>-432115.85864223505</v>
      </c>
      <c r="AD31" s="1214">
        <f t="shared" si="15"/>
        <v>-428209.14118872874</v>
      </c>
      <c r="AE31" s="1214">
        <f t="shared" si="15"/>
        <v>-421808.5357225358</v>
      </c>
      <c r="AF31" s="1214">
        <f t="shared" si="15"/>
        <v>-392276.81896120991</v>
      </c>
      <c r="AG31" s="1213">
        <f t="shared" si="12"/>
        <v>-11053280.117605088</v>
      </c>
    </row>
    <row r="32" spans="1:36" s="89" customFormat="1" ht="20.25" customHeight="1">
      <c r="B32" s="477" t="s">
        <v>225</v>
      </c>
      <c r="C32" s="1214"/>
      <c r="D32" s="1214">
        <f t="shared" ref="D32:AF32" si="16">-(D29*0.09)</f>
        <v>-63534.061621917506</v>
      </c>
      <c r="E32" s="1214">
        <f t="shared" si="16"/>
        <v>-65705.538516313507</v>
      </c>
      <c r="F32" s="1214">
        <f t="shared" si="16"/>
        <v>-75863.256160244768</v>
      </c>
      <c r="G32" s="1214">
        <f t="shared" si="16"/>
        <v>-80139.025000984999</v>
      </c>
      <c r="H32" s="1214">
        <f t="shared" si="16"/>
        <v>-100138.6935395334</v>
      </c>
      <c r="I32" s="1214">
        <f t="shared" si="16"/>
        <v>-104170.18683547674</v>
      </c>
      <c r="J32" s="1214">
        <f t="shared" si="16"/>
        <v>-119952.60016210018</v>
      </c>
      <c r="K32" s="1214">
        <f t="shared" si="16"/>
        <v>-151514.47627081114</v>
      </c>
      <c r="L32" s="1214">
        <f t="shared" si="16"/>
        <v>-150953.45228805591</v>
      </c>
      <c r="M32" s="1214">
        <f t="shared" si="16"/>
        <v>-163667.82404965401</v>
      </c>
      <c r="N32" s="1214">
        <f t="shared" si="16"/>
        <v>-177505.67040773557</v>
      </c>
      <c r="O32" s="1214">
        <f t="shared" si="16"/>
        <v>-167209.94467900222</v>
      </c>
      <c r="P32" s="1214">
        <f t="shared" si="16"/>
        <v>-167360.14769539374</v>
      </c>
      <c r="Q32" s="1214">
        <f t="shared" si="16"/>
        <v>-167506.80886840797</v>
      </c>
      <c r="R32" s="1214">
        <f t="shared" si="16"/>
        <v>-167590.64058468293</v>
      </c>
      <c r="S32" s="1214">
        <f t="shared" si="16"/>
        <v>-167633.62551215684</v>
      </c>
      <c r="T32" s="1214">
        <f t="shared" si="16"/>
        <v>-167640.91363551939</v>
      </c>
      <c r="U32" s="1214">
        <f t="shared" si="16"/>
        <v>-167602.93553907855</v>
      </c>
      <c r="V32" s="1214">
        <f t="shared" si="16"/>
        <v>-167483.04935865154</v>
      </c>
      <c r="W32" s="1214">
        <f t="shared" si="16"/>
        <v>-167393.79115911276</v>
      </c>
      <c r="X32" s="1214">
        <f t="shared" si="16"/>
        <v>-167204.92960518107</v>
      </c>
      <c r="Y32" s="1214">
        <f t="shared" si="16"/>
        <v>-166895.83177168312</v>
      </c>
      <c r="Z32" s="1214">
        <f t="shared" si="16"/>
        <v>-166483.52254088287</v>
      </c>
      <c r="AA32" s="1214">
        <f t="shared" si="16"/>
        <v>-165943.80922716882</v>
      </c>
      <c r="AB32" s="1214">
        <f t="shared" si="16"/>
        <v>-165298.37968278624</v>
      </c>
      <c r="AC32" s="1214">
        <f t="shared" si="16"/>
        <v>-164201.7091112046</v>
      </c>
      <c r="AD32" s="1214">
        <f t="shared" si="16"/>
        <v>-162795.29082794234</v>
      </c>
      <c r="AE32" s="1214">
        <f t="shared" si="16"/>
        <v>-160491.07286011288</v>
      </c>
      <c r="AF32" s="1214">
        <f t="shared" si="16"/>
        <v>-149859.65482603555</v>
      </c>
      <c r="AG32" s="1213">
        <f t="shared" si="12"/>
        <v>-4229740.8423378319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7">D29+D30</f>
        <v>489916.45189406176</v>
      </c>
      <c r="E33" s="1219">
        <f t="shared" si="17"/>
        <v>505840.61578629911</v>
      </c>
      <c r="F33" s="1219">
        <f t="shared" si="17"/>
        <v>580330.54517512838</v>
      </c>
      <c r="G33" s="1219">
        <f t="shared" si="17"/>
        <v>611686.18334055669</v>
      </c>
      <c r="H33" s="1219">
        <f t="shared" si="17"/>
        <v>758350.41928991163</v>
      </c>
      <c r="I33" s="1219">
        <f t="shared" si="17"/>
        <v>787914.70346016274</v>
      </c>
      <c r="J33" s="1219">
        <f t="shared" si="17"/>
        <v>903652.40118873469</v>
      </c>
      <c r="K33" s="1219">
        <f t="shared" si="17"/>
        <v>1135106.1593192816</v>
      </c>
      <c r="L33" s="1219">
        <f t="shared" si="17"/>
        <v>1130991.9834457436</v>
      </c>
      <c r="M33" s="1219">
        <f t="shared" si="17"/>
        <v>1224230.7096974629</v>
      </c>
      <c r="N33" s="1219">
        <f t="shared" si="17"/>
        <v>1325708.2496567275</v>
      </c>
      <c r="O33" s="1219">
        <f t="shared" si="17"/>
        <v>1250206.2609793495</v>
      </c>
      <c r="P33" s="1219">
        <f t="shared" si="17"/>
        <v>1251307.7497662208</v>
      </c>
      <c r="Q33" s="1219">
        <f t="shared" si="17"/>
        <v>1252383.2650349918</v>
      </c>
      <c r="R33" s="1219">
        <f t="shared" si="17"/>
        <v>1252998.0309543414</v>
      </c>
      <c r="S33" s="1219">
        <f t="shared" si="17"/>
        <v>1253313.2537558167</v>
      </c>
      <c r="T33" s="1219">
        <f t="shared" si="17"/>
        <v>1253366.699993809</v>
      </c>
      <c r="U33" s="1219">
        <f t="shared" si="17"/>
        <v>1253088.1939532426</v>
      </c>
      <c r="V33" s="1219">
        <f t="shared" si="17"/>
        <v>1252209.0286301114</v>
      </c>
      <c r="W33" s="1219">
        <f t="shared" si="17"/>
        <v>1251554.4685001604</v>
      </c>
      <c r="X33" s="1219">
        <f t="shared" si="17"/>
        <v>1250169.4837713279</v>
      </c>
      <c r="Y33" s="1219">
        <f t="shared" si="17"/>
        <v>1247902.7663256761</v>
      </c>
      <c r="Z33" s="1219">
        <f t="shared" si="17"/>
        <v>1244879.1652998079</v>
      </c>
      <c r="AA33" s="1219">
        <f t="shared" si="17"/>
        <v>1240921.2676659049</v>
      </c>
      <c r="AB33" s="1219">
        <f t="shared" si="17"/>
        <v>1236188.1176737656</v>
      </c>
      <c r="AC33" s="1219">
        <f t="shared" si="17"/>
        <v>1228145.8668155004</v>
      </c>
      <c r="AD33" s="1219">
        <f t="shared" si="17"/>
        <v>1217832.1327382438</v>
      </c>
      <c r="AE33" s="1219">
        <f t="shared" si="17"/>
        <v>1200934.5343074945</v>
      </c>
      <c r="AF33" s="1219">
        <f t="shared" si="17"/>
        <v>1122970.8020575941</v>
      </c>
      <c r="AG33" s="1220">
        <f t="shared" si="12"/>
        <v>32058551.969973546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166897.82256588902</v>
      </c>
      <c r="I35" s="135">
        <f t="shared" si="18"/>
        <v>173616.9780591279</v>
      </c>
      <c r="J35" s="135">
        <f t="shared" si="18"/>
        <v>199921.00027016699</v>
      </c>
      <c r="K35" s="135">
        <f t="shared" si="18"/>
        <v>252524.12711801854</v>
      </c>
      <c r="L35" s="135">
        <f t="shared" si="18"/>
        <v>251589.08714675985</v>
      </c>
      <c r="M35" s="135">
        <f t="shared" si="18"/>
        <v>272779.70674942335</v>
      </c>
      <c r="N35" s="135">
        <f t="shared" si="18"/>
        <v>295842.78401289257</v>
      </c>
      <c r="O35" s="135">
        <f t="shared" si="18"/>
        <v>278683.24113167037</v>
      </c>
      <c r="P35" s="135">
        <f t="shared" si="18"/>
        <v>278933.57949232293</v>
      </c>
      <c r="Q35" s="135">
        <f t="shared" si="18"/>
        <v>279178.01478067995</v>
      </c>
      <c r="R35" s="135">
        <f t="shared" si="18"/>
        <v>279317.73430780484</v>
      </c>
      <c r="S35" s="135">
        <f t="shared" si="18"/>
        <v>279389.37585359474</v>
      </c>
      <c r="T35" s="135">
        <f t="shared" si="18"/>
        <v>279401.52272586565</v>
      </c>
      <c r="U35" s="135">
        <f t="shared" si="18"/>
        <v>279338.22589846427</v>
      </c>
      <c r="V35" s="135">
        <f t="shared" si="18"/>
        <v>279138.41559775255</v>
      </c>
      <c r="W35" s="135">
        <f t="shared" si="18"/>
        <v>278989.65193185461</v>
      </c>
      <c r="X35" s="135">
        <f t="shared" si="18"/>
        <v>278674.88267530175</v>
      </c>
      <c r="Y35" s="135">
        <f t="shared" si="18"/>
        <v>278159.71961947187</v>
      </c>
      <c r="Z35" s="135">
        <f t="shared" si="18"/>
        <v>277472.53756813816</v>
      </c>
      <c r="AA35" s="135">
        <f t="shared" si="18"/>
        <v>276573.01537861471</v>
      </c>
      <c r="AB35" s="135">
        <f t="shared" si="18"/>
        <v>275497.2994713104</v>
      </c>
      <c r="AC35" s="135">
        <f t="shared" si="18"/>
        <v>273669.51518534101</v>
      </c>
      <c r="AD35" s="135">
        <f t="shared" si="18"/>
        <v>271325.48471323721</v>
      </c>
      <c r="AE35" s="135">
        <f t="shared" si="18"/>
        <v>267485.12143352145</v>
      </c>
      <c r="AF35" s="135">
        <f t="shared" si="18"/>
        <v>249766.09137672593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87265.215043926015</v>
      </c>
      <c r="I36" s="135">
        <f t="shared" si="19"/>
        <v>91744.652039418608</v>
      </c>
      <c r="J36" s="135">
        <f t="shared" si="19"/>
        <v>109280.666846778</v>
      </c>
      <c r="K36" s="135">
        <f t="shared" si="19"/>
        <v>144349.41807867904</v>
      </c>
      <c r="L36" s="135">
        <f t="shared" si="19"/>
        <v>143726.05809783991</v>
      </c>
      <c r="M36" s="135">
        <f t="shared" si="19"/>
        <v>157853.13783294894</v>
      </c>
      <c r="N36" s="135">
        <f t="shared" si="19"/>
        <v>173228.52267526175</v>
      </c>
      <c r="O36" s="135">
        <f t="shared" si="19"/>
        <v>161788.82742111359</v>
      </c>
      <c r="P36" s="135">
        <f t="shared" si="19"/>
        <v>161955.71966154862</v>
      </c>
      <c r="Q36" s="135">
        <f t="shared" si="19"/>
        <v>162118.6765204533</v>
      </c>
      <c r="R36" s="135">
        <f t="shared" si="19"/>
        <v>162211.82287186992</v>
      </c>
      <c r="S36" s="135">
        <f t="shared" si="19"/>
        <v>162259.58390239649</v>
      </c>
      <c r="T36" s="135">
        <f t="shared" si="19"/>
        <v>162267.68181724381</v>
      </c>
      <c r="U36" s="135">
        <f t="shared" si="19"/>
        <v>162225.48393230952</v>
      </c>
      <c r="V36" s="135">
        <f t="shared" si="19"/>
        <v>162092.2770651684</v>
      </c>
      <c r="W36" s="135">
        <f t="shared" si="19"/>
        <v>161993.10128790309</v>
      </c>
      <c r="X36" s="135">
        <f t="shared" si="19"/>
        <v>161783.25511686786</v>
      </c>
      <c r="Y36" s="135">
        <f t="shared" si="19"/>
        <v>161439.81307964792</v>
      </c>
      <c r="Z36" s="135">
        <f t="shared" si="19"/>
        <v>160981.69171209211</v>
      </c>
      <c r="AA36" s="135">
        <f t="shared" si="19"/>
        <v>160382.01025240985</v>
      </c>
      <c r="AB36" s="135">
        <f t="shared" si="19"/>
        <v>159664.86631420694</v>
      </c>
      <c r="AC36" s="135">
        <f t="shared" si="19"/>
        <v>158446.34345689404</v>
      </c>
      <c r="AD36" s="135">
        <f t="shared" si="19"/>
        <v>156883.6564754915</v>
      </c>
      <c r="AE36" s="135">
        <f t="shared" si="19"/>
        <v>154323.41428901433</v>
      </c>
      <c r="AF36" s="135">
        <f t="shared" si="19"/>
        <v>142510.72758448398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254163.03760981502</v>
      </c>
      <c r="I37" s="135">
        <f t="shared" si="20"/>
        <v>265361.63009854651</v>
      </c>
      <c r="J37" s="135">
        <f t="shared" si="20"/>
        <v>309201.66711694497</v>
      </c>
      <c r="K37" s="135">
        <f t="shared" si="20"/>
        <v>396873.54519669758</v>
      </c>
      <c r="L37" s="135">
        <f t="shared" si="20"/>
        <v>395315.14524459979</v>
      </c>
      <c r="M37" s="135">
        <f t="shared" si="20"/>
        <v>430632.84458237229</v>
      </c>
      <c r="N37" s="135">
        <f t="shared" si="20"/>
        <v>469071.30668815435</v>
      </c>
      <c r="O37" s="135">
        <f t="shared" si="20"/>
        <v>440472.06855278392</v>
      </c>
      <c r="P37" s="135">
        <f t="shared" si="20"/>
        <v>440889.29915387154</v>
      </c>
      <c r="Q37" s="135">
        <f t="shared" si="20"/>
        <v>441296.69130113325</v>
      </c>
      <c r="R37" s="135">
        <f t="shared" si="20"/>
        <v>441529.55717967474</v>
      </c>
      <c r="S37" s="135">
        <f t="shared" si="20"/>
        <v>441648.95975599124</v>
      </c>
      <c r="T37" s="135">
        <f t="shared" si="20"/>
        <v>441669.20454310946</v>
      </c>
      <c r="U37" s="135">
        <f t="shared" si="20"/>
        <v>441563.70983077376</v>
      </c>
      <c r="V37" s="135">
        <f t="shared" si="20"/>
        <v>441230.69266292092</v>
      </c>
      <c r="W37" s="135">
        <f t="shared" si="20"/>
        <v>440982.75321975769</v>
      </c>
      <c r="X37" s="135">
        <f t="shared" si="20"/>
        <v>440458.13779216958</v>
      </c>
      <c r="Y37" s="135">
        <f t="shared" si="20"/>
        <v>439599.53269911977</v>
      </c>
      <c r="Z37" s="135">
        <f t="shared" si="20"/>
        <v>438454.22928023024</v>
      </c>
      <c r="AA37" s="135">
        <f t="shared" si="20"/>
        <v>436955.02563102456</v>
      </c>
      <c r="AB37" s="135">
        <f t="shared" si="20"/>
        <v>435162.16578551731</v>
      </c>
      <c r="AC37" s="135">
        <f t="shared" si="20"/>
        <v>432115.85864223505</v>
      </c>
      <c r="AD37" s="135">
        <f t="shared" si="20"/>
        <v>428209.14118872874</v>
      </c>
      <c r="AE37" s="135">
        <f t="shared" si="20"/>
        <v>421808.5357225358</v>
      </c>
      <c r="AF37" s="135">
        <f t="shared" si="20"/>
        <v>392276.81896120991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2">D27</f>
        <v>725356.85352382285</v>
      </c>
      <c r="E45" s="1227">
        <f t="shared" si="22"/>
        <v>761828.63043885329</v>
      </c>
      <c r="F45" s="1227">
        <f t="shared" si="22"/>
        <v>885889.84541072126</v>
      </c>
      <c r="G45" s="1227">
        <f t="shared" si="22"/>
        <v>987003.66554251267</v>
      </c>
      <c r="H45" s="1227">
        <f t="shared" si="22"/>
        <v>1236097.9959341185</v>
      </c>
      <c r="I45" s="1227">
        <f t="shared" si="22"/>
        <v>1593813.2030140865</v>
      </c>
      <c r="J45" s="1227">
        <f t="shared" si="22"/>
        <v>1818859.3253650826</v>
      </c>
      <c r="K45" s="1227">
        <f t="shared" si="22"/>
        <v>2278716.0674755499</v>
      </c>
      <c r="L45" s="1227">
        <f t="shared" si="22"/>
        <v>2364109.4161833101</v>
      </c>
      <c r="M45" s="1227">
        <f t="shared" si="22"/>
        <v>2555369.117062388</v>
      </c>
      <c r="N45" s="1227">
        <f t="shared" si="22"/>
        <v>2848781.1486234986</v>
      </c>
      <c r="O45" s="1227">
        <f t="shared" si="22"/>
        <v>2865106.9852759722</v>
      </c>
      <c r="P45" s="1227">
        <f t="shared" si="22"/>
        <v>2870798.6579010366</v>
      </c>
      <c r="Q45" s="1227">
        <f t="shared" si="22"/>
        <v>2876702.398599592</v>
      </c>
      <c r="R45" s="1227">
        <f t="shared" si="22"/>
        <v>2882192.9790305672</v>
      </c>
      <c r="S45" s="1227">
        <f t="shared" si="22"/>
        <v>2887177.6431752713</v>
      </c>
      <c r="T45" s="1227">
        <f t="shared" si="22"/>
        <v>2892112.3726123702</v>
      </c>
      <c r="U45" s="1227">
        <f t="shared" si="22"/>
        <v>2896948.6232423722</v>
      </c>
      <c r="V45" s="1227">
        <f t="shared" si="22"/>
        <v>2901352.8049120642</v>
      </c>
      <c r="W45" s="1227">
        <f t="shared" si="22"/>
        <v>2906670.9225146249</v>
      </c>
      <c r="X45" s="1227">
        <f t="shared" si="22"/>
        <v>2912216.2112211767</v>
      </c>
      <c r="Y45" s="1227">
        <f t="shared" si="22"/>
        <v>2916211.6350679942</v>
      </c>
      <c r="Z45" s="1227">
        <f t="shared" si="22"/>
        <v>2920121.6719284556</v>
      </c>
      <c r="AA45" s="1227">
        <f t="shared" si="22"/>
        <v>2924031.3162903222</v>
      </c>
      <c r="AB45" s="1227">
        <f t="shared" si="22"/>
        <v>2928747.6276587206</v>
      </c>
      <c r="AC45" s="1227">
        <f t="shared" si="22"/>
        <v>2933760.8375236257</v>
      </c>
      <c r="AD45" s="1227">
        <f t="shared" si="22"/>
        <v>2938218.2189603127</v>
      </c>
      <c r="AE45" s="1227">
        <f t="shared" si="22"/>
        <v>2943149.1739716092</v>
      </c>
      <c r="AF45" s="1227">
        <f t="shared" si="22"/>
        <v>2946754.3086751751</v>
      </c>
      <c r="AG45" s="1229">
        <f>SUM(C45:AF45)</f>
        <v>70742552.116631314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5" si="23">SUM(C46:AF46)</f>
        <v>0</v>
      </c>
    </row>
    <row r="47" spans="2:34" s="205" customFormat="1" ht="21" customHeight="1">
      <c r="B47" s="468" t="s">
        <v>229</v>
      </c>
      <c r="C47" s="1212">
        <f t="shared" ref="C47:AF47" si="24">C48+C52</f>
        <v>-563262.22957299976</v>
      </c>
      <c r="D47" s="1212">
        <f t="shared" si="24"/>
        <v>-561656.73038045038</v>
      </c>
      <c r="E47" s="1212">
        <f t="shared" si="24"/>
        <v>-526558.43434490811</v>
      </c>
      <c r="F47" s="1212">
        <f t="shared" si="24"/>
        <v>-1656331.7371514337</v>
      </c>
      <c r="G47" s="1212">
        <f t="shared" si="24"/>
        <v>-950642.20464153332</v>
      </c>
      <c r="H47" s="1212">
        <f t="shared" si="24"/>
        <v>-7844694.7648898894</v>
      </c>
      <c r="I47" s="1212">
        <f t="shared" si="24"/>
        <v>-1512309.2253142786</v>
      </c>
      <c r="J47" s="1212">
        <f t="shared" si="24"/>
        <v>-2830877.3226910979</v>
      </c>
      <c r="K47" s="1212">
        <f t="shared" si="24"/>
        <v>-2472553.940306684</v>
      </c>
      <c r="L47" s="1212">
        <f t="shared" si="24"/>
        <v>-1546046.6680924161</v>
      </c>
      <c r="M47" s="1212">
        <f t="shared" si="24"/>
        <v>-3247806.1482536918</v>
      </c>
      <c r="N47" s="1212">
        <f t="shared" si="24"/>
        <v>-2999587.1825870844</v>
      </c>
      <c r="O47" s="1212">
        <f t="shared" si="24"/>
        <v>-676068.7669839228</v>
      </c>
      <c r="P47" s="1212">
        <f t="shared" si="24"/>
        <v>-676636.20060140186</v>
      </c>
      <c r="Q47" s="1212">
        <f t="shared" si="24"/>
        <v>-677190.25392167782</v>
      </c>
      <c r="R47" s="1212">
        <f t="shared" si="24"/>
        <v>-672218.95151649427</v>
      </c>
      <c r="S47" s="1212">
        <f t="shared" si="24"/>
        <v>-672381.33902028471</v>
      </c>
      <c r="T47" s="1212">
        <f t="shared" si="24"/>
        <v>-672408.87193076545</v>
      </c>
      <c r="U47" s="1212">
        <f t="shared" si="24"/>
        <v>-672265.39912198891</v>
      </c>
      <c r="V47" s="1212">
        <f t="shared" si="24"/>
        <v>-671812.49577370903</v>
      </c>
      <c r="W47" s="1212">
        <f t="shared" si="24"/>
        <v>-677170.298131007</v>
      </c>
      <c r="X47" s="1212">
        <f t="shared" si="24"/>
        <v>-667101.82114948728</v>
      </c>
      <c r="Y47" s="1212">
        <f t="shared" si="24"/>
        <v>-665934.11822293955</v>
      </c>
      <c r="Z47" s="1212">
        <f t="shared" si="24"/>
        <v>-664376.50557324965</v>
      </c>
      <c r="AA47" s="1212">
        <f t="shared" si="24"/>
        <v>-662337.58861033001</v>
      </c>
      <c r="AB47" s="1212">
        <f t="shared" si="24"/>
        <v>-669254.29922044021</v>
      </c>
      <c r="AC47" s="1212">
        <f t="shared" si="24"/>
        <v>-656570.32150557626</v>
      </c>
      <c r="AD47" s="1212">
        <f t="shared" si="24"/>
        <v>-652071.18576880766</v>
      </c>
      <c r="AE47" s="1212">
        <f t="shared" si="24"/>
        <v>-644584.36233478528</v>
      </c>
      <c r="AF47" s="1228">
        <f t="shared" si="24"/>
        <v>-601583.7217839784</v>
      </c>
      <c r="AG47" s="1231">
        <f t="shared" si="23"/>
        <v>-38664293.089397319</v>
      </c>
    </row>
    <row r="48" spans="2:34" s="206" customFormat="1" ht="21" customHeight="1">
      <c r="B48" s="468" t="s">
        <v>230</v>
      </c>
      <c r="C48" s="1212">
        <f t="shared" ref="C48:AF48" si="25">SUM(C49:C51)</f>
        <v>-563262.22957299976</v>
      </c>
      <c r="D48" s="1212">
        <f t="shared" si="25"/>
        <v>-345639.16425320646</v>
      </c>
      <c r="E48" s="1212">
        <f t="shared" si="25"/>
        <v>-302337.51106105704</v>
      </c>
      <c r="F48" s="1212">
        <f t="shared" si="25"/>
        <v>-1393737.2138793978</v>
      </c>
      <c r="G48" s="1212">
        <f t="shared" si="25"/>
        <v>-671894.77686003444</v>
      </c>
      <c r="H48" s="1212">
        <f t="shared" si="25"/>
        <v>-7490393.033740541</v>
      </c>
      <c r="I48" s="1212">
        <f t="shared" si="25"/>
        <v>-1142777.4083802553</v>
      </c>
      <c r="J48" s="1212">
        <f t="shared" si="25"/>
        <v>-2401723.0554120527</v>
      </c>
      <c r="K48" s="1212">
        <f t="shared" si="25"/>
        <v>-1924165.9188391753</v>
      </c>
      <c r="L48" s="1212">
        <f t="shared" si="25"/>
        <v>-999778.07055976056</v>
      </c>
      <c r="M48" s="1212">
        <f t="shared" si="25"/>
        <v>-2653505.4796216656</v>
      </c>
      <c r="N48" s="1212">
        <f t="shared" si="25"/>
        <v>-2353010.2054911945</v>
      </c>
      <c r="O48" s="1212">
        <f t="shared" si="25"/>
        <v>-68386.753752136574</v>
      </c>
      <c r="P48" s="1212">
        <f t="shared" si="25"/>
        <v>-68386.753752136574</v>
      </c>
      <c r="Q48" s="1212">
        <f t="shared" si="25"/>
        <v>-68386.753752136574</v>
      </c>
      <c r="R48" s="1212">
        <f t="shared" si="25"/>
        <v>-63098.753752136574</v>
      </c>
      <c r="S48" s="1212">
        <f t="shared" si="25"/>
        <v>-63098.753752136574</v>
      </c>
      <c r="T48" s="1212">
        <f t="shared" si="25"/>
        <v>-63098.753752136574</v>
      </c>
      <c r="U48" s="1212">
        <f t="shared" si="25"/>
        <v>-63098.753752136574</v>
      </c>
      <c r="V48" s="1212">
        <f t="shared" si="25"/>
        <v>-63098.753752136574</v>
      </c>
      <c r="W48" s="1212">
        <f t="shared" si="25"/>
        <v>-68793.753752136574</v>
      </c>
      <c r="X48" s="1212">
        <f t="shared" si="25"/>
        <v>-59438.753752136574</v>
      </c>
      <c r="Y48" s="1212">
        <f t="shared" si="25"/>
        <v>-59438.753752136574</v>
      </c>
      <c r="Z48" s="1212">
        <f t="shared" si="25"/>
        <v>-59438.753752136574</v>
      </c>
      <c r="AA48" s="1212">
        <f t="shared" si="25"/>
        <v>-59438.753752136574</v>
      </c>
      <c r="AB48" s="1212">
        <f t="shared" si="25"/>
        <v>-68793.753752136574</v>
      </c>
      <c r="AC48" s="1212">
        <f t="shared" si="25"/>
        <v>-60252.753752136574</v>
      </c>
      <c r="AD48" s="1212">
        <f t="shared" si="25"/>
        <v>-61066.753752136574</v>
      </c>
      <c r="AE48" s="1212">
        <f t="shared" si="25"/>
        <v>-62284.753752136574</v>
      </c>
      <c r="AF48" s="1212">
        <f t="shared" si="25"/>
        <v>-59447.247996732927</v>
      </c>
      <c r="AG48" s="1231">
        <f t="shared" si="23"/>
        <v>-23381272.129454359</v>
      </c>
      <c r="AH48" s="207"/>
    </row>
    <row r="49" spans="2:34" s="206" customFormat="1" ht="21" customHeight="1">
      <c r="B49" s="1258" t="s">
        <v>231</v>
      </c>
      <c r="C49" s="1214">
        <f>'R1 FC'!C8</f>
        <v>-408428.3754822117</v>
      </c>
      <c r="D49" s="1214">
        <f>'R1 FC'!D8</f>
        <v>-329783.01199834509</v>
      </c>
      <c r="E49" s="1214">
        <f>'R1 FC'!E8</f>
        <v>-226602.31678867349</v>
      </c>
      <c r="F49" s="1214">
        <f>'R1 FC'!F8</f>
        <v>-1359859.3479073208</v>
      </c>
      <c r="G49" s="1222">
        <f>-'E5 CAPEX'!J106</f>
        <v>-392262.3403888006</v>
      </c>
      <c r="H49" s="1222">
        <f>-'E5 CAPEX'!K106</f>
        <v>-2219517.384454648</v>
      </c>
      <c r="I49" s="1222">
        <f>-'E5 CAPEX'!L106</f>
        <v>-99435.813516290713</v>
      </c>
      <c r="J49" s="1222">
        <f>-'E5 CAPEX'!M106</f>
        <v>-156630.89518321707</v>
      </c>
      <c r="K49" s="1214">
        <f>'R1 FC'!K8</f>
        <v>-14581.887780059598</v>
      </c>
      <c r="L49" s="1214">
        <f>'R1 FC'!L8</f>
        <v>-15189.887780059598</v>
      </c>
      <c r="M49" s="1214">
        <f>'R1 FC'!M8</f>
        <v>-14785.887780059598</v>
      </c>
      <c r="N49" s="1214">
        <f>'R1 FC'!N8</f>
        <v>-14275.887780059598</v>
      </c>
      <c r="O49" s="1214">
        <f>'R1 FC'!O8</f>
        <v>-14275.887780059598</v>
      </c>
      <c r="P49" s="1214">
        <f>'R1 FC'!P8</f>
        <v>-14275.887780059598</v>
      </c>
      <c r="Q49" s="1214">
        <f>'R1 FC'!Q8</f>
        <v>-14275.887780059598</v>
      </c>
      <c r="R49" s="1214">
        <f>'R1 FC'!R8</f>
        <v>-12851.887780059598</v>
      </c>
      <c r="S49" s="1214">
        <f>'R1 FC'!S8</f>
        <v>-12851.887780059598</v>
      </c>
      <c r="T49" s="1214">
        <f>'R1 FC'!T8</f>
        <v>-12851.887780059598</v>
      </c>
      <c r="U49" s="1214">
        <f>'R1 FC'!U8</f>
        <v>-12851.887780059598</v>
      </c>
      <c r="V49" s="1214">
        <f>'R1 FC'!V8</f>
        <v>-12851.887780059598</v>
      </c>
      <c r="W49" s="1214">
        <f>'R1 FC'!W8</f>
        <v>-14377.887780059598</v>
      </c>
      <c r="X49" s="1214">
        <f>'R1 FC'!X8</f>
        <v>-11835.887780059598</v>
      </c>
      <c r="Y49" s="1214">
        <f>'R1 FC'!Y8</f>
        <v>-11835.887780059598</v>
      </c>
      <c r="Z49" s="1214">
        <f>'R1 FC'!Z8</f>
        <v>-11835.887780059598</v>
      </c>
      <c r="AA49" s="1214">
        <f>'R1 FC'!AA8</f>
        <v>-11835.887780059598</v>
      </c>
      <c r="AB49" s="1214">
        <f>'R1 FC'!AB8</f>
        <v>-14377.887780059598</v>
      </c>
      <c r="AC49" s="1214">
        <f>'R1 FC'!AC8</f>
        <v>-12039.887780059598</v>
      </c>
      <c r="AD49" s="1214">
        <f>'R1 FC'!AD8</f>
        <v>-12243.887780059598</v>
      </c>
      <c r="AE49" s="1214">
        <f>'R1 FC'!AE8</f>
        <v>-12647.887780059598</v>
      </c>
      <c r="AF49" s="1214">
        <f>'R1 FC'!AF8</f>
        <v>-9773.2620246559418</v>
      </c>
      <c r="AG49" s="1231">
        <f t="shared" si="23"/>
        <v>-5481244.3911254248</v>
      </c>
    </row>
    <row r="50" spans="2:34" s="206" customFormat="1" ht="21" customHeight="1">
      <c r="B50" s="1258" t="s">
        <v>232</v>
      </c>
      <c r="C50" s="1214">
        <f>'R1 FC'!C9</f>
        <v>-37879.125589369905</v>
      </c>
      <c r="D50" s="1214">
        <f>'R1 FC'!D9</f>
        <v>-571.94869673148537</v>
      </c>
      <c r="E50" s="1214">
        <f>'R1 FC'!E9</f>
        <v>-9420.8028316306008</v>
      </c>
      <c r="F50" s="1214">
        <f>'R1 FC'!F9</f>
        <v>-816</v>
      </c>
      <c r="G50" s="1222">
        <f>-'E5 CAPEX'!J107</f>
        <v>-264774.07995946408</v>
      </c>
      <c r="H50" s="1222">
        <f>-'E5 CAPEX'!K107</f>
        <v>-5221610.1859909734</v>
      </c>
      <c r="I50" s="1222">
        <f>-'E5 CAPEX'!L107</f>
        <v>-1023067.6764175253</v>
      </c>
      <c r="J50" s="1222">
        <f>-'E5 CAPEX'!M107</f>
        <v>-2179670.1740695303</v>
      </c>
      <c r="K50" s="1214">
        <f>'R1 FC'!K9</f>
        <v>-1876522.1650870387</v>
      </c>
      <c r="L50" s="1214">
        <f>'R1 FC'!L9</f>
        <v>-951526.31680762395</v>
      </c>
      <c r="M50" s="1214">
        <f>'R1 FC'!M9</f>
        <v>-2605657.7258695289</v>
      </c>
      <c r="N50" s="1214">
        <f>'R1 FC'!N9</f>
        <v>-2305672.4517390579</v>
      </c>
      <c r="O50" s="1214">
        <f>'R1 FC'!O9</f>
        <v>-21049</v>
      </c>
      <c r="P50" s="1214">
        <f>'R1 FC'!P9</f>
        <v>-21049</v>
      </c>
      <c r="Q50" s="1214">
        <f>'R1 FC'!Q9</f>
        <v>-21049</v>
      </c>
      <c r="R50" s="1214">
        <f>'R1 FC'!R9</f>
        <v>-17185</v>
      </c>
      <c r="S50" s="1214">
        <f>'R1 FC'!S9</f>
        <v>-17185</v>
      </c>
      <c r="T50" s="1214">
        <f>'R1 FC'!T9</f>
        <v>-17185</v>
      </c>
      <c r="U50" s="1214">
        <f>'R1 FC'!U9</f>
        <v>-17185</v>
      </c>
      <c r="V50" s="1214">
        <f>'R1 FC'!V9</f>
        <v>-17185</v>
      </c>
      <c r="W50" s="1214">
        <f>'R1 FC'!W9</f>
        <v>-21354</v>
      </c>
      <c r="X50" s="1214">
        <f>'R1 FC'!X9</f>
        <v>-14541</v>
      </c>
      <c r="Y50" s="1214">
        <f>'R1 FC'!Y9</f>
        <v>-14541</v>
      </c>
      <c r="Z50" s="1214">
        <f>'R1 FC'!Z9</f>
        <v>-14541</v>
      </c>
      <c r="AA50" s="1214">
        <f>'R1 FC'!AA9</f>
        <v>-14541</v>
      </c>
      <c r="AB50" s="1214">
        <f>'R1 FC'!AB9</f>
        <v>-21354</v>
      </c>
      <c r="AC50" s="1214">
        <f>'R1 FC'!AC9</f>
        <v>-15151</v>
      </c>
      <c r="AD50" s="1214">
        <f>'R1 FC'!AD9</f>
        <v>-15761</v>
      </c>
      <c r="AE50" s="1214">
        <f>'R1 FC'!AE9</f>
        <v>-16575</v>
      </c>
      <c r="AF50" s="1214">
        <f>'R1 FC'!AF9</f>
        <v>-16612.120000000003</v>
      </c>
      <c r="AG50" s="1231">
        <f t="shared" si="23"/>
        <v>-16791231.773058474</v>
      </c>
    </row>
    <row r="51" spans="2:34" s="206" customFormat="1" ht="21" customHeight="1">
      <c r="B51" s="1258" t="s">
        <v>233</v>
      </c>
      <c r="C51" s="1214">
        <f>'R1 FC'!C10</f>
        <v>-116954.72850141811</v>
      </c>
      <c r="D51" s="1214">
        <f>'R1 FC'!D10</f>
        <v>-15284.203558129915</v>
      </c>
      <c r="E51" s="1214">
        <f>'R1 FC'!E10</f>
        <v>-66314.391440752952</v>
      </c>
      <c r="F51" s="1214">
        <f>'R1 FC'!F10</f>
        <v>-33061.865972076979</v>
      </c>
      <c r="G51" s="1222">
        <f>-'E5 CAPEX'!J108</f>
        <v>-14858.356511769754</v>
      </c>
      <c r="H51" s="1222">
        <f>-'E5 CAPEX'!K108</f>
        <v>-49265.463294919617</v>
      </c>
      <c r="I51" s="1222">
        <f>-'E5 CAPEX'!L108</f>
        <v>-20273.918446439355</v>
      </c>
      <c r="J51" s="1222">
        <f>-'E5 CAPEX'!M108</f>
        <v>-65421.986159305168</v>
      </c>
      <c r="K51" s="1214">
        <f>'R1 FC'!K10</f>
        <v>-33061.865972076979</v>
      </c>
      <c r="L51" s="1214">
        <f>'R1 FC'!L10</f>
        <v>-33061.865972076979</v>
      </c>
      <c r="M51" s="1214">
        <f>'R1 FC'!M10</f>
        <v>-33061.865972076979</v>
      </c>
      <c r="N51" s="1214">
        <f>'R1 FC'!N10</f>
        <v>-33061.865972076979</v>
      </c>
      <c r="O51" s="1214">
        <f>'R1 FC'!O10</f>
        <v>-33061.865972076979</v>
      </c>
      <c r="P51" s="1214">
        <f>'R1 FC'!P10</f>
        <v>-33061.865972076979</v>
      </c>
      <c r="Q51" s="1214">
        <f>'R1 FC'!Q10</f>
        <v>-33061.865972076979</v>
      </c>
      <c r="R51" s="1214">
        <f>'R1 FC'!R10</f>
        <v>-33061.865972076979</v>
      </c>
      <c r="S51" s="1214">
        <f>'R1 FC'!S10</f>
        <v>-33061.865972076979</v>
      </c>
      <c r="T51" s="1214">
        <f>'R1 FC'!T10</f>
        <v>-33061.865972076979</v>
      </c>
      <c r="U51" s="1214">
        <f>'R1 FC'!U10</f>
        <v>-33061.865972076979</v>
      </c>
      <c r="V51" s="1214">
        <f>'R1 FC'!V10</f>
        <v>-33061.865972076979</v>
      </c>
      <c r="W51" s="1214">
        <f>'R1 FC'!W10</f>
        <v>-33061.865972076979</v>
      </c>
      <c r="X51" s="1214">
        <f>'R1 FC'!X10</f>
        <v>-33061.865972076979</v>
      </c>
      <c r="Y51" s="1214">
        <f>'R1 FC'!Y10</f>
        <v>-33061.865972076979</v>
      </c>
      <c r="Z51" s="1214">
        <f>'R1 FC'!Z10</f>
        <v>-33061.865972076979</v>
      </c>
      <c r="AA51" s="1214">
        <f>'R1 FC'!AA10</f>
        <v>-33061.865972076979</v>
      </c>
      <c r="AB51" s="1214">
        <f>'R1 FC'!AB10</f>
        <v>-33061.865972076979</v>
      </c>
      <c r="AC51" s="1214">
        <f>'R1 FC'!AC10</f>
        <v>-33061.865972076979</v>
      </c>
      <c r="AD51" s="1214">
        <f>'R1 FC'!AD10</f>
        <v>-33061.865972076979</v>
      </c>
      <c r="AE51" s="1214">
        <f>'R1 FC'!AE10</f>
        <v>-33061.865972076979</v>
      </c>
      <c r="AF51" s="1214">
        <f>'R1 FC'!AF10</f>
        <v>-33061.865972076979</v>
      </c>
      <c r="AG51" s="1231">
        <f t="shared" si="23"/>
        <v>-1108795.965270506</v>
      </c>
    </row>
    <row r="52" spans="2:34" s="206" customFormat="1" ht="21" customHeight="1">
      <c r="B52" s="468" t="s">
        <v>234</v>
      </c>
      <c r="C52" s="1212">
        <f>C53+C54</f>
        <v>0</v>
      </c>
      <c r="D52" s="1212">
        <f t="shared" ref="D52:AF52" si="26">D53+D54</f>
        <v>-216017.56612724392</v>
      </c>
      <c r="E52" s="1212">
        <f t="shared" si="26"/>
        <v>-224220.92328385104</v>
      </c>
      <c r="F52" s="1212">
        <f t="shared" si="26"/>
        <v>-262594.52327203582</v>
      </c>
      <c r="G52" s="1212">
        <f t="shared" si="26"/>
        <v>-278747.42778149887</v>
      </c>
      <c r="H52" s="1212">
        <f t="shared" si="26"/>
        <v>-354301.73114934843</v>
      </c>
      <c r="I52" s="1212">
        <f t="shared" si="26"/>
        <v>-369531.81693402323</v>
      </c>
      <c r="J52" s="1212">
        <f t="shared" si="26"/>
        <v>-429154.26727904513</v>
      </c>
      <c r="K52" s="1212">
        <f t="shared" si="26"/>
        <v>-548388.02146750875</v>
      </c>
      <c r="L52" s="1212">
        <f t="shared" si="26"/>
        <v>-546268.59753265569</v>
      </c>
      <c r="M52" s="1212">
        <f t="shared" si="26"/>
        <v>-594300.6686320263</v>
      </c>
      <c r="N52" s="1212">
        <f t="shared" si="26"/>
        <v>-646576.97709588986</v>
      </c>
      <c r="O52" s="1212">
        <f t="shared" si="26"/>
        <v>-607682.0132317862</v>
      </c>
      <c r="P52" s="1212">
        <f t="shared" si="26"/>
        <v>-608249.44684926525</v>
      </c>
      <c r="Q52" s="1212">
        <f t="shared" si="26"/>
        <v>-608803.50016954122</v>
      </c>
      <c r="R52" s="1212">
        <f t="shared" si="26"/>
        <v>-609120.19776435767</v>
      </c>
      <c r="S52" s="1212">
        <f t="shared" si="26"/>
        <v>-609282.5852681481</v>
      </c>
      <c r="T52" s="1212">
        <f t="shared" si="26"/>
        <v>-609310.11817862885</v>
      </c>
      <c r="U52" s="1212">
        <f t="shared" si="26"/>
        <v>-609166.64536985231</v>
      </c>
      <c r="V52" s="1212">
        <f t="shared" si="26"/>
        <v>-608713.74202157243</v>
      </c>
      <c r="W52" s="1212">
        <f t="shared" si="26"/>
        <v>-608376.5443788704</v>
      </c>
      <c r="X52" s="1212">
        <f t="shared" si="26"/>
        <v>-607663.06739735068</v>
      </c>
      <c r="Y52" s="1212">
        <f t="shared" si="26"/>
        <v>-606495.36447080295</v>
      </c>
      <c r="Z52" s="1212">
        <f t="shared" si="26"/>
        <v>-604937.75182111305</v>
      </c>
      <c r="AA52" s="1212">
        <f t="shared" si="26"/>
        <v>-602898.83485819341</v>
      </c>
      <c r="AB52" s="1212">
        <f t="shared" si="26"/>
        <v>-600460.54546830361</v>
      </c>
      <c r="AC52" s="1212">
        <f t="shared" si="26"/>
        <v>-596317.56775343965</v>
      </c>
      <c r="AD52" s="1212">
        <f t="shared" si="26"/>
        <v>-591004.43201667105</v>
      </c>
      <c r="AE52" s="1212">
        <f t="shared" si="26"/>
        <v>-582299.60858264868</v>
      </c>
      <c r="AF52" s="1228">
        <f t="shared" si="26"/>
        <v>-542136.47378724546</v>
      </c>
      <c r="AG52" s="1231">
        <f t="shared" si="23"/>
        <v>-15283020.95994292</v>
      </c>
    </row>
    <row r="53" spans="2:34" s="206" customFormat="1" ht="21" customHeight="1">
      <c r="B53" s="469" t="s">
        <v>235</v>
      </c>
      <c r="C53" s="1214">
        <f>C31</f>
        <v>0</v>
      </c>
      <c r="D53" s="1214">
        <f t="shared" ref="D53:AF54" si="27">D31</f>
        <v>-152483.50450532642</v>
      </c>
      <c r="E53" s="1214">
        <f t="shared" si="27"/>
        <v>-158515.38476753753</v>
      </c>
      <c r="F53" s="1214">
        <f t="shared" si="27"/>
        <v>-186731.26711179104</v>
      </c>
      <c r="G53" s="1214">
        <f t="shared" si="27"/>
        <v>-198608.40278051386</v>
      </c>
      <c r="H53" s="1214">
        <f t="shared" si="27"/>
        <v>-254163.03760981502</v>
      </c>
      <c r="I53" s="1214">
        <f t="shared" si="27"/>
        <v>-265361.63009854651</v>
      </c>
      <c r="J53" s="1214">
        <f t="shared" si="27"/>
        <v>-309201.66711694497</v>
      </c>
      <c r="K53" s="1214">
        <f t="shared" si="27"/>
        <v>-396873.54519669758</v>
      </c>
      <c r="L53" s="1214">
        <f t="shared" si="27"/>
        <v>-395315.14524459979</v>
      </c>
      <c r="M53" s="1214">
        <f t="shared" si="27"/>
        <v>-430632.84458237229</v>
      </c>
      <c r="N53" s="1214">
        <f t="shared" si="27"/>
        <v>-469071.30668815435</v>
      </c>
      <c r="O53" s="1214">
        <f t="shared" si="27"/>
        <v>-440472.06855278392</v>
      </c>
      <c r="P53" s="1214">
        <f t="shared" si="27"/>
        <v>-440889.29915387154</v>
      </c>
      <c r="Q53" s="1214">
        <f t="shared" si="27"/>
        <v>-441296.69130113325</v>
      </c>
      <c r="R53" s="1214">
        <f t="shared" si="27"/>
        <v>-441529.55717967474</v>
      </c>
      <c r="S53" s="1214">
        <f t="shared" si="27"/>
        <v>-441648.95975599124</v>
      </c>
      <c r="T53" s="1214">
        <f t="shared" si="27"/>
        <v>-441669.20454310946</v>
      </c>
      <c r="U53" s="1214">
        <f t="shared" si="27"/>
        <v>-441563.70983077376</v>
      </c>
      <c r="V53" s="1214">
        <f t="shared" si="27"/>
        <v>-441230.69266292092</v>
      </c>
      <c r="W53" s="1214">
        <f t="shared" si="27"/>
        <v>-440982.75321975769</v>
      </c>
      <c r="X53" s="1214">
        <f t="shared" si="27"/>
        <v>-440458.13779216958</v>
      </c>
      <c r="Y53" s="1214">
        <f t="shared" si="27"/>
        <v>-439599.53269911977</v>
      </c>
      <c r="Z53" s="1214">
        <f t="shared" si="27"/>
        <v>-438454.22928023024</v>
      </c>
      <c r="AA53" s="1214">
        <f t="shared" si="27"/>
        <v>-436955.02563102456</v>
      </c>
      <c r="AB53" s="1214">
        <f t="shared" si="27"/>
        <v>-435162.16578551731</v>
      </c>
      <c r="AC53" s="1214">
        <f t="shared" si="27"/>
        <v>-432115.85864223505</v>
      </c>
      <c r="AD53" s="1214">
        <f t="shared" si="27"/>
        <v>-428209.14118872874</v>
      </c>
      <c r="AE53" s="1214">
        <f t="shared" si="27"/>
        <v>-421808.5357225358</v>
      </c>
      <c r="AF53" s="1214">
        <f t="shared" si="27"/>
        <v>-392276.81896120991</v>
      </c>
      <c r="AG53" s="1231">
        <f t="shared" si="23"/>
        <v>-11053280.117605088</v>
      </c>
    </row>
    <row r="54" spans="2:34" s="206" customFormat="1" ht="21" customHeight="1" thickBot="1">
      <c r="B54" s="476" t="s">
        <v>236</v>
      </c>
      <c r="C54" s="1214">
        <f>C32</f>
        <v>0</v>
      </c>
      <c r="D54" s="1214">
        <f t="shared" si="27"/>
        <v>-63534.061621917506</v>
      </c>
      <c r="E54" s="1214">
        <f t="shared" si="27"/>
        <v>-65705.538516313507</v>
      </c>
      <c r="F54" s="1214">
        <f t="shared" si="27"/>
        <v>-75863.256160244768</v>
      </c>
      <c r="G54" s="1214">
        <f t="shared" si="27"/>
        <v>-80139.025000984999</v>
      </c>
      <c r="H54" s="1214">
        <f t="shared" si="27"/>
        <v>-100138.6935395334</v>
      </c>
      <c r="I54" s="1214">
        <f t="shared" si="27"/>
        <v>-104170.18683547674</v>
      </c>
      <c r="J54" s="1214">
        <f t="shared" si="27"/>
        <v>-119952.60016210018</v>
      </c>
      <c r="K54" s="1214">
        <f t="shared" si="27"/>
        <v>-151514.47627081114</v>
      </c>
      <c r="L54" s="1214">
        <f t="shared" si="27"/>
        <v>-150953.45228805591</v>
      </c>
      <c r="M54" s="1214">
        <f t="shared" si="27"/>
        <v>-163667.82404965401</v>
      </c>
      <c r="N54" s="1214">
        <f t="shared" si="27"/>
        <v>-177505.67040773557</v>
      </c>
      <c r="O54" s="1214">
        <f t="shared" si="27"/>
        <v>-167209.94467900222</v>
      </c>
      <c r="P54" s="1214">
        <f t="shared" si="27"/>
        <v>-167360.14769539374</v>
      </c>
      <c r="Q54" s="1214">
        <f t="shared" si="27"/>
        <v>-167506.80886840797</v>
      </c>
      <c r="R54" s="1214">
        <f t="shared" si="27"/>
        <v>-167590.64058468293</v>
      </c>
      <c r="S54" s="1214">
        <f t="shared" si="27"/>
        <v>-167633.62551215684</v>
      </c>
      <c r="T54" s="1214">
        <f t="shared" si="27"/>
        <v>-167640.91363551939</v>
      </c>
      <c r="U54" s="1214">
        <f t="shared" si="27"/>
        <v>-167602.93553907855</v>
      </c>
      <c r="V54" s="1214">
        <f t="shared" si="27"/>
        <v>-167483.04935865154</v>
      </c>
      <c r="W54" s="1214">
        <f t="shared" si="27"/>
        <v>-167393.79115911276</v>
      </c>
      <c r="X54" s="1214">
        <f t="shared" si="27"/>
        <v>-167204.92960518107</v>
      </c>
      <c r="Y54" s="1214">
        <f t="shared" si="27"/>
        <v>-166895.83177168312</v>
      </c>
      <c r="Z54" s="1214">
        <f t="shared" si="27"/>
        <v>-166483.52254088287</v>
      </c>
      <c r="AA54" s="1214">
        <f t="shared" si="27"/>
        <v>-165943.80922716882</v>
      </c>
      <c r="AB54" s="1214">
        <f t="shared" si="27"/>
        <v>-165298.37968278624</v>
      </c>
      <c r="AC54" s="1214">
        <f t="shared" si="27"/>
        <v>-164201.7091112046</v>
      </c>
      <c r="AD54" s="1214">
        <f t="shared" si="27"/>
        <v>-162795.29082794234</v>
      </c>
      <c r="AE54" s="1214">
        <f t="shared" si="27"/>
        <v>-160491.07286011288</v>
      </c>
      <c r="AF54" s="1214">
        <f t="shared" si="27"/>
        <v>-149859.65482603555</v>
      </c>
      <c r="AG54" s="1232">
        <f t="shared" si="23"/>
        <v>-4229740.8423378319</v>
      </c>
    </row>
    <row r="55" spans="2:34" s="206" customFormat="1" ht="21" customHeight="1" thickBot="1">
      <c r="B55" s="472" t="s">
        <v>237</v>
      </c>
      <c r="C55" s="1233">
        <f>C45+C47</f>
        <v>-218809.77007688157</v>
      </c>
      <c r="D55" s="1233">
        <f t="shared" ref="D55:AF55" si="28">D45+D47</f>
        <v>163700.12314337248</v>
      </c>
      <c r="E55" s="1233">
        <f t="shared" si="28"/>
        <v>235270.19609394518</v>
      </c>
      <c r="F55" s="1233">
        <f t="shared" si="28"/>
        <v>-770441.89174071245</v>
      </c>
      <c r="G55" s="1233">
        <f t="shared" si="28"/>
        <v>36361.460900979349</v>
      </c>
      <c r="H55" s="1233">
        <f t="shared" si="28"/>
        <v>-6608596.7689557709</v>
      </c>
      <c r="I55" s="1233">
        <f t="shared" si="28"/>
        <v>81503.977699807845</v>
      </c>
      <c r="J55" s="1233">
        <f t="shared" si="28"/>
        <v>-1012017.9973260153</v>
      </c>
      <c r="K55" s="1233">
        <f t="shared" si="28"/>
        <v>-193837.87283113413</v>
      </c>
      <c r="L55" s="1233">
        <f t="shared" si="28"/>
        <v>818062.74809089396</v>
      </c>
      <c r="M55" s="1233">
        <f t="shared" si="28"/>
        <v>-692437.03119130386</v>
      </c>
      <c r="N55" s="1233">
        <f t="shared" si="28"/>
        <v>-150806.03396358574</v>
      </c>
      <c r="O55" s="1233">
        <f t="shared" si="28"/>
        <v>2189038.2182920491</v>
      </c>
      <c r="P55" s="1233">
        <f t="shared" si="28"/>
        <v>2194162.4572996348</v>
      </c>
      <c r="Q55" s="1233">
        <f t="shared" si="28"/>
        <v>2199512.1446779142</v>
      </c>
      <c r="R55" s="1233">
        <f t="shared" si="28"/>
        <v>2209974.0275140731</v>
      </c>
      <c r="S55" s="1233">
        <f t="shared" si="28"/>
        <v>2214796.3041549865</v>
      </c>
      <c r="T55" s="1233">
        <f t="shared" si="28"/>
        <v>2219703.5006816047</v>
      </c>
      <c r="U55" s="1233">
        <f t="shared" si="28"/>
        <v>2224683.2241203832</v>
      </c>
      <c r="V55" s="1233">
        <f t="shared" si="28"/>
        <v>2229540.3091383553</v>
      </c>
      <c r="W55" s="1233">
        <f t="shared" si="28"/>
        <v>2229500.6243836181</v>
      </c>
      <c r="X55" s="1233">
        <f t="shared" si="28"/>
        <v>2245114.3900716892</v>
      </c>
      <c r="Y55" s="1233">
        <f t="shared" si="28"/>
        <v>2250277.5168450549</v>
      </c>
      <c r="Z55" s="1233">
        <f t="shared" si="28"/>
        <v>2255745.1663552057</v>
      </c>
      <c r="AA55" s="1233">
        <f t="shared" si="28"/>
        <v>2261693.7276799921</v>
      </c>
      <c r="AB55" s="1233">
        <f t="shared" si="28"/>
        <v>2259493.3284382802</v>
      </c>
      <c r="AC55" s="1233">
        <f t="shared" si="28"/>
        <v>2277190.5160180493</v>
      </c>
      <c r="AD55" s="1233">
        <f t="shared" si="28"/>
        <v>2286147.0331915049</v>
      </c>
      <c r="AE55" s="1233">
        <f t="shared" si="28"/>
        <v>2298564.8116368242</v>
      </c>
      <c r="AF55" s="1234">
        <f t="shared" si="28"/>
        <v>2345170.5868911967</v>
      </c>
      <c r="AG55" s="1235">
        <f t="shared" si="23"/>
        <v>32078259.02723401</v>
      </c>
      <c r="AH55" s="207"/>
    </row>
    <row r="56" spans="2:34" s="206" customFormat="1" ht="21" customHeight="1" thickBot="1">
      <c r="B56" s="472" t="s">
        <v>238</v>
      </c>
      <c r="C56" s="886">
        <f>IRR(C55:AF55)</f>
        <v>0.12017021562794783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714</v>
      </c>
      <c r="C58" s="886">
        <v>0.1203</v>
      </c>
    </row>
    <row r="59" spans="2:34" ht="15" thickBot="1"/>
    <row r="60" spans="2:34" ht="15.75" thickBot="1">
      <c r="B60" s="472" t="s">
        <v>659</v>
      </c>
      <c r="C60" s="886">
        <f>C56-C58</f>
        <v>-1.2978437205217463E-4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12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01B2C-07B7-415E-8CD0-F2683CBF6622}">
  <sheetPr>
    <tabColor theme="2" tint="-0.249977111117893"/>
  </sheetPr>
  <dimension ref="A1:AS54"/>
  <sheetViews>
    <sheetView zoomScaleNormal="100" workbookViewId="0"/>
  </sheetViews>
  <sheetFormatPr defaultRowHeight="12.75"/>
  <cols>
    <col min="1" max="1" width="24.28515625" customWidth="1"/>
    <col min="2" max="5" width="11.7109375" bestFit="1" customWidth="1"/>
    <col min="31" max="31" width="10" bestFit="1" customWidth="1"/>
  </cols>
  <sheetData>
    <row r="1" spans="1:45" ht="23.25">
      <c r="A1" s="1236" t="s">
        <v>809</v>
      </c>
    </row>
    <row r="2" spans="1:45" ht="23.25">
      <c r="A2" s="1236" t="s">
        <v>815</v>
      </c>
    </row>
    <row r="5" spans="1:45">
      <c r="AA5" t="s">
        <v>810</v>
      </c>
      <c r="AJ5" t="s">
        <v>811</v>
      </c>
    </row>
    <row r="6" spans="1:45">
      <c r="AB6" t="s">
        <v>681</v>
      </c>
      <c r="AC6" t="s">
        <v>682</v>
      </c>
      <c r="AD6" t="s">
        <v>683</v>
      </c>
      <c r="AF6" t="s">
        <v>684</v>
      </c>
      <c r="AK6" t="s">
        <v>681</v>
      </c>
      <c r="AL6" t="s">
        <v>682</v>
      </c>
      <c r="AM6" t="s">
        <v>683</v>
      </c>
      <c r="AO6" t="s">
        <v>684</v>
      </c>
    </row>
    <row r="7" spans="1:45">
      <c r="AA7" s="1192">
        <v>43678</v>
      </c>
      <c r="AB7">
        <v>295242.90999999997</v>
      </c>
      <c r="AC7">
        <v>5229.93</v>
      </c>
      <c r="AD7">
        <v>227415.72991615563</v>
      </c>
      <c r="AE7" s="1582">
        <f>SUM(AD7:AD18)</f>
        <v>3035183.0454622093</v>
      </c>
      <c r="AF7" s="1582">
        <v>2997193.0318223308</v>
      </c>
      <c r="AG7" s="1582">
        <f>AE7-AF7</f>
        <v>37990.013639878482</v>
      </c>
      <c r="AH7" s="1583">
        <f>AG7/AF7</f>
        <v>1.2675197505307184E-2</v>
      </c>
      <c r="AJ7" s="1192">
        <v>43678</v>
      </c>
      <c r="AK7">
        <v>792.31</v>
      </c>
      <c r="AL7">
        <v>5229.93</v>
      </c>
      <c r="AM7">
        <v>610.28986934815566</v>
      </c>
      <c r="AN7" s="1582">
        <f>SUM(AM7:AM18)</f>
        <v>6278.0929881599686</v>
      </c>
      <c r="AO7" s="1582">
        <v>68734.377566256793</v>
      </c>
      <c r="AP7" s="1582">
        <f>AN7-AO7</f>
        <v>-62456.284578096827</v>
      </c>
      <c r="AQ7" s="1583">
        <f>AP7/AO7</f>
        <v>-0.9086615284744789</v>
      </c>
    </row>
    <row r="8" spans="1:45">
      <c r="AA8" s="1192">
        <v>43709</v>
      </c>
      <c r="AB8">
        <v>314759.87999999995</v>
      </c>
      <c r="AC8">
        <v>5227.84</v>
      </c>
      <c r="AD8">
        <v>242545.92546581375</v>
      </c>
      <c r="AE8" s="1582"/>
      <c r="AF8" s="1582"/>
      <c r="AG8" s="1582"/>
      <c r="AH8" s="1583"/>
      <c r="AJ8" s="1192">
        <v>43709</v>
      </c>
      <c r="AK8">
        <v>1094.2</v>
      </c>
      <c r="AL8">
        <v>5227.84</v>
      </c>
      <c r="AM8">
        <v>843.1625772785701</v>
      </c>
      <c r="AN8" s="1582"/>
      <c r="AO8" s="1582"/>
      <c r="AP8" s="1582"/>
      <c r="AQ8" s="1583"/>
    </row>
    <row r="9" spans="1:45">
      <c r="AA9" s="1192">
        <v>43739</v>
      </c>
      <c r="AB9">
        <v>324841.35000000009</v>
      </c>
      <c r="AC9">
        <v>5233.07</v>
      </c>
      <c r="AD9">
        <v>250064.2811951685</v>
      </c>
      <c r="AE9" s="1582"/>
      <c r="AF9" s="1582"/>
      <c r="AG9" s="1582"/>
      <c r="AH9" s="1583"/>
      <c r="AJ9" s="1192">
        <v>43739</v>
      </c>
      <c r="AK9">
        <v>1067.3900000000001</v>
      </c>
      <c r="AL9">
        <v>5233.07</v>
      </c>
      <c r="AM9">
        <v>821.68145497767091</v>
      </c>
      <c r="AN9" s="1582"/>
      <c r="AO9" s="1582"/>
      <c r="AP9" s="1582"/>
      <c r="AQ9" s="1583"/>
    </row>
    <row r="10" spans="1:45">
      <c r="AA10" s="1192">
        <v>43770</v>
      </c>
      <c r="AB10">
        <v>329315.25</v>
      </c>
      <c r="AC10">
        <v>5259.76</v>
      </c>
      <c r="AD10">
        <v>252221.91235151413</v>
      </c>
      <c r="AE10" s="1582"/>
      <c r="AF10" s="1582"/>
      <c r="AG10" s="1582"/>
      <c r="AH10" s="1583"/>
      <c r="AJ10" s="1192">
        <v>43770</v>
      </c>
      <c r="AK10">
        <v>1042.47</v>
      </c>
      <c r="AL10">
        <v>5259.76</v>
      </c>
      <c r="AM10">
        <v>798.42575455914334</v>
      </c>
      <c r="AN10" s="1582"/>
      <c r="AO10" s="1582"/>
      <c r="AP10" s="1582"/>
      <c r="AQ10" s="1583"/>
    </row>
    <row r="11" spans="1:45">
      <c r="AA11" s="1192">
        <v>43800</v>
      </c>
      <c r="AB11">
        <v>352380.52</v>
      </c>
      <c r="AC11">
        <v>5320.25</v>
      </c>
      <c r="AD11">
        <v>266818.99948100181</v>
      </c>
      <c r="AE11" s="1582"/>
      <c r="AF11" s="1582"/>
      <c r="AG11" s="1582"/>
      <c r="AH11" s="1583"/>
      <c r="AJ11" s="1192">
        <v>43800</v>
      </c>
      <c r="AK11">
        <v>1014.39</v>
      </c>
      <c r="AL11">
        <v>5320.25</v>
      </c>
      <c r="AM11">
        <v>768.08594551007934</v>
      </c>
      <c r="AN11" s="1582"/>
      <c r="AO11" s="1582"/>
      <c r="AP11" s="1582"/>
      <c r="AQ11" s="1583"/>
      <c r="AS11" s="234"/>
    </row>
    <row r="12" spans="1:45">
      <c r="AA12" s="1192">
        <v>43831</v>
      </c>
      <c r="AB12">
        <v>364123.85</v>
      </c>
      <c r="AC12">
        <v>5331.42</v>
      </c>
      <c r="AD12">
        <v>275133.28199504071</v>
      </c>
      <c r="AE12" s="1582"/>
      <c r="AF12" s="1582"/>
      <c r="AG12" s="1582"/>
      <c r="AH12" s="1583"/>
      <c r="AJ12" s="1192">
        <v>43831</v>
      </c>
      <c r="AK12">
        <v>736.88</v>
      </c>
      <c r="AL12">
        <v>5331.42</v>
      </c>
      <c r="AM12">
        <v>556.7891607114052</v>
      </c>
      <c r="AN12" s="1582"/>
      <c r="AO12" s="1582"/>
      <c r="AP12" s="1582"/>
      <c r="AQ12" s="1583"/>
      <c r="AS12" s="234"/>
    </row>
    <row r="13" spans="1:45">
      <c r="AA13" s="1192">
        <v>43862</v>
      </c>
      <c r="AB13">
        <v>357960.55</v>
      </c>
      <c r="AC13">
        <v>5344.75</v>
      </c>
      <c r="AD13">
        <v>269801.69288404507</v>
      </c>
      <c r="AE13" s="1582"/>
      <c r="AF13" s="1582"/>
      <c r="AG13" s="1582"/>
      <c r="AH13" s="1583"/>
      <c r="AJ13" s="1192">
        <v>43862</v>
      </c>
      <c r="AK13">
        <v>574.38</v>
      </c>
      <c r="AL13">
        <v>5344.75</v>
      </c>
      <c r="AM13">
        <v>432.92115949296038</v>
      </c>
      <c r="AN13" s="1582"/>
      <c r="AO13" s="1582"/>
      <c r="AP13" s="1582"/>
      <c r="AQ13" s="1583"/>
      <c r="AS13" s="234"/>
    </row>
    <row r="14" spans="1:45">
      <c r="AA14" s="1192">
        <v>43891</v>
      </c>
      <c r="AB14">
        <v>353746.39</v>
      </c>
      <c r="AC14">
        <v>5348.49</v>
      </c>
      <c r="AD14">
        <v>266438.95890832739</v>
      </c>
      <c r="AE14" s="1582"/>
      <c r="AF14" s="1582"/>
      <c r="AG14" s="1582"/>
      <c r="AH14" s="1583"/>
      <c r="AJ14" s="1192">
        <v>43891</v>
      </c>
      <c r="AK14">
        <v>890.52</v>
      </c>
      <c r="AL14">
        <v>5348.49</v>
      </c>
      <c r="AM14">
        <v>670.73255980659962</v>
      </c>
      <c r="AN14" s="1582"/>
      <c r="AO14" s="1582"/>
      <c r="AP14" s="1582"/>
      <c r="AQ14" s="1583"/>
      <c r="AS14" s="234"/>
    </row>
    <row r="15" spans="1:45">
      <c r="AA15" s="1192">
        <v>43922</v>
      </c>
      <c r="AB15">
        <v>344189.59</v>
      </c>
      <c r="AC15">
        <v>5331.91</v>
      </c>
      <c r="AD15">
        <v>260046.98352740394</v>
      </c>
      <c r="AE15" s="1582"/>
      <c r="AF15" s="1582"/>
      <c r="AG15" s="1582"/>
      <c r="AH15" s="1583"/>
      <c r="AJ15" s="1192">
        <v>43922</v>
      </c>
      <c r="AK15">
        <v>18.170000000000002</v>
      </c>
      <c r="AL15">
        <v>5331.91</v>
      </c>
      <c r="AM15">
        <v>13.728055199731431</v>
      </c>
      <c r="AN15" s="1582"/>
      <c r="AO15" s="1582"/>
      <c r="AP15" s="1582"/>
      <c r="AQ15" s="1583"/>
    </row>
    <row r="16" spans="1:45">
      <c r="AA16" s="1192">
        <v>43952</v>
      </c>
      <c r="AB16">
        <v>338567.10999999993</v>
      </c>
      <c r="AC16">
        <v>5311.65</v>
      </c>
      <c r="AD16">
        <v>256774.6912180584</v>
      </c>
      <c r="AE16" s="1582"/>
      <c r="AF16" s="1582"/>
      <c r="AG16" s="1582"/>
      <c r="AH16" s="1583"/>
      <c r="AJ16" s="1192">
        <v>43952</v>
      </c>
      <c r="AK16">
        <v>263.35000000000002</v>
      </c>
      <c r="AL16">
        <v>5311.65</v>
      </c>
      <c r="AM16">
        <v>199.72883642559285</v>
      </c>
      <c r="AN16" s="1582"/>
      <c r="AO16" s="1582"/>
      <c r="AP16" s="1582"/>
      <c r="AQ16" s="1583"/>
    </row>
    <row r="17" spans="27:43">
      <c r="AA17" s="1192">
        <v>43983</v>
      </c>
      <c r="AB17">
        <v>314864.31999999995</v>
      </c>
      <c r="AC17">
        <v>5325.46</v>
      </c>
      <c r="AD17">
        <v>238178.86553664846</v>
      </c>
      <c r="AE17" s="1582"/>
      <c r="AF17" s="1582"/>
      <c r="AG17" s="1582"/>
      <c r="AH17" s="1583"/>
      <c r="AJ17" s="1192">
        <v>43983</v>
      </c>
      <c r="AK17">
        <v>537.74</v>
      </c>
      <c r="AL17">
        <v>5325.46</v>
      </c>
      <c r="AM17">
        <v>406.77299718709747</v>
      </c>
      <c r="AN17" s="1582"/>
      <c r="AO17" s="1582"/>
      <c r="AP17" s="1582"/>
      <c r="AQ17" s="1583"/>
    </row>
    <row r="18" spans="27:43">
      <c r="AA18" s="1192">
        <v>44013</v>
      </c>
      <c r="AB18">
        <v>304803.97000000003</v>
      </c>
      <c r="AC18">
        <v>5344.63</v>
      </c>
      <c r="AD18">
        <v>229741.72298303156</v>
      </c>
      <c r="AE18" s="1582"/>
      <c r="AF18" s="1582"/>
      <c r="AG18" s="1582"/>
      <c r="AH18" s="1583"/>
      <c r="AJ18" s="1192">
        <v>44013</v>
      </c>
      <c r="AK18">
        <v>206.67</v>
      </c>
      <c r="AL18">
        <v>5344.63</v>
      </c>
      <c r="AM18">
        <v>155.77461766296261</v>
      </c>
      <c r="AN18" s="1582"/>
      <c r="AO18" s="1582"/>
      <c r="AP18" s="1582"/>
      <c r="AQ18" s="1583"/>
    </row>
    <row r="19" spans="27:43">
      <c r="AA19" s="1192">
        <v>44044</v>
      </c>
      <c r="AB19">
        <v>343302.95</v>
      </c>
      <c r="AC19">
        <v>5357.46</v>
      </c>
      <c r="AD19">
        <v>258140.11413953631</v>
      </c>
      <c r="AE19" s="1582">
        <f t="shared" ref="AE19" si="0">SUM(AD19:AD30)</f>
        <v>3282769.4842375312</v>
      </c>
      <c r="AF19" s="1582">
        <v>3300463.4410477728</v>
      </c>
      <c r="AG19" s="1582">
        <f t="shared" ref="AG19" si="1">AE19-AF19</f>
        <v>-17693.956810241565</v>
      </c>
      <c r="AH19" s="1583">
        <f t="shared" ref="AH19" si="2">AG19/AF19</f>
        <v>-5.3610522056334008E-3</v>
      </c>
      <c r="AJ19" s="1192">
        <v>44044</v>
      </c>
      <c r="AK19">
        <v>525.41</v>
      </c>
      <c r="AL19">
        <v>5357.46</v>
      </c>
      <c r="AM19">
        <v>395.07204167646609</v>
      </c>
      <c r="AN19" s="1582">
        <f t="shared" ref="AN19" si="3">SUM(AM19:AM30)</f>
        <v>42884.718998851909</v>
      </c>
      <c r="AO19" s="1582">
        <v>93280.212160815296</v>
      </c>
      <c r="AP19" s="1582">
        <f t="shared" ref="AP19" si="4">AN19-AO19</f>
        <v>-50395.493161963386</v>
      </c>
      <c r="AQ19" s="1583">
        <f t="shared" ref="AQ19" si="5">AP19/AO19</f>
        <v>-0.54025920390362581</v>
      </c>
    </row>
    <row r="20" spans="27:43">
      <c r="AA20" s="1192">
        <v>44075</v>
      </c>
      <c r="AB20">
        <v>351290.83999999997</v>
      </c>
      <c r="AC20">
        <v>5391.75</v>
      </c>
      <c r="AD20">
        <v>262466.55937118747</v>
      </c>
      <c r="AE20" s="1582"/>
      <c r="AF20" s="1582"/>
      <c r="AG20" s="1582"/>
      <c r="AH20" s="1583"/>
      <c r="AJ20" s="1192">
        <v>44075</v>
      </c>
      <c r="AK20">
        <v>4785</v>
      </c>
      <c r="AL20">
        <v>5391.75</v>
      </c>
      <c r="AM20">
        <v>3575.1074141048825</v>
      </c>
      <c r="AN20" s="1582"/>
      <c r="AO20" s="1582"/>
      <c r="AP20" s="1582"/>
      <c r="AQ20" s="1583"/>
    </row>
    <row r="21" spans="27:43">
      <c r="AA21" s="1192">
        <v>44105</v>
      </c>
      <c r="AB21">
        <v>367402.18</v>
      </c>
      <c r="AC21">
        <v>5438.12</v>
      </c>
      <c r="AD21">
        <v>272163.47524497437</v>
      </c>
      <c r="AE21" s="1582"/>
      <c r="AF21" s="1582"/>
      <c r="AG21" s="1582"/>
      <c r="AH21" s="1583"/>
      <c r="AJ21" s="1192">
        <v>44105</v>
      </c>
      <c r="AK21">
        <v>6197.01</v>
      </c>
      <c r="AL21">
        <v>5438.12</v>
      </c>
      <c r="AM21">
        <v>4590.6090642354347</v>
      </c>
      <c r="AN21" s="1582"/>
      <c r="AO21" s="1582"/>
      <c r="AP21" s="1582"/>
      <c r="AQ21" s="1583"/>
    </row>
    <row r="22" spans="27:43">
      <c r="AA22" s="1192">
        <v>44136</v>
      </c>
      <c r="AB22">
        <v>349640.53</v>
      </c>
      <c r="AC22">
        <v>5486.52</v>
      </c>
      <c r="AD22">
        <v>256721.18149085395</v>
      </c>
      <c r="AE22" s="1582"/>
      <c r="AF22" s="1582"/>
      <c r="AG22" s="1582"/>
      <c r="AH22" s="1583"/>
      <c r="AJ22" s="1192">
        <v>44136</v>
      </c>
      <c r="AK22">
        <v>4257.51</v>
      </c>
      <c r="AL22">
        <v>5486.52</v>
      </c>
      <c r="AM22">
        <v>3126.047765140745</v>
      </c>
      <c r="AN22" s="1582"/>
      <c r="AO22" s="1582"/>
      <c r="AP22" s="1582"/>
      <c r="AQ22" s="1583"/>
    </row>
    <row r="23" spans="27:43">
      <c r="AA23" s="1192">
        <v>44166</v>
      </c>
      <c r="AB23">
        <v>403197.22000000003</v>
      </c>
      <c r="AC23">
        <v>5560.59</v>
      </c>
      <c r="AD23">
        <v>292101.34337126097</v>
      </c>
      <c r="AE23" s="1582"/>
      <c r="AF23" s="1582"/>
      <c r="AG23" s="1582"/>
      <c r="AH23" s="1583"/>
      <c r="AJ23" s="1192">
        <v>44166</v>
      </c>
      <c r="AK23">
        <v>5832.86</v>
      </c>
      <c r="AL23">
        <v>5560.59</v>
      </c>
      <c r="AM23">
        <v>4225.6894571259518</v>
      </c>
      <c r="AN23" s="1582"/>
      <c r="AO23" s="1582"/>
      <c r="AP23" s="1582"/>
      <c r="AQ23" s="1583"/>
    </row>
    <row r="24" spans="27:43">
      <c r="AA24" s="1192">
        <v>44197</v>
      </c>
      <c r="AB24">
        <v>403712.79</v>
      </c>
      <c r="AC24">
        <v>5574.49</v>
      </c>
      <c r="AD24">
        <v>291745.56806947361</v>
      </c>
      <c r="AE24" s="1582"/>
      <c r="AF24" s="1582"/>
      <c r="AG24" s="1582"/>
      <c r="AH24" s="1583"/>
      <c r="AJ24" s="1192">
        <v>44197</v>
      </c>
      <c r="AK24">
        <v>5792.47</v>
      </c>
      <c r="AL24">
        <v>5574.49</v>
      </c>
      <c r="AM24">
        <v>4185.9646078475344</v>
      </c>
      <c r="AN24" s="1582"/>
      <c r="AO24" s="1582"/>
      <c r="AP24" s="1582"/>
      <c r="AQ24" s="1583"/>
    </row>
    <row r="25" spans="27:43">
      <c r="AA25" s="1192">
        <v>44228</v>
      </c>
      <c r="AB25">
        <v>428992.54</v>
      </c>
      <c r="AC25">
        <v>5622.43</v>
      </c>
      <c r="AD25">
        <v>307370.78235524491</v>
      </c>
      <c r="AE25" s="1582"/>
      <c r="AF25" s="1582"/>
      <c r="AG25" s="1582"/>
      <c r="AH25" s="1583"/>
      <c r="AJ25" s="1192">
        <v>44228</v>
      </c>
      <c r="AK25">
        <v>6678.6</v>
      </c>
      <c r="AL25">
        <v>5622.43</v>
      </c>
      <c r="AM25">
        <v>4785.1799638234716</v>
      </c>
      <c r="AN25" s="1582"/>
      <c r="AO25" s="1582"/>
      <c r="AP25" s="1582"/>
      <c r="AQ25" s="1583"/>
    </row>
    <row r="26" spans="27:43">
      <c r="AA26" s="1192">
        <v>44256</v>
      </c>
      <c r="AB26">
        <v>394640.74000000005</v>
      </c>
      <c r="AC26">
        <v>5674.72</v>
      </c>
      <c r="AD26">
        <v>280152.42032128456</v>
      </c>
      <c r="AE26" s="1582"/>
      <c r="AF26" s="1582"/>
      <c r="AG26" s="1582"/>
      <c r="AH26" s="1583"/>
      <c r="AJ26" s="1192">
        <v>44256</v>
      </c>
      <c r="AK26">
        <v>6601.3</v>
      </c>
      <c r="AL26">
        <v>5674.72</v>
      </c>
      <c r="AM26">
        <v>4686.2120020018601</v>
      </c>
      <c r="AN26" s="1582"/>
      <c r="AO26" s="1582"/>
      <c r="AP26" s="1582"/>
      <c r="AQ26" s="1583"/>
    </row>
    <row r="27" spans="27:43">
      <c r="AA27" s="1192">
        <v>44287</v>
      </c>
      <c r="AB27">
        <v>392355.53</v>
      </c>
      <c r="AC27">
        <v>5692.31</v>
      </c>
      <c r="AD27">
        <v>277669.47184415464</v>
      </c>
      <c r="AE27" s="1582"/>
      <c r="AF27" s="1582"/>
      <c r="AG27" s="1582"/>
      <c r="AH27" s="1583"/>
      <c r="AJ27" s="1192">
        <v>44287</v>
      </c>
      <c r="AK27">
        <v>6465.88</v>
      </c>
      <c r="AL27">
        <v>5692.31</v>
      </c>
      <c r="AM27">
        <v>4575.8944307671218</v>
      </c>
      <c r="AN27" s="1582"/>
      <c r="AO27" s="1582"/>
      <c r="AP27" s="1582"/>
      <c r="AQ27" s="1583"/>
    </row>
    <row r="28" spans="27:43">
      <c r="AA28" s="1192">
        <v>44317</v>
      </c>
      <c r="AB28">
        <v>374849.34</v>
      </c>
      <c r="AC28">
        <v>5739.56</v>
      </c>
      <c r="AD28">
        <v>263096.4874014036</v>
      </c>
      <c r="AE28" s="1582"/>
      <c r="AF28" s="1582"/>
      <c r="AG28" s="1582"/>
      <c r="AH28" s="1583"/>
      <c r="AJ28" s="1192">
        <v>44317</v>
      </c>
      <c r="AK28">
        <v>5345.02</v>
      </c>
      <c r="AL28">
        <v>5739.56</v>
      </c>
      <c r="AM28">
        <v>3751.5231775258035</v>
      </c>
      <c r="AN28" s="1582"/>
      <c r="AO28" s="1582"/>
      <c r="AP28" s="1582"/>
      <c r="AQ28" s="1583"/>
    </row>
    <row r="29" spans="27:43">
      <c r="AA29" s="1192">
        <v>44348</v>
      </c>
      <c r="AB29">
        <v>377224.97</v>
      </c>
      <c r="AC29">
        <v>5769.98</v>
      </c>
      <c r="AD29">
        <v>263368.01135303761</v>
      </c>
      <c r="AE29" s="1582"/>
      <c r="AF29" s="1582"/>
      <c r="AG29" s="1582"/>
      <c r="AH29" s="1583"/>
      <c r="AJ29" s="1192">
        <v>44348</v>
      </c>
      <c r="AK29">
        <v>3862.86</v>
      </c>
      <c r="AL29">
        <v>5769.98</v>
      </c>
      <c r="AM29">
        <v>2696.9417118256911</v>
      </c>
      <c r="AN29" s="1582"/>
      <c r="AO29" s="1582"/>
      <c r="AP29" s="1582"/>
      <c r="AQ29" s="1583"/>
    </row>
    <row r="30" spans="27:43">
      <c r="AA30" s="1192">
        <v>44378</v>
      </c>
      <c r="AB30">
        <v>372757.03</v>
      </c>
      <c r="AC30">
        <v>5825.37</v>
      </c>
      <c r="AD30">
        <v>257774.06927511902</v>
      </c>
      <c r="AE30" s="1582"/>
      <c r="AF30" s="1582"/>
      <c r="AG30" s="1582"/>
      <c r="AH30" s="1583"/>
      <c r="AJ30" s="1192">
        <v>44378</v>
      </c>
      <c r="AK30">
        <v>3312.17</v>
      </c>
      <c r="AL30">
        <v>5825.37</v>
      </c>
      <c r="AM30">
        <v>2290.4773627769569</v>
      </c>
      <c r="AN30" s="1582"/>
      <c r="AO30" s="1582"/>
      <c r="AP30" s="1582"/>
      <c r="AQ30" s="1583"/>
    </row>
    <row r="31" spans="27:43">
      <c r="AA31" s="1192">
        <v>44409</v>
      </c>
      <c r="AB31">
        <v>375171.18000000005</v>
      </c>
      <c r="AC31">
        <v>5876.05</v>
      </c>
      <c r="AD31">
        <v>257205.87611732373</v>
      </c>
      <c r="AE31" s="1582">
        <f>SUM(AD31:AD42)</f>
        <v>3304634.8278828482</v>
      </c>
      <c r="AF31" s="1582">
        <v>3708341.8851871886</v>
      </c>
      <c r="AG31" s="1582">
        <f t="shared" ref="AG31" si="6">AE31-AF31</f>
        <v>-403707.05730434041</v>
      </c>
      <c r="AH31" s="1583">
        <f t="shared" ref="AH31" si="7">AG31/AF31</f>
        <v>-0.10886457338707922</v>
      </c>
      <c r="AJ31" s="1192">
        <v>44409</v>
      </c>
      <c r="AK31">
        <v>2990.65</v>
      </c>
      <c r="AL31">
        <v>5876.05</v>
      </c>
      <c r="AM31">
        <v>2050.2980890223876</v>
      </c>
      <c r="AN31" s="1582">
        <f>SUM(AM31:AM42)</f>
        <v>36208.383311089114</v>
      </c>
      <c r="AO31" s="1582">
        <v>118719.008831756</v>
      </c>
      <c r="AP31" s="1582">
        <f t="shared" ref="AP31" si="8">AN31-AO31</f>
        <v>-82510.625520666887</v>
      </c>
      <c r="AQ31" s="1583">
        <f t="shared" ref="AQ31" si="9">AP31/AO31</f>
        <v>-0.69500770207404416</v>
      </c>
    </row>
    <row r="32" spans="27:43">
      <c r="AA32" s="1192">
        <v>44440</v>
      </c>
      <c r="AB32">
        <v>373574.92</v>
      </c>
      <c r="AC32">
        <v>5944.21</v>
      </c>
      <c r="AD32">
        <v>253174.79542694488</v>
      </c>
      <c r="AE32" s="1582"/>
      <c r="AF32" s="1582"/>
      <c r="AG32" s="1582"/>
      <c r="AH32" s="1583"/>
      <c r="AJ32" s="1192">
        <v>44440</v>
      </c>
      <c r="AK32">
        <v>2918.68</v>
      </c>
      <c r="AL32">
        <v>5944.21</v>
      </c>
      <c r="AM32">
        <v>1978.0134381524206</v>
      </c>
      <c r="AN32" s="1582"/>
      <c r="AO32" s="1582"/>
      <c r="AP32" s="1582"/>
      <c r="AQ32" s="1583"/>
    </row>
    <row r="33" spans="1:43">
      <c r="AA33" s="1192">
        <v>44470</v>
      </c>
      <c r="AB33">
        <v>381036.73999999993</v>
      </c>
      <c r="AC33">
        <v>6018.51</v>
      </c>
      <c r="AD33">
        <v>255043.79736605898</v>
      </c>
      <c r="AE33" s="1582"/>
      <c r="AF33" s="1582"/>
      <c r="AG33" s="1582"/>
      <c r="AH33" s="1583"/>
      <c r="AJ33" s="1192">
        <v>44470</v>
      </c>
      <c r="AK33">
        <v>3811.97</v>
      </c>
      <c r="AL33">
        <v>6018.51</v>
      </c>
      <c r="AM33">
        <v>2551.5106607449352</v>
      </c>
      <c r="AN33" s="1582"/>
      <c r="AO33" s="1582"/>
      <c r="AP33" s="1582"/>
      <c r="AQ33" s="1583"/>
    </row>
    <row r="34" spans="1:43">
      <c r="AA34" s="1192">
        <v>44501</v>
      </c>
      <c r="AB34">
        <v>367649.28000000003</v>
      </c>
      <c r="AC34">
        <v>6075.69</v>
      </c>
      <c r="AD34">
        <v>243767.05617357045</v>
      </c>
      <c r="AE34" s="1582"/>
      <c r="AF34" s="1582"/>
      <c r="AG34" s="1582"/>
      <c r="AH34" s="1583"/>
      <c r="AJ34" s="1192">
        <v>44501</v>
      </c>
      <c r="AK34">
        <v>3493.71</v>
      </c>
      <c r="AL34">
        <v>6075.69</v>
      </c>
      <c r="AM34">
        <v>2316.4778177293447</v>
      </c>
      <c r="AN34" s="1582"/>
      <c r="AO34" s="1582"/>
      <c r="AP34" s="1582"/>
      <c r="AQ34" s="1583"/>
    </row>
    <row r="35" spans="1:43">
      <c r="AA35" s="1192">
        <v>44531</v>
      </c>
      <c r="AB35">
        <v>449674.57000000007</v>
      </c>
      <c r="AC35">
        <v>6120.04</v>
      </c>
      <c r="AD35">
        <v>295992.67729799158</v>
      </c>
      <c r="AE35" s="1582"/>
      <c r="AF35" s="1582"/>
      <c r="AG35" s="1582"/>
      <c r="AH35" s="1583"/>
      <c r="AJ35" s="1192">
        <v>44531</v>
      </c>
      <c r="AK35">
        <v>5006.18</v>
      </c>
      <c r="AL35">
        <v>6120.04</v>
      </c>
      <c r="AM35">
        <v>3295.2555472186459</v>
      </c>
      <c r="AN35" s="1582"/>
      <c r="AO35" s="1582"/>
      <c r="AP35" s="1582"/>
      <c r="AQ35" s="1583"/>
    </row>
    <row r="36" spans="1:43">
      <c r="AA36" s="1192">
        <v>44562</v>
      </c>
      <c r="AB36">
        <v>453547.00999999995</v>
      </c>
      <c r="AC36">
        <v>6153.09</v>
      </c>
      <c r="AD36">
        <v>296938.11027701525</v>
      </c>
      <c r="AE36" s="1582"/>
      <c r="AF36" s="1582"/>
      <c r="AG36" s="1582"/>
      <c r="AH36" s="1583"/>
      <c r="AJ36" s="1192">
        <v>44562</v>
      </c>
      <c r="AK36">
        <v>5091.67</v>
      </c>
      <c r="AL36">
        <v>6153.09</v>
      </c>
      <c r="AM36">
        <v>3333.5262599441908</v>
      </c>
      <c r="AN36" s="1582"/>
      <c r="AO36" s="1582"/>
      <c r="AP36" s="1582"/>
      <c r="AQ36" s="1583"/>
    </row>
    <row r="37" spans="1:43">
      <c r="R37" t="s">
        <v>691</v>
      </c>
      <c r="S37">
        <v>4028.44</v>
      </c>
      <c r="AA37" s="1192">
        <v>44593</v>
      </c>
      <c r="AB37">
        <v>451254.36</v>
      </c>
      <c r="AC37">
        <v>6215.24</v>
      </c>
      <c r="AD37">
        <v>292482.85086310422</v>
      </c>
      <c r="AE37" s="1582"/>
      <c r="AF37" s="1582"/>
      <c r="AG37" s="1582"/>
      <c r="AH37" s="1583"/>
      <c r="AJ37" s="1192">
        <v>44593</v>
      </c>
      <c r="AK37">
        <v>5723.96</v>
      </c>
      <c r="AL37">
        <v>6215.24</v>
      </c>
      <c r="AM37">
        <v>3710.0143232441546</v>
      </c>
      <c r="AN37" s="1582"/>
      <c r="AO37" s="1582"/>
      <c r="AP37" s="1582"/>
      <c r="AQ37" s="1583"/>
    </row>
    <row r="38" spans="1:43">
      <c r="AA38" s="1192">
        <v>44621</v>
      </c>
      <c r="AB38">
        <v>472629.42999999993</v>
      </c>
      <c r="AC38">
        <v>6315.93</v>
      </c>
      <c r="AD38">
        <v>301453.51531590748</v>
      </c>
      <c r="AE38" s="1582"/>
      <c r="AF38" s="1582"/>
      <c r="AG38" s="1582"/>
      <c r="AH38" s="1583"/>
      <c r="AJ38" s="1192">
        <v>44621</v>
      </c>
      <c r="AK38">
        <v>6020.42</v>
      </c>
      <c r="AL38">
        <v>6315.93</v>
      </c>
      <c r="AM38">
        <v>3839.9571788794365</v>
      </c>
      <c r="AN38" s="1582"/>
      <c r="AO38" s="1582"/>
      <c r="AP38" s="1582"/>
      <c r="AQ38" s="1583"/>
    </row>
    <row r="39" spans="1:43">
      <c r="AA39" s="1192">
        <v>44652</v>
      </c>
      <c r="AB39">
        <v>457667.61</v>
      </c>
      <c r="AC39">
        <v>6382.88</v>
      </c>
      <c r="AD39">
        <f>AB39/($AC39/$S$37)</f>
        <v>288848.68692947383</v>
      </c>
      <c r="AE39" s="1582"/>
      <c r="AF39" s="1582"/>
      <c r="AG39" s="1582"/>
      <c r="AH39" s="1583"/>
      <c r="AJ39" s="1192">
        <v>44652</v>
      </c>
      <c r="AK39">
        <v>5381.98</v>
      </c>
      <c r="AL39">
        <v>6382.88</v>
      </c>
      <c r="AM39">
        <v>3396.7399529992726</v>
      </c>
      <c r="AN39" s="1582"/>
      <c r="AO39" s="1582"/>
      <c r="AP39" s="1582"/>
      <c r="AQ39" s="1583"/>
    </row>
    <row r="40" spans="1:43">
      <c r="AA40" s="1192">
        <v>44682</v>
      </c>
      <c r="AB40">
        <v>439044.64</v>
      </c>
      <c r="AC40">
        <v>6412.88</v>
      </c>
      <c r="AD40">
        <f t="shared" ref="AD40:AD54" si="10">AB40/($AC40/$S$37)</f>
        <v>275798.85941442847</v>
      </c>
      <c r="AE40" s="1582"/>
      <c r="AF40" s="1582"/>
      <c r="AG40" s="1582"/>
      <c r="AH40" s="1583"/>
      <c r="AJ40" s="1192">
        <v>44682</v>
      </c>
      <c r="AK40">
        <v>5214.13</v>
      </c>
      <c r="AL40">
        <v>6412.88</v>
      </c>
      <c r="AM40">
        <v>3275.4097780092566</v>
      </c>
      <c r="AN40" s="1582"/>
      <c r="AO40" s="1582"/>
      <c r="AP40" s="1582"/>
      <c r="AQ40" s="1583"/>
    </row>
    <row r="41" spans="1:43">
      <c r="AA41" s="1192">
        <v>44713</v>
      </c>
      <c r="AB41">
        <v>436782.91</v>
      </c>
      <c r="AC41">
        <v>6455.85</v>
      </c>
      <c r="AD41">
        <f t="shared" si="10"/>
        <v>272551.83220805932</v>
      </c>
      <c r="AE41" s="1582"/>
      <c r="AF41" s="1582"/>
      <c r="AG41" s="1582"/>
      <c r="AH41" s="1583"/>
      <c r="AJ41" s="1192">
        <v>44713</v>
      </c>
      <c r="AK41">
        <v>5274.76</v>
      </c>
      <c r="AL41">
        <v>6455.85</v>
      </c>
      <c r="AM41">
        <v>3291.4417426675031</v>
      </c>
      <c r="AN41" s="1582"/>
      <c r="AO41" s="1582"/>
      <c r="AP41" s="1582"/>
      <c r="AQ41" s="1583"/>
    </row>
    <row r="42" spans="1:43">
      <c r="AA42" s="1192">
        <v>44743</v>
      </c>
      <c r="AB42">
        <v>431942.45999999996</v>
      </c>
      <c r="AC42">
        <v>6411.95</v>
      </c>
      <c r="AD42">
        <f t="shared" si="10"/>
        <v>271376.77049297013</v>
      </c>
      <c r="AE42" s="1582"/>
      <c r="AF42" s="1582"/>
      <c r="AG42" s="1582"/>
      <c r="AH42" s="1583"/>
      <c r="AJ42" s="1192">
        <v>44743</v>
      </c>
      <c r="AK42">
        <v>5045.18</v>
      </c>
      <c r="AL42">
        <v>6411.95</v>
      </c>
      <c r="AM42">
        <v>3169.7385224775617</v>
      </c>
      <c r="AN42" s="1582"/>
      <c r="AO42" s="1582"/>
      <c r="AP42" s="1582"/>
      <c r="AQ42" s="1583"/>
    </row>
    <row r="43" spans="1:43">
      <c r="AA43" s="1192">
        <v>44774</v>
      </c>
      <c r="AB43">
        <v>434363.57999999996</v>
      </c>
      <c r="AC43">
        <v>6388.87</v>
      </c>
      <c r="AD43">
        <f t="shared" si="10"/>
        <v>273883.74160300643</v>
      </c>
      <c r="AE43" s="1582">
        <f>SUM(AD43:AD54)*(12/8)</f>
        <v>5460767.0665761651</v>
      </c>
      <c r="AF43" s="1582">
        <v>4008029.4952593418</v>
      </c>
      <c r="AG43" s="1582">
        <f t="shared" ref="AG43" si="11">AE43-AF43</f>
        <v>1452737.5713168234</v>
      </c>
      <c r="AH43" s="1583">
        <f t="shared" ref="AH43" si="12">AG43/AF43</f>
        <v>0.36245680652677509</v>
      </c>
      <c r="AJ43" s="1192">
        <v>44774</v>
      </c>
      <c r="AK43">
        <v>6386.62</v>
      </c>
      <c r="AL43">
        <v>6388.87</v>
      </c>
      <c r="AM43">
        <v>4027.0212843272752</v>
      </c>
      <c r="AN43" s="1582">
        <f>SUM(AM43:AM54)*(12/8)</f>
        <v>17597.321423000634</v>
      </c>
      <c r="AO43" s="1582">
        <v>146880.07613793499</v>
      </c>
      <c r="AP43" s="1582">
        <f t="shared" ref="AP43" si="13">AN43-AO43</f>
        <v>-129282.75471493436</v>
      </c>
      <c r="AQ43" s="1583">
        <f t="shared" ref="AQ43" si="14">AP43/AO43</f>
        <v>-0.88019259054253896</v>
      </c>
    </row>
    <row r="44" spans="1:43">
      <c r="AA44" s="1192">
        <v>44805</v>
      </c>
      <c r="AB44">
        <v>443584.39999999997</v>
      </c>
      <c r="AC44">
        <v>6370.34</v>
      </c>
      <c r="AD44">
        <f t="shared" si="10"/>
        <v>280511.42330487852</v>
      </c>
      <c r="AE44" s="1582"/>
      <c r="AF44" s="1582"/>
      <c r="AG44" s="1582"/>
      <c r="AH44" s="1583"/>
      <c r="AJ44" s="1192">
        <v>44805</v>
      </c>
      <c r="AK44">
        <v>5802.72</v>
      </c>
      <c r="AL44">
        <v>6370.34</v>
      </c>
      <c r="AM44">
        <v>3669.491637306643</v>
      </c>
      <c r="AN44" s="1582"/>
      <c r="AO44" s="1582"/>
      <c r="AP44" s="1582"/>
      <c r="AQ44" s="1583"/>
    </row>
    <row r="45" spans="1:43">
      <c r="AA45" s="1192">
        <v>44835</v>
      </c>
      <c r="AB45">
        <v>439283.65999999992</v>
      </c>
      <c r="AC45">
        <v>6407.93</v>
      </c>
      <c r="AD45">
        <f t="shared" si="10"/>
        <v>276162.17207279097</v>
      </c>
      <c r="AE45" s="1582"/>
      <c r="AF45" s="1582"/>
      <c r="AG45" s="1582"/>
      <c r="AH45" s="1583"/>
      <c r="AJ45" s="1192">
        <v>44835</v>
      </c>
      <c r="AK45">
        <v>6418.42</v>
      </c>
      <c r="AL45">
        <v>6407.93</v>
      </c>
      <c r="AM45">
        <v>4035.0346936998376</v>
      </c>
      <c r="AN45" s="1582"/>
      <c r="AO45" s="1582"/>
      <c r="AP45" s="1582"/>
      <c r="AQ45" s="1583"/>
    </row>
    <row r="46" spans="1:43">
      <c r="AA46" s="1192">
        <v>44866</v>
      </c>
      <c r="AB46">
        <v>448019.11999999994</v>
      </c>
      <c r="AC46">
        <v>6434.2</v>
      </c>
      <c r="AD46">
        <f t="shared" si="10"/>
        <v>280503.8922900749</v>
      </c>
      <c r="AE46" s="1582"/>
      <c r="AF46" s="1582"/>
      <c r="AG46" s="1582"/>
      <c r="AH46" s="1583"/>
      <c r="AJ46" s="1192">
        <v>44866</v>
      </c>
      <c r="AK46">
        <v>0</v>
      </c>
      <c r="AL46">
        <v>6434.2</v>
      </c>
      <c r="AM46">
        <v>0</v>
      </c>
      <c r="AN46" s="1582"/>
      <c r="AO46" s="1582"/>
      <c r="AP46" s="1582"/>
      <c r="AQ46" s="1583"/>
    </row>
    <row r="47" spans="1:43">
      <c r="A47" s="1573" t="s">
        <v>812</v>
      </c>
      <c r="B47" s="1200" t="s">
        <v>365</v>
      </c>
      <c r="C47" s="1200" t="s">
        <v>366</v>
      </c>
      <c r="D47" s="1200" t="s">
        <v>367</v>
      </c>
      <c r="E47" s="1200" t="s">
        <v>368</v>
      </c>
      <c r="AA47" s="1192">
        <v>44896</v>
      </c>
      <c r="AB47">
        <v>515542.08</v>
      </c>
      <c r="AC47">
        <v>6474.09</v>
      </c>
      <c r="AD47">
        <f t="shared" si="10"/>
        <v>320791.08210655092</v>
      </c>
      <c r="AE47" s="1582"/>
      <c r="AF47" s="1582"/>
      <c r="AG47" s="1582"/>
      <c r="AH47" s="1583"/>
      <c r="AJ47" s="1192">
        <v>44896</v>
      </c>
      <c r="AK47">
        <v>0</v>
      </c>
      <c r="AL47">
        <v>6474.09</v>
      </c>
      <c r="AM47">
        <v>0</v>
      </c>
      <c r="AN47" s="1582"/>
      <c r="AO47" s="1582"/>
      <c r="AP47" s="1582"/>
      <c r="AQ47" s="1583"/>
    </row>
    <row r="48" spans="1:43">
      <c r="A48" s="1574"/>
      <c r="B48" s="1200" t="s">
        <v>868</v>
      </c>
      <c r="C48" s="1200" t="s">
        <v>869</v>
      </c>
      <c r="D48" s="1200" t="s">
        <v>870</v>
      </c>
      <c r="E48" s="1200" t="s">
        <v>940</v>
      </c>
      <c r="AA48" s="1192">
        <v>44927</v>
      </c>
      <c r="AB48">
        <v>508072.76999999996</v>
      </c>
      <c r="AC48">
        <v>6508.4</v>
      </c>
      <c r="AD48">
        <f t="shared" si="10"/>
        <v>314476.77917442075</v>
      </c>
      <c r="AE48" s="1582"/>
      <c r="AF48" s="1582"/>
      <c r="AG48" s="1582"/>
      <c r="AH48" s="1583"/>
      <c r="AJ48" s="1192">
        <v>44927</v>
      </c>
      <c r="AK48">
        <v>0</v>
      </c>
      <c r="AL48">
        <v>6508.4</v>
      </c>
      <c r="AM48">
        <v>0</v>
      </c>
      <c r="AN48" s="1582"/>
      <c r="AO48" s="1582"/>
      <c r="AP48" s="1582"/>
      <c r="AQ48" s="1583"/>
    </row>
    <row r="49" spans="1:43">
      <c r="A49" s="1199" t="s">
        <v>813</v>
      </c>
      <c r="B49" s="1195">
        <f>AF7</f>
        <v>2997193.0318223308</v>
      </c>
      <c r="C49" s="1195">
        <f>AF19</f>
        <v>3300463.4410477728</v>
      </c>
      <c r="D49" s="1195">
        <f>AF31</f>
        <v>3708341.8851871886</v>
      </c>
      <c r="E49" s="1195">
        <f>AF43</f>
        <v>4008029.4952593418</v>
      </c>
      <c r="AA49" s="1192">
        <v>44958</v>
      </c>
      <c r="AB49">
        <v>514746.28</v>
      </c>
      <c r="AC49">
        <v>6563.07</v>
      </c>
      <c r="AD49">
        <f t="shared" si="10"/>
        <v>315953.43401840911</v>
      </c>
      <c r="AE49" s="1582"/>
      <c r="AF49" s="1582"/>
      <c r="AG49" s="1582"/>
      <c r="AH49" s="1583"/>
      <c r="AJ49" s="1192">
        <v>44958</v>
      </c>
      <c r="AK49">
        <v>0</v>
      </c>
      <c r="AL49">
        <v>6563.07</v>
      </c>
      <c r="AM49">
        <v>0</v>
      </c>
      <c r="AN49" s="1582"/>
      <c r="AO49" s="1582"/>
      <c r="AP49" s="1582"/>
      <c r="AQ49" s="1583"/>
    </row>
    <row r="50" spans="1:43">
      <c r="A50" s="1199" t="s">
        <v>814</v>
      </c>
      <c r="B50" s="1195">
        <f>AE7</f>
        <v>3035183.0454622093</v>
      </c>
      <c r="C50" s="1195">
        <f>AE19</f>
        <v>3282769.4842375312</v>
      </c>
      <c r="D50" s="1195">
        <f>AE31</f>
        <v>3304634.8278828482</v>
      </c>
      <c r="E50" s="1195">
        <f>AE43</f>
        <v>5460767.0665761651</v>
      </c>
      <c r="AA50" s="1192">
        <v>44986</v>
      </c>
      <c r="AB50">
        <v>525451.29</v>
      </c>
      <c r="AC50">
        <v>6609.67</v>
      </c>
      <c r="AD50">
        <f t="shared" si="10"/>
        <v>320250.32939429657</v>
      </c>
      <c r="AE50" s="1582"/>
      <c r="AF50" s="1582"/>
      <c r="AG50" s="1582"/>
      <c r="AH50" s="1583"/>
      <c r="AJ50" s="1192">
        <v>44986</v>
      </c>
      <c r="AK50">
        <v>0</v>
      </c>
      <c r="AL50">
        <v>6609.67</v>
      </c>
      <c r="AM50">
        <v>0</v>
      </c>
      <c r="AN50" s="1582"/>
      <c r="AO50" s="1582"/>
      <c r="AP50" s="1582"/>
      <c r="AQ50" s="1583"/>
    </row>
    <row r="51" spans="1:43">
      <c r="A51" s="1199" t="s">
        <v>528</v>
      </c>
      <c r="B51" s="1195">
        <f>B50-B49</f>
        <v>37990.013639878482</v>
      </c>
      <c r="C51" s="1195">
        <f t="shared" ref="C51:E51" si="15">C50-C49</f>
        <v>-17693.956810241565</v>
      </c>
      <c r="D51" s="1195">
        <f t="shared" si="15"/>
        <v>-403707.05730434041</v>
      </c>
      <c r="E51" s="1195">
        <f t="shared" si="15"/>
        <v>1452737.5713168234</v>
      </c>
      <c r="AA51" s="1192">
        <v>45017</v>
      </c>
      <c r="AB51">
        <v>531837.98</v>
      </c>
      <c r="AC51">
        <v>6649.99</v>
      </c>
      <c r="AD51">
        <f t="shared" si="10"/>
        <v>322177.53592880594</v>
      </c>
      <c r="AE51" s="1582"/>
      <c r="AF51" s="1582"/>
      <c r="AG51" s="1582"/>
      <c r="AH51" s="1583"/>
      <c r="AJ51" s="1192">
        <v>45017</v>
      </c>
      <c r="AK51">
        <v>0</v>
      </c>
      <c r="AL51">
        <v>6649.99</v>
      </c>
      <c r="AM51">
        <v>0</v>
      </c>
      <c r="AN51" s="1582"/>
      <c r="AO51" s="1582"/>
      <c r="AP51" s="1582"/>
      <c r="AQ51" s="1583"/>
    </row>
    <row r="52" spans="1:43">
      <c r="A52" s="1199" t="s">
        <v>529</v>
      </c>
      <c r="B52" s="1198">
        <f>B51/B49</f>
        <v>1.2675197505307184E-2</v>
      </c>
      <c r="C52" s="1198">
        <f t="shared" ref="C52:E52" si="16">C51/C49</f>
        <v>-5.3610522056334008E-3</v>
      </c>
      <c r="D52" s="1198">
        <f t="shared" si="16"/>
        <v>-0.10886457338707922</v>
      </c>
      <c r="E52" s="1198">
        <f t="shared" si="16"/>
        <v>0.36245680652677509</v>
      </c>
      <c r="AA52" s="1192">
        <v>45047</v>
      </c>
      <c r="AB52">
        <v>513466.36</v>
      </c>
      <c r="AC52">
        <v>6665.28</v>
      </c>
      <c r="AD52">
        <f t="shared" si="10"/>
        <v>310334.81313289166</v>
      </c>
      <c r="AE52" s="1582"/>
      <c r="AF52" s="1582"/>
      <c r="AG52" s="1582"/>
      <c r="AH52" s="1583"/>
      <c r="AJ52" s="1192">
        <v>45047</v>
      </c>
      <c r="AK52">
        <v>0</v>
      </c>
      <c r="AL52">
        <v>6665.28</v>
      </c>
      <c r="AM52">
        <v>0</v>
      </c>
      <c r="AN52" s="1582"/>
      <c r="AO52" s="1582"/>
      <c r="AP52" s="1582"/>
      <c r="AQ52" s="1583"/>
    </row>
    <row r="53" spans="1:43">
      <c r="AA53" s="1192">
        <v>45078</v>
      </c>
      <c r="AB53">
        <v>519023.55</v>
      </c>
      <c r="AC53">
        <v>6659.95</v>
      </c>
      <c r="AD53">
        <f t="shared" si="10"/>
        <v>313944.58363230957</v>
      </c>
      <c r="AE53" s="1582"/>
      <c r="AF53" s="1582"/>
      <c r="AG53" s="1582"/>
      <c r="AH53" s="1583"/>
      <c r="AJ53" s="1192">
        <v>45078</v>
      </c>
      <c r="AK53">
        <v>0</v>
      </c>
      <c r="AL53">
        <v>6659.95</v>
      </c>
      <c r="AM53">
        <v>0</v>
      </c>
      <c r="AN53" s="1582"/>
      <c r="AO53" s="1582"/>
      <c r="AP53" s="1582"/>
      <c r="AQ53" s="1583"/>
    </row>
    <row r="54" spans="1:43">
      <c r="AA54" s="1192">
        <v>45108</v>
      </c>
      <c r="AB54">
        <v>515635.65000000008</v>
      </c>
      <c r="AC54">
        <v>6667.94</v>
      </c>
      <c r="AD54">
        <f t="shared" si="10"/>
        <v>311521.5910590078</v>
      </c>
      <c r="AE54" s="1582"/>
      <c r="AF54" s="1582"/>
      <c r="AG54" s="1582"/>
      <c r="AH54" s="1583"/>
      <c r="AJ54" s="1192">
        <v>45108</v>
      </c>
      <c r="AK54">
        <v>0</v>
      </c>
      <c r="AL54">
        <v>6667.94</v>
      </c>
      <c r="AM54">
        <v>0</v>
      </c>
      <c r="AN54" s="1582"/>
      <c r="AO54" s="1582"/>
      <c r="AP54" s="1582"/>
      <c r="AQ54" s="1583"/>
    </row>
  </sheetData>
  <mergeCells count="33">
    <mergeCell ref="A47:A48"/>
    <mergeCell ref="AP31:AP42"/>
    <mergeCell ref="AQ31:AQ42"/>
    <mergeCell ref="AO7:AO18"/>
    <mergeCell ref="AP7:AP18"/>
    <mergeCell ref="AQ7:AQ18"/>
    <mergeCell ref="AE19:AE30"/>
    <mergeCell ref="AF19:AF30"/>
    <mergeCell ref="AG19:AG30"/>
    <mergeCell ref="AH19:AH30"/>
    <mergeCell ref="AN19:AN30"/>
    <mergeCell ref="AO19:AO30"/>
    <mergeCell ref="AP19:AP30"/>
    <mergeCell ref="AQ19:AQ30"/>
    <mergeCell ref="AE7:AE18"/>
    <mergeCell ref="AF7:AF18"/>
    <mergeCell ref="AQ43:AQ54"/>
    <mergeCell ref="AE31:AE42"/>
    <mergeCell ref="AF31:AF42"/>
    <mergeCell ref="AG31:AG42"/>
    <mergeCell ref="AH31:AH42"/>
    <mergeCell ref="AO31:AO42"/>
    <mergeCell ref="AE43:AE54"/>
    <mergeCell ref="AF43:AF54"/>
    <mergeCell ref="AG43:AG54"/>
    <mergeCell ref="AH43:AH54"/>
    <mergeCell ref="AN43:AN54"/>
    <mergeCell ref="AN31:AN42"/>
    <mergeCell ref="AG7:AG18"/>
    <mergeCell ref="AH7:AH18"/>
    <mergeCell ref="AO43:AO54"/>
    <mergeCell ref="AN7:AN18"/>
    <mergeCell ref="AP43:AP54"/>
  </mergeCells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34E12-9874-4252-83D6-203DAB90CE36}">
  <sheetPr>
    <tabColor theme="2" tint="-9.9978637043366805E-2"/>
  </sheetPr>
  <dimension ref="A2:AJ66"/>
  <sheetViews>
    <sheetView showGridLines="0" topLeftCell="C1" zoomScale="70" zoomScaleNormal="70" workbookViewId="0">
      <selection activeCell="B68" sqref="B68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809</v>
      </c>
      <c r="D2" s="1238" t="s">
        <v>713</v>
      </c>
    </row>
    <row r="3" spans="1:33" ht="23.25">
      <c r="B3" s="1236" t="s">
        <v>815</v>
      </c>
      <c r="D3" s="1239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46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1">
        <f>'E6 RECEITA'!C50</f>
        <v>3282769.4842375312</v>
      </c>
      <c r="I9" s="1211">
        <f>'E6 RECEITA'!D50</f>
        <v>3304634.8278828482</v>
      </c>
      <c r="J9" s="1212">
        <f t="shared" si="0"/>
        <v>4008029.4952593418</v>
      </c>
      <c r="K9" s="1212">
        <f t="shared" si="0"/>
        <v>4073699.9550725189</v>
      </c>
      <c r="L9" s="1212">
        <f t="shared" si="0"/>
        <v>4168530.9301507464</v>
      </c>
      <c r="M9" s="1212">
        <f t="shared" si="0"/>
        <v>4364999.8344247555</v>
      </c>
      <c r="N9" s="1212">
        <f t="shared" si="0"/>
        <v>4663100.202262952</v>
      </c>
      <c r="O9" s="1212">
        <f t="shared" si="0"/>
        <v>4665542.6642718697</v>
      </c>
      <c r="P9" s="1212">
        <f t="shared" si="0"/>
        <v>4672249.2421313887</v>
      </c>
      <c r="Q9" s="1212">
        <f t="shared" si="0"/>
        <v>4678955.8199909087</v>
      </c>
      <c r="R9" s="1212">
        <f t="shared" si="0"/>
        <v>4685103.5163621325</v>
      </c>
      <c r="S9" s="1212">
        <f t="shared" si="0"/>
        <v>4690692.3312450647</v>
      </c>
      <c r="T9" s="1212">
        <f t="shared" si="0"/>
        <v>4696281.1461279979</v>
      </c>
      <c r="U9" s="1212">
        <f t="shared" si="0"/>
        <v>4701869.9610109283</v>
      </c>
      <c r="V9" s="1212">
        <f t="shared" si="0"/>
        <v>4706899.8944055689</v>
      </c>
      <c r="W9" s="1212">
        <f t="shared" si="0"/>
        <v>4713047.5907767965</v>
      </c>
      <c r="X9" s="1212">
        <f t="shared" si="0"/>
        <v>4719195.2871480193</v>
      </c>
      <c r="Y9" s="1212">
        <f t="shared" si="0"/>
        <v>4723666.3390543666</v>
      </c>
      <c r="Z9" s="1212">
        <f t="shared" si="0"/>
        <v>4728137.390960712</v>
      </c>
      <c r="AA9" s="1212">
        <f t="shared" si="0"/>
        <v>4732608.4428670583</v>
      </c>
      <c r="AB9" s="1212">
        <f t="shared" si="0"/>
        <v>4738197.2577499906</v>
      </c>
      <c r="AC9" s="1212">
        <f t="shared" si="0"/>
        <v>4743786.0726329209</v>
      </c>
      <c r="AD9" s="1212">
        <f t="shared" si="0"/>
        <v>4748816.0060275607</v>
      </c>
      <c r="AE9" s="1212">
        <f t="shared" si="0"/>
        <v>4754404.8209104948</v>
      </c>
      <c r="AF9" s="1212">
        <f t="shared" si="0"/>
        <v>4758316.9913285477</v>
      </c>
      <c r="AG9" s="1213">
        <f t="shared" ref="AG9:AG17" si="1">SUM(C9:AF9)</f>
        <v>126351897.43097217</v>
      </c>
    </row>
    <row r="10" spans="1:33" ht="20.25" customHeight="1">
      <c r="B10" s="469" t="s">
        <v>203</v>
      </c>
      <c r="C10" s="1214">
        <f>'R1 DRE'!C5</f>
        <v>1523597.081238748</v>
      </c>
      <c r="D10" s="1214">
        <f>'R1 DRE'!D5</f>
        <v>1700315.1510136535</v>
      </c>
      <c r="E10" s="1214">
        <f>'R1 DRE'!E5</f>
        <v>1854061.9660526102</v>
      </c>
      <c r="F10" s="1214">
        <f>'R1 DRE'!F5</f>
        <v>1912815.2651806301</v>
      </c>
      <c r="G10" s="1214">
        <f>'R1 DRE'!G5</f>
        <v>1980000</v>
      </c>
      <c r="H10" s="1214"/>
      <c r="I10" s="1214"/>
      <c r="J10" s="1214">
        <f>'R1 DRE'!J5</f>
        <v>2245693.2442389107</v>
      </c>
      <c r="K10" s="1214">
        <f>(1+$D$3)*'R1 DRE'!K5</f>
        <v>2236337.5618390017</v>
      </c>
      <c r="L10" s="1214">
        <f>(1+$D$3)*'R1 DRE'!L5</f>
        <v>2231422.6329661855</v>
      </c>
      <c r="M10" s="1214">
        <f>(1+$D$3)*'R1 DRE'!M5</f>
        <v>2230697.1871795147</v>
      </c>
      <c r="N10" s="1214">
        <f>(1+$D$3)*'R1 DRE'!N5</f>
        <v>2231802.0443904921</v>
      </c>
      <c r="O10" s="1214">
        <f>(1+$D$3)*'R1 DRE'!O5</f>
        <v>2230786.8367805546</v>
      </c>
      <c r="P10" s="1214">
        <f>(1+$D$3)*'R1 DRE'!P5</f>
        <v>2233993.5260524</v>
      </c>
      <c r="Q10" s="1214">
        <f>(1+$D$3)*'R1 DRE'!Q5</f>
        <v>2237200.2153242463</v>
      </c>
      <c r="R10" s="1214">
        <f>(1+$D$3)*'R1 DRE'!R5</f>
        <v>2240139.680490104</v>
      </c>
      <c r="S10" s="1214">
        <f>(1+$D$3)*'R1 DRE'!S5</f>
        <v>2242811.9215499754</v>
      </c>
      <c r="T10" s="1214">
        <f>(1+$D$3)*'R1 DRE'!T5</f>
        <v>2245484.1626098468</v>
      </c>
      <c r="U10" s="1214">
        <f>(1+$D$3)*'R1 DRE'!U5</f>
        <v>2248156.4036697173</v>
      </c>
      <c r="V10" s="1214">
        <f>(1+$D$3)*'R1 DRE'!V5</f>
        <v>2250561.4206236023</v>
      </c>
      <c r="W10" s="1214">
        <f>(1+$D$3)*'R1 DRE'!W5</f>
        <v>2253500.8857894614</v>
      </c>
      <c r="X10" s="1214">
        <f>(1+$D$3)*'R1 DRE'!X5</f>
        <v>2256440.3509553187</v>
      </c>
      <c r="Y10" s="1214">
        <f>(1+$D$3)*'R1 DRE'!Y5</f>
        <v>2258578.1438032161</v>
      </c>
      <c r="Z10" s="1214">
        <f>(1+$D$3)*'R1 DRE'!Z5</f>
        <v>2260715.9366511134</v>
      </c>
      <c r="AA10" s="1214">
        <f>(1+$D$3)*'R1 DRE'!AA5</f>
        <v>2262853.7294990104</v>
      </c>
      <c r="AB10" s="1214">
        <f>(1+$D$3)*'R1 DRE'!AB5</f>
        <v>2265525.9705588818</v>
      </c>
      <c r="AC10" s="1214">
        <f>(1+$D$3)*'R1 DRE'!AC5</f>
        <v>2268198.2116187527</v>
      </c>
      <c r="AD10" s="1214">
        <f>(1+$D$3)*'R1 DRE'!AD5</f>
        <v>2270603.2285726368</v>
      </c>
      <c r="AE10" s="1214">
        <f>(1+$D$3)*'R1 DRE'!AE5</f>
        <v>2273275.4696325082</v>
      </c>
      <c r="AF10" s="1214">
        <f>(1+$D$3)*'R1 DRE'!AF5</f>
        <v>2275146.0383744184</v>
      </c>
      <c r="AG10" s="1213">
        <f t="shared" si="1"/>
        <v>60720714.266655505</v>
      </c>
    </row>
    <row r="11" spans="1:33" ht="20.25" customHeight="1">
      <c r="B11" s="469" t="s">
        <v>204</v>
      </c>
      <c r="C11" s="1214">
        <f>'R1 DRE'!C6</f>
        <v>755927.22474067716</v>
      </c>
      <c r="D11" s="1214">
        <f>'R1 DRE'!D6</f>
        <v>864024.61729416624</v>
      </c>
      <c r="E11" s="1214">
        <f>'R1 DRE'!E6</f>
        <v>921110.0796396106</v>
      </c>
      <c r="F11" s="1214">
        <f>'R1 DRE'!F6</f>
        <v>945261.79093005392</v>
      </c>
      <c r="G11" s="1214">
        <f>'R1 DRE'!G6</f>
        <v>987517.85328943643</v>
      </c>
      <c r="H11" s="1214"/>
      <c r="I11" s="1214"/>
      <c r="J11" s="1214">
        <f>'R1 DRE'!J6</f>
        <v>1722652.7906713283</v>
      </c>
      <c r="K11" s="1214">
        <f>(1+$D$3)*'R1 DRE'!K6</f>
        <v>1797028.7303120072</v>
      </c>
      <c r="L11" s="1214">
        <f>(1+$D$3)*'R1 DRE'!L6</f>
        <v>1895835.7137177221</v>
      </c>
      <c r="M11" s="1214">
        <f>(1+$D$3)*'R1 DRE'!M6</f>
        <v>2091084.8271024216</v>
      </c>
      <c r="N11" s="1214">
        <f>(1+$D$3)*'R1 DRE'!N6</f>
        <v>2385128.8489391641</v>
      </c>
      <c r="O11" s="1214">
        <f>(1+$D$3)*'R1 DRE'!O6</f>
        <v>2388562.3357658512</v>
      </c>
      <c r="P11" s="1214">
        <f>(1+$D$3)*'R1 DRE'!P6</f>
        <v>2391995.8225925392</v>
      </c>
      <c r="Q11" s="1214">
        <f>(1+$D$3)*'R1 DRE'!Q6</f>
        <v>2395429.3094192278</v>
      </c>
      <c r="R11" s="1214">
        <f>(1+$D$3)*'R1 DRE'!R6</f>
        <v>2398576.6723436909</v>
      </c>
      <c r="S11" s="1214">
        <f>(1+$D$3)*'R1 DRE'!S6</f>
        <v>2401437.9113659309</v>
      </c>
      <c r="T11" s="1214">
        <f>(1+$D$3)*'R1 DRE'!T6</f>
        <v>2404299.1503881705</v>
      </c>
      <c r="U11" s="1214">
        <f>(1+$D$3)*'R1 DRE'!U6</f>
        <v>2407160.3894104101</v>
      </c>
      <c r="V11" s="1214">
        <f>(1+$D$3)*'R1 DRE'!V6</f>
        <v>2409735.5045304266</v>
      </c>
      <c r="W11" s="1214">
        <f>(1+$D$3)*'R1 DRE'!W6</f>
        <v>2412882.8674548911</v>
      </c>
      <c r="X11" s="1214">
        <f>(1+$D$3)*'R1 DRE'!X6</f>
        <v>2416030.2303793547</v>
      </c>
      <c r="Y11" s="1214">
        <f>(1+$D$3)*'R1 DRE'!Y6</f>
        <v>2418319.2215971467</v>
      </c>
      <c r="Z11" s="1214">
        <f>(1+$D$3)*'R1 DRE'!Z6</f>
        <v>2420608.2128149383</v>
      </c>
      <c r="AA11" s="1214">
        <f>(1+$D$3)*'R1 DRE'!AA6</f>
        <v>2422897.2040327298</v>
      </c>
      <c r="AB11" s="1214">
        <f>(1+$D$3)*'R1 DRE'!AB6</f>
        <v>2425758.4430549708</v>
      </c>
      <c r="AC11" s="1214">
        <f>(1+$D$3)*'R1 DRE'!AC6</f>
        <v>2428619.6820772095</v>
      </c>
      <c r="AD11" s="1214">
        <f>(1+$D$3)*'R1 DRE'!AD6</f>
        <v>2431194.7971972255</v>
      </c>
      <c r="AE11" s="1214">
        <f>(1+$D$3)*'R1 DRE'!AE6</f>
        <v>2434056.036219466</v>
      </c>
      <c r="AF11" s="1214">
        <f>(1+$D$3)*'R1 DRE'!AF6</f>
        <v>2436058.903535034</v>
      </c>
      <c r="AG11" s="1213">
        <f t="shared" si="1"/>
        <v>57809195.170815803</v>
      </c>
    </row>
    <row r="12" spans="1:33" ht="20.25" customHeight="1">
      <c r="B12" s="469" t="s">
        <v>205</v>
      </c>
      <c r="C12" s="1214">
        <f>'R1 DRE'!C7</f>
        <v>23294.028204029146</v>
      </c>
      <c r="D12" s="1214">
        <f>'R1 DRE'!D7</f>
        <v>24745.693007860991</v>
      </c>
      <c r="E12" s="1214">
        <f>'R1 DRE'!E7</f>
        <v>43686.059045933551</v>
      </c>
      <c r="F12" s="1214">
        <f>'R1 DRE'!F7</f>
        <v>62329.938508839361</v>
      </c>
      <c r="G12" s="1214">
        <f>'R1 DRE'!G7</f>
        <v>29675.178532894366</v>
      </c>
      <c r="H12" s="1214"/>
      <c r="I12" s="1214"/>
      <c r="J12" s="1214">
        <f>'R1 DRE'!J7</f>
        <v>39683.460349102395</v>
      </c>
      <c r="K12" s="1214">
        <f>(1+$D$3)*'R1 DRE'!K7</f>
        <v>40333.662921510091</v>
      </c>
      <c r="L12" s="1214">
        <f>(1+$D$3)*'R1 DRE'!L7</f>
        <v>41272.583466839074</v>
      </c>
      <c r="M12" s="1214">
        <f>(1+$D$3)*'R1 DRE'!M7</f>
        <v>43217.820142819364</v>
      </c>
      <c r="N12" s="1214">
        <f>(1+$D$3)*'R1 DRE'!N7</f>
        <v>46169.308933296561</v>
      </c>
      <c r="O12" s="1214">
        <f>(1+$D$3)*'R1 DRE'!O7</f>
        <v>46193.491725464053</v>
      </c>
      <c r="P12" s="1214">
        <f>(1+$D$3)*'R1 DRE'!P7</f>
        <v>46259.893486449393</v>
      </c>
      <c r="Q12" s="1214">
        <f>(1+$D$3)*'R1 DRE'!Q7</f>
        <v>46326.29524743474</v>
      </c>
      <c r="R12" s="1214">
        <f>(1+$D$3)*'R1 DRE'!R7</f>
        <v>46387.163528337944</v>
      </c>
      <c r="S12" s="1214">
        <f>(1+$D$3)*'R1 DRE'!S7</f>
        <v>46442.498329159062</v>
      </c>
      <c r="T12" s="1214">
        <f>(1+$D$3)*'R1 DRE'!T7</f>
        <v>46497.833129980172</v>
      </c>
      <c r="U12" s="1214">
        <f>(1+$D$3)*'R1 DRE'!U7</f>
        <v>46553.167930801268</v>
      </c>
      <c r="V12" s="1214">
        <f>(1+$D$3)*'R1 DRE'!V7</f>
        <v>46602.969251540286</v>
      </c>
      <c r="W12" s="1214">
        <f>(1+$D$3)*'R1 DRE'!W7</f>
        <v>46663.837532443526</v>
      </c>
      <c r="X12" s="1214">
        <f>(1+$D$3)*'R1 DRE'!X7</f>
        <v>46724.705813346729</v>
      </c>
      <c r="Y12" s="1214">
        <f>(1+$D$3)*'R1 DRE'!Y7</f>
        <v>46768.973654003632</v>
      </c>
      <c r="Z12" s="1214">
        <f>(1+$D$3)*'R1 DRE'!Z7</f>
        <v>46813.24149466052</v>
      </c>
      <c r="AA12" s="1214">
        <f>(1+$D$3)*'R1 DRE'!AA7</f>
        <v>46857.509335317409</v>
      </c>
      <c r="AB12" s="1214">
        <f>(1+$D$3)*'R1 DRE'!AB7</f>
        <v>46912.844136138519</v>
      </c>
      <c r="AC12" s="1214">
        <f>(1+$D$3)*'R1 DRE'!AC7</f>
        <v>46968.178936959615</v>
      </c>
      <c r="AD12" s="1214">
        <f>(1+$D$3)*'R1 DRE'!AD7</f>
        <v>47017.980257698626</v>
      </c>
      <c r="AE12" s="1214">
        <f>(1+$D$3)*'R1 DRE'!AE7</f>
        <v>47073.315058519751</v>
      </c>
      <c r="AF12" s="1214">
        <f>(1+$D$3)*'R1 DRE'!AF7</f>
        <v>47112.049419094532</v>
      </c>
      <c r="AG12" s="1213">
        <f t="shared" si="1"/>
        <v>1234583.6813804747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2">-SUM(D14:D15)</f>
        <v>-234617.19486967311</v>
      </c>
      <c r="E13" s="1212">
        <f t="shared" si="2"/>
        <v>-255067.11447188459</v>
      </c>
      <c r="F13" s="1212">
        <f t="shared" si="2"/>
        <v>-266470.53804765607</v>
      </c>
      <c r="G13" s="1212">
        <f t="shared" si="2"/>
        <v>-277240.35544356558</v>
      </c>
      <c r="H13" s="1212">
        <f t="shared" si="2"/>
        <v>-303656.17729197163</v>
      </c>
      <c r="I13" s="1212">
        <f t="shared" si="2"/>
        <v>-305678.72157916345</v>
      </c>
      <c r="J13" s="1212">
        <f t="shared" si="2"/>
        <v>-370742.7283114891</v>
      </c>
      <c r="K13" s="1212">
        <f t="shared" si="2"/>
        <v>-376817.245844208</v>
      </c>
      <c r="L13" s="1212">
        <f t="shared" si="2"/>
        <v>-385589.11103894399</v>
      </c>
      <c r="M13" s="1212">
        <f t="shared" si="2"/>
        <v>-403762.4846842899</v>
      </c>
      <c r="N13" s="1212">
        <f t="shared" si="2"/>
        <v>-431336.76870932308</v>
      </c>
      <c r="O13" s="1212">
        <f t="shared" si="2"/>
        <v>-431562.69644514797</v>
      </c>
      <c r="P13" s="1212">
        <f t="shared" si="2"/>
        <v>-432183.05489715346</v>
      </c>
      <c r="Q13" s="1212">
        <f t="shared" si="2"/>
        <v>-432803.41334915906</v>
      </c>
      <c r="R13" s="1212">
        <f t="shared" si="2"/>
        <v>-433372.0752634973</v>
      </c>
      <c r="S13" s="1212">
        <f t="shared" si="2"/>
        <v>-433889.04064016847</v>
      </c>
      <c r="T13" s="1212">
        <f t="shared" si="2"/>
        <v>-434406.00601683982</v>
      </c>
      <c r="U13" s="1212">
        <f t="shared" si="2"/>
        <v>-434922.97139351082</v>
      </c>
      <c r="V13" s="1212">
        <f t="shared" si="2"/>
        <v>-435388.24023251515</v>
      </c>
      <c r="W13" s="1212">
        <f t="shared" si="2"/>
        <v>-435956.90214685362</v>
      </c>
      <c r="X13" s="1212">
        <f t="shared" si="2"/>
        <v>-436525.56406119181</v>
      </c>
      <c r="Y13" s="1212">
        <f t="shared" si="2"/>
        <v>-436939.13636252889</v>
      </c>
      <c r="Z13" s="1212">
        <f t="shared" si="2"/>
        <v>-437352.70866386587</v>
      </c>
      <c r="AA13" s="1212">
        <f t="shared" si="2"/>
        <v>-437766.2809652029</v>
      </c>
      <c r="AB13" s="1212">
        <f t="shared" si="2"/>
        <v>-438283.24634187412</v>
      </c>
      <c r="AC13" s="1212">
        <f t="shared" si="2"/>
        <v>-438800.21171854518</v>
      </c>
      <c r="AD13" s="1212">
        <f t="shared" si="2"/>
        <v>-439265.48055754934</v>
      </c>
      <c r="AE13" s="1212">
        <f t="shared" si="2"/>
        <v>-439782.4459342208</v>
      </c>
      <c r="AF13" s="1212">
        <f t="shared" si="2"/>
        <v>-440144.32169789064</v>
      </c>
      <c r="AG13" s="1213">
        <f t="shared" si="1"/>
        <v>-11639744.202020606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3">0.076*G9</f>
        <v>227786.67041849715</v>
      </c>
      <c r="H14" s="1214">
        <f t="shared" si="3"/>
        <v>249490.48080205236</v>
      </c>
      <c r="I14" s="1214">
        <f t="shared" si="3"/>
        <v>251152.24691909645</v>
      </c>
      <c r="J14" s="1214">
        <f t="shared" si="3"/>
        <v>304610.24163970997</v>
      </c>
      <c r="K14" s="1214">
        <f t="shared" si="3"/>
        <v>309601.19658551144</v>
      </c>
      <c r="L14" s="1214">
        <f t="shared" si="3"/>
        <v>316808.3506914567</v>
      </c>
      <c r="M14" s="1214">
        <f t="shared" si="3"/>
        <v>331739.98741628142</v>
      </c>
      <c r="N14" s="1214">
        <f t="shared" si="3"/>
        <v>354395.61537198437</v>
      </c>
      <c r="O14" s="1214">
        <f t="shared" si="3"/>
        <v>354581.2424846621</v>
      </c>
      <c r="P14" s="1214">
        <f t="shared" si="3"/>
        <v>355090.94240198552</v>
      </c>
      <c r="Q14" s="1214">
        <f t="shared" si="3"/>
        <v>355600.64231930906</v>
      </c>
      <c r="R14" s="1214">
        <f t="shared" si="3"/>
        <v>356067.86724352208</v>
      </c>
      <c r="S14" s="1214">
        <f t="shared" si="3"/>
        <v>356492.61717462493</v>
      </c>
      <c r="T14" s="1214">
        <f t="shared" si="3"/>
        <v>356917.36710572784</v>
      </c>
      <c r="U14" s="1214">
        <f t="shared" si="3"/>
        <v>357342.11703683052</v>
      </c>
      <c r="V14" s="1214">
        <f t="shared" si="3"/>
        <v>357724.39197482326</v>
      </c>
      <c r="W14" s="1214">
        <f t="shared" si="3"/>
        <v>358191.61689903651</v>
      </c>
      <c r="X14" s="1214">
        <f t="shared" si="3"/>
        <v>358658.84182324947</v>
      </c>
      <c r="Y14" s="1214">
        <f t="shared" si="3"/>
        <v>358998.64176813187</v>
      </c>
      <c r="Z14" s="1214">
        <f t="shared" si="3"/>
        <v>359338.44171301409</v>
      </c>
      <c r="AA14" s="1214">
        <f t="shared" si="3"/>
        <v>359678.24165789643</v>
      </c>
      <c r="AB14" s="1214">
        <f t="shared" si="3"/>
        <v>360102.99158899928</v>
      </c>
      <c r="AC14" s="1214">
        <f t="shared" si="3"/>
        <v>360527.74152010196</v>
      </c>
      <c r="AD14" s="1214">
        <f t="shared" si="3"/>
        <v>360910.01645809459</v>
      </c>
      <c r="AE14" s="1214">
        <f t="shared" si="3"/>
        <v>361334.76638919761</v>
      </c>
      <c r="AF14" s="1214">
        <f t="shared" si="3"/>
        <v>361632.09134096961</v>
      </c>
      <c r="AG14" s="1213">
        <f t="shared" si="1"/>
        <v>9563473.58541728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4">0.0165*G9</f>
        <v>49453.685025068458</v>
      </c>
      <c r="H15" s="1214">
        <f t="shared" si="4"/>
        <v>54165.696489919268</v>
      </c>
      <c r="I15" s="1214">
        <f t="shared" si="4"/>
        <v>54526.474660066997</v>
      </c>
      <c r="J15" s="1214">
        <f t="shared" si="4"/>
        <v>66132.486671779145</v>
      </c>
      <c r="K15" s="1214">
        <f t="shared" si="4"/>
        <v>67216.04925869657</v>
      </c>
      <c r="L15" s="1214">
        <f t="shared" si="4"/>
        <v>68780.760347487318</v>
      </c>
      <c r="M15" s="1214">
        <f t="shared" si="4"/>
        <v>72022.497268008476</v>
      </c>
      <c r="N15" s="1214">
        <f t="shared" si="4"/>
        <v>76941.153337338706</v>
      </c>
      <c r="O15" s="1214">
        <f t="shared" si="4"/>
        <v>76981.453960485858</v>
      </c>
      <c r="P15" s="1214">
        <f t="shared" si="4"/>
        <v>77092.112495167923</v>
      </c>
      <c r="Q15" s="1214">
        <f t="shared" si="4"/>
        <v>77202.771029850002</v>
      </c>
      <c r="R15" s="1214">
        <f t="shared" si="4"/>
        <v>77304.208019975194</v>
      </c>
      <c r="S15" s="1214">
        <f t="shared" si="4"/>
        <v>77396.423465543572</v>
      </c>
      <c r="T15" s="1214">
        <f t="shared" si="4"/>
        <v>77488.638911111964</v>
      </c>
      <c r="U15" s="1214">
        <f t="shared" si="4"/>
        <v>77580.854356680313</v>
      </c>
      <c r="V15" s="1214">
        <f t="shared" si="4"/>
        <v>77663.84825769189</v>
      </c>
      <c r="W15" s="1214">
        <f t="shared" si="4"/>
        <v>77765.285247817141</v>
      </c>
      <c r="X15" s="1214">
        <f t="shared" si="4"/>
        <v>77866.722237942318</v>
      </c>
      <c r="Y15" s="1214">
        <f t="shared" si="4"/>
        <v>77940.494594397052</v>
      </c>
      <c r="Z15" s="1214">
        <f t="shared" si="4"/>
        <v>78014.266950851757</v>
      </c>
      <c r="AA15" s="1214">
        <f t="shared" si="4"/>
        <v>78088.039307306462</v>
      </c>
      <c r="AB15" s="1214">
        <f t="shared" si="4"/>
        <v>78180.254752874855</v>
      </c>
      <c r="AC15" s="1214">
        <f t="shared" si="4"/>
        <v>78272.470198443203</v>
      </c>
      <c r="AD15" s="1214">
        <f t="shared" si="4"/>
        <v>78355.464099454752</v>
      </c>
      <c r="AE15" s="1214">
        <f t="shared" si="4"/>
        <v>78447.679545023173</v>
      </c>
      <c r="AF15" s="1214">
        <f t="shared" si="4"/>
        <v>78512.230356921034</v>
      </c>
      <c r="AG15" s="1213">
        <f t="shared" si="1"/>
        <v>2076270.616603323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1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5">D9+D13+D16</f>
        <v>2348736.4306745757</v>
      </c>
      <c r="E17" s="1212">
        <f t="shared" si="5"/>
        <v>2607846.6711710477</v>
      </c>
      <c r="F17" s="1212">
        <f t="shared" si="5"/>
        <v>2673176.6493209945</v>
      </c>
      <c r="G17" s="1212">
        <f t="shared" si="5"/>
        <v>2744549.5840927921</v>
      </c>
      <c r="H17" s="1212">
        <f t="shared" si="5"/>
        <v>2993921.7168025109</v>
      </c>
      <c r="I17" s="1212">
        <f t="shared" si="5"/>
        <v>2978562.184096714</v>
      </c>
      <c r="J17" s="1212">
        <f t="shared" si="5"/>
        <v>3622302.386444245</v>
      </c>
      <c r="K17" s="1212">
        <f t="shared" si="5"/>
        <v>3693599.1862376514</v>
      </c>
      <c r="L17" s="1212">
        <f t="shared" si="5"/>
        <v>3778200.2703578915</v>
      </c>
      <c r="M17" s="1212">
        <f t="shared" si="5"/>
        <v>3951413.904526765</v>
      </c>
      <c r="N17" s="1212">
        <f t="shared" si="5"/>
        <v>4216858.4151617186</v>
      </c>
      <c r="O17" s="1212">
        <f t="shared" si="5"/>
        <v>4233857.8447262766</v>
      </c>
      <c r="P17" s="1212">
        <f t="shared" si="5"/>
        <v>4239730.858341259</v>
      </c>
      <c r="Q17" s="1212">
        <f t="shared" si="5"/>
        <v>4245817.0777487736</v>
      </c>
      <c r="R17" s="1212">
        <f t="shared" si="5"/>
        <v>4251424.0562800746</v>
      </c>
      <c r="S17" s="1212">
        <f t="shared" si="5"/>
        <v>4256523.8498607492</v>
      </c>
      <c r="T17" s="1212">
        <f t="shared" si="5"/>
        <v>4261595.699367011</v>
      </c>
      <c r="U17" s="1212">
        <f t="shared" si="5"/>
        <v>4266667.5488732709</v>
      </c>
      <c r="V17" s="1212">
        <f t="shared" si="5"/>
        <v>4271260.1575033218</v>
      </c>
      <c r="W17" s="1212">
        <f t="shared" si="5"/>
        <v>4276783.3038113816</v>
      </c>
      <c r="X17" s="1212">
        <f t="shared" si="5"/>
        <v>4282362.3382682661</v>
      </c>
      <c r="Y17" s="1212">
        <f t="shared" si="5"/>
        <v>4286503.6500965208</v>
      </c>
      <c r="Z17" s="1212">
        <f t="shared" si="5"/>
        <v>4290561.1297015287</v>
      </c>
      <c r="AA17" s="1212">
        <f t="shared" si="5"/>
        <v>4294618.6093065385</v>
      </c>
      <c r="AB17" s="1212">
        <f t="shared" si="5"/>
        <v>4299634.57066397</v>
      </c>
      <c r="AC17" s="1212">
        <f t="shared" si="5"/>
        <v>4304706.4201702299</v>
      </c>
      <c r="AD17" s="1212">
        <f t="shared" si="5"/>
        <v>4309299.0288002789</v>
      </c>
      <c r="AE17" s="1212">
        <f t="shared" si="5"/>
        <v>4314342.9342321269</v>
      </c>
      <c r="AF17" s="1212">
        <f t="shared" si="5"/>
        <v>4317977.0611097543</v>
      </c>
      <c r="AG17" s="1213">
        <f t="shared" si="1"/>
        <v>114495904.75697036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6">D19+D20</f>
        <v>-369565.70052795502</v>
      </c>
      <c r="E18" s="1212">
        <f t="shared" si="6"/>
        <v>-372990.80023137957</v>
      </c>
      <c r="F18" s="1212">
        <f t="shared" si="6"/>
        <v>-365825.26800000004</v>
      </c>
      <c r="G18" s="1212">
        <f t="shared" si="6"/>
        <v>-364530.62316929037</v>
      </c>
      <c r="H18" s="1212">
        <f t="shared" si="6"/>
        <v>-386664.99739602057</v>
      </c>
      <c r="I18" s="1212">
        <f t="shared" si="6"/>
        <v>-368051.52738592168</v>
      </c>
      <c r="J18" s="1212">
        <f t="shared" si="6"/>
        <v>-369563.79094887548</v>
      </c>
      <c r="K18" s="1212">
        <f t="shared" si="6"/>
        <v>-374710.74257447</v>
      </c>
      <c r="L18" s="1212">
        <f t="shared" si="6"/>
        <v>-362395.04255699547</v>
      </c>
      <c r="M18" s="1212">
        <f t="shared" si="6"/>
        <v>-362481.33999999997</v>
      </c>
      <c r="N18" s="1212">
        <f t="shared" si="6"/>
        <v>-362490.34070234851</v>
      </c>
      <c r="O18" s="1212">
        <f t="shared" si="6"/>
        <v>-362536.99326174881</v>
      </c>
      <c r="P18" s="1212">
        <f t="shared" si="6"/>
        <v>-362583.70954566193</v>
      </c>
      <c r="Q18" s="1212">
        <f t="shared" si="6"/>
        <v>-362630.4975196523</v>
      </c>
      <c r="R18" s="1212">
        <f t="shared" si="6"/>
        <v>-362696.54000000004</v>
      </c>
      <c r="S18" s="1212">
        <f t="shared" si="6"/>
        <v>-362712.66594447545</v>
      </c>
      <c r="T18" s="1212">
        <f t="shared" si="6"/>
        <v>-362751.99800359353</v>
      </c>
      <c r="U18" s="1212">
        <f t="shared" si="6"/>
        <v>-362789.80886980717</v>
      </c>
      <c r="V18" s="1212">
        <f t="shared" si="6"/>
        <v>-362825.60956597811</v>
      </c>
      <c r="W18" s="1212">
        <f t="shared" si="6"/>
        <v>-362857.98</v>
      </c>
      <c r="X18" s="1212">
        <f t="shared" si="6"/>
        <v>-362911.24421609647</v>
      </c>
      <c r="Y18" s="1212">
        <f t="shared" si="6"/>
        <v>-362943.6906476072</v>
      </c>
      <c r="Z18" s="1212">
        <f t="shared" si="6"/>
        <v>-362978.11100334622</v>
      </c>
      <c r="AA18" s="1212">
        <f t="shared" si="6"/>
        <v>-363012.92385767959</v>
      </c>
      <c r="AB18" s="1212">
        <f t="shared" si="6"/>
        <v>-363097.00400000002</v>
      </c>
      <c r="AC18" s="1212">
        <f t="shared" si="6"/>
        <v>-363097.00762754027</v>
      </c>
      <c r="AD18" s="1212">
        <f t="shared" si="6"/>
        <v>-363135.18987865513</v>
      </c>
      <c r="AE18" s="1212">
        <f t="shared" si="6"/>
        <v>-363180.18092086643</v>
      </c>
      <c r="AF18" s="1212">
        <f t="shared" si="6"/>
        <v>-363220.56991323736</v>
      </c>
      <c r="AG18" s="1213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14">
        <f>'R1 DRE'!K14</f>
        <v>-222919.5</v>
      </c>
      <c r="L19" s="1214">
        <f>'R1 DRE'!L14</f>
        <v>-222919.5</v>
      </c>
      <c r="M19" s="1214">
        <f>'R1 DRE'!M14</f>
        <v>-222919.5</v>
      </c>
      <c r="N19" s="1214">
        <f>'R1 DRE'!N14</f>
        <v>-222919.5</v>
      </c>
      <c r="O19" s="1214">
        <f>'R1 DRE'!O14</f>
        <v>-222919.5</v>
      </c>
      <c r="P19" s="1214">
        <f>'R1 DRE'!P14</f>
        <v>-222919.5</v>
      </c>
      <c r="Q19" s="1214">
        <f>'R1 DRE'!Q14</f>
        <v>-222919.5</v>
      </c>
      <c r="R19" s="1214">
        <f>'R1 DRE'!R14</f>
        <v>-222919.5</v>
      </c>
      <c r="S19" s="1214">
        <f>'R1 DRE'!S14</f>
        <v>-222919.5</v>
      </c>
      <c r="T19" s="1214">
        <f>'R1 DRE'!T14</f>
        <v>-222919.5</v>
      </c>
      <c r="U19" s="1214">
        <f>'R1 DRE'!U14</f>
        <v>-222919.5</v>
      </c>
      <c r="V19" s="1214">
        <f>'R1 DRE'!V14</f>
        <v>-222919.5</v>
      </c>
      <c r="W19" s="1214">
        <f>'R1 DRE'!W14</f>
        <v>-222919.5</v>
      </c>
      <c r="X19" s="1214">
        <f>'R1 DRE'!X14</f>
        <v>-222919.5</v>
      </c>
      <c r="Y19" s="1214">
        <f>'R1 DRE'!Y14</f>
        <v>-222919.5</v>
      </c>
      <c r="Z19" s="1214">
        <f>'R1 DRE'!Z14</f>
        <v>-222919.5</v>
      </c>
      <c r="AA19" s="1214">
        <f>'R1 DRE'!AA14</f>
        <v>-222919.5</v>
      </c>
      <c r="AB19" s="1214">
        <f>'R1 DRE'!AB14</f>
        <v>-222919.5</v>
      </c>
      <c r="AC19" s="1214">
        <f>'R1 DRE'!AC14</f>
        <v>-222919.5</v>
      </c>
      <c r="AD19" s="1214">
        <f>'R1 DRE'!AD14</f>
        <v>-222919.5</v>
      </c>
      <c r="AE19" s="1214">
        <f>'R1 DRE'!AE14</f>
        <v>-222919.5</v>
      </c>
      <c r="AF19" s="1214">
        <f>'R1 DRE'!AF14</f>
        <v>-222919.5</v>
      </c>
      <c r="AG19" s="1215">
        <f t="shared" si="7"/>
        <v>-6687585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14">
        <f>'R1 DRE'!K15</f>
        <v>-151791.24257447</v>
      </c>
      <c r="L20" s="1214">
        <f>'R1 DRE'!L15</f>
        <v>-139475.54255699547</v>
      </c>
      <c r="M20" s="1214">
        <f>'R1 DRE'!M15</f>
        <v>-139561.84</v>
      </c>
      <c r="N20" s="1214">
        <f>'R1 DRE'!N15</f>
        <v>-139570.84070234848</v>
      </c>
      <c r="O20" s="1214">
        <f>'R1 DRE'!O15</f>
        <v>-139617.49326174878</v>
      </c>
      <c r="P20" s="1214">
        <f>'R1 DRE'!P15</f>
        <v>-139664.20954566196</v>
      </c>
      <c r="Q20" s="1214">
        <f>'R1 DRE'!Q15</f>
        <v>-139710.9975196523</v>
      </c>
      <c r="R20" s="1214">
        <f>'R1 DRE'!R15</f>
        <v>-139777.04</v>
      </c>
      <c r="S20" s="1214">
        <f>'R1 DRE'!S15</f>
        <v>-139793.16594447548</v>
      </c>
      <c r="T20" s="1214">
        <f>'R1 DRE'!T15</f>
        <v>-139832.49800359353</v>
      </c>
      <c r="U20" s="1214">
        <f>'R1 DRE'!U15</f>
        <v>-139870.30886980714</v>
      </c>
      <c r="V20" s="1214">
        <f>'R1 DRE'!V15</f>
        <v>-139906.10956597811</v>
      </c>
      <c r="W20" s="1214">
        <f>'R1 DRE'!W15</f>
        <v>-139938.48000000001</v>
      </c>
      <c r="X20" s="1214">
        <f>'R1 DRE'!X15</f>
        <v>-139991.74421609644</v>
      </c>
      <c r="Y20" s="1214">
        <f>'R1 DRE'!Y15</f>
        <v>-140024.19064760717</v>
      </c>
      <c r="Z20" s="1214">
        <f>'R1 DRE'!Z15</f>
        <v>-140058.61100334622</v>
      </c>
      <c r="AA20" s="1214">
        <f>'R1 DRE'!AA15</f>
        <v>-140093.42385767962</v>
      </c>
      <c r="AB20" s="1214">
        <f>'R1 DRE'!AB15</f>
        <v>-140177.50400000002</v>
      </c>
      <c r="AC20" s="1214">
        <f>'R1 DRE'!AC15</f>
        <v>-140177.5076275403</v>
      </c>
      <c r="AD20" s="1214">
        <f>'R1 DRE'!AD15</f>
        <v>-140215.68987865516</v>
      </c>
      <c r="AE20" s="1214">
        <f>'R1 DRE'!AE15</f>
        <v>-140260.68092086641</v>
      </c>
      <c r="AF20" s="1214">
        <f>'R1 DRE'!AF15</f>
        <v>-140301.06991323733</v>
      </c>
      <c r="AG20" s="1215">
        <f t="shared" si="7"/>
        <v>-4365715.761531245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8">D22+D23+D24+D25</f>
        <v>-1230326.5123160521</v>
      </c>
      <c r="E21" s="1212">
        <f t="shared" si="8"/>
        <v>-1446948.7737891045</v>
      </c>
      <c r="F21" s="1212">
        <f t="shared" si="8"/>
        <v>-1394729.7694170631</v>
      </c>
      <c r="G21" s="1212">
        <f t="shared" si="8"/>
        <v>-1372431.1735002932</v>
      </c>
      <c r="H21" s="1212">
        <f t="shared" si="8"/>
        <v>-1372166.094364627</v>
      </c>
      <c r="I21" s="1212">
        <f t="shared" si="8"/>
        <v>-1366336.9765073925</v>
      </c>
      <c r="J21" s="1212">
        <f t="shared" si="8"/>
        <v>-1415767.7581980655</v>
      </c>
      <c r="K21" s="1212">
        <f t="shared" si="8"/>
        <v>-1438887.6579406383</v>
      </c>
      <c r="L21" s="1212">
        <f t="shared" si="8"/>
        <v>-1459699.627200658</v>
      </c>
      <c r="M21" s="1212">
        <f t="shared" si="8"/>
        <v>-1460821.3663060188</v>
      </c>
      <c r="N21" s="1212">
        <f t="shared" si="8"/>
        <v>-1462045.7635940488</v>
      </c>
      <c r="O21" s="1212">
        <f t="shared" si="8"/>
        <v>-1462837.8367342837</v>
      </c>
      <c r="P21" s="1212">
        <f t="shared" si="8"/>
        <v>-1463629.9098745186</v>
      </c>
      <c r="Q21" s="1212">
        <f t="shared" si="8"/>
        <v>-1464421.9830147536</v>
      </c>
      <c r="R21" s="1212">
        <f t="shared" si="8"/>
        <v>-1465073.8827858537</v>
      </c>
      <c r="S21" s="1212">
        <f t="shared" si="8"/>
        <v>-1465719.7318946985</v>
      </c>
      <c r="T21" s="1212">
        <f t="shared" si="8"/>
        <v>-1466364.5052424648</v>
      </c>
      <c r="U21" s="1212">
        <f t="shared" si="8"/>
        <v>-1467109.2785902307</v>
      </c>
      <c r="V21" s="1212">
        <f t="shared" si="8"/>
        <v>-1467754.0519379969</v>
      </c>
      <c r="W21" s="1212">
        <f t="shared" si="8"/>
        <v>-1468528.6735217113</v>
      </c>
      <c r="X21" s="1212">
        <f t="shared" si="8"/>
        <v>-1469110.8389274431</v>
      </c>
      <c r="Y21" s="1212">
        <f t="shared" si="8"/>
        <v>-1469661.4495864294</v>
      </c>
      <c r="Z21" s="1212">
        <f t="shared" si="8"/>
        <v>-1470212.0602454157</v>
      </c>
      <c r="AA21" s="1212">
        <f t="shared" si="8"/>
        <v>-1470762.6709044017</v>
      </c>
      <c r="AB21" s="1212">
        <f t="shared" si="8"/>
        <v>-1471525.5055295818</v>
      </c>
      <c r="AC21" s="1212">
        <f t="shared" si="8"/>
        <v>-1472131.1268811177</v>
      </c>
      <c r="AD21" s="1212">
        <f t="shared" si="8"/>
        <v>-1472720.3189069431</v>
      </c>
      <c r="AE21" s="1212">
        <f t="shared" si="8"/>
        <v>-1473335.4033433762</v>
      </c>
      <c r="AF21" s="1212">
        <f t="shared" si="8"/>
        <v>-1473706.477100356</v>
      </c>
      <c r="AG21" s="1213">
        <f t="shared" si="7"/>
        <v>-42912486.362427264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14">
        <f>'R1 DRE'!K17</f>
        <v>-483412.18706838228</v>
      </c>
      <c r="L22" s="1214">
        <f>'R1 DRE'!L17</f>
        <v>-489442.6019993478</v>
      </c>
      <c r="M22" s="1214">
        <f>'R1 DRE'!M17</f>
        <v>-490208.95603734476</v>
      </c>
      <c r="N22" s="1214">
        <f>'R1 DRE'!N17</f>
        <v>-490920.5570620927</v>
      </c>
      <c r="O22" s="1214">
        <f>'R1 DRE'!O17</f>
        <v>-491624.76348001952</v>
      </c>
      <c r="P22" s="1214">
        <f>'R1 DRE'!P17</f>
        <v>-492328.96989794611</v>
      </c>
      <c r="Q22" s="1214">
        <f>'R1 DRE'!Q17</f>
        <v>-493033.1763158727</v>
      </c>
      <c r="R22" s="1214">
        <f>'R1 DRE'!R17</f>
        <v>-493612.01936735166</v>
      </c>
      <c r="S22" s="1214">
        <f>'R1 DRE'!S17</f>
        <v>-494186.17130256217</v>
      </c>
      <c r="T22" s="1214">
        <f>'R1 DRE'!T17</f>
        <v>-494759.40497506119</v>
      </c>
      <c r="U22" s="1214">
        <f>'R1 DRE'!U17</f>
        <v>-495332.63864756015</v>
      </c>
      <c r="V22" s="1214">
        <f>'R1 DRE'!V17</f>
        <v>-495905.87232005922</v>
      </c>
      <c r="W22" s="1214">
        <f>'R1 DRE'!W17</f>
        <v>-496595.18385540805</v>
      </c>
      <c r="X22" s="1214">
        <f>'R1 DRE'!X17</f>
        <v>-497111.64190462325</v>
      </c>
      <c r="Y22" s="1214">
        <f>'R1 DRE'!Y17</f>
        <v>-497601.16502573498</v>
      </c>
      <c r="Z22" s="1214">
        <f>'R1 DRE'!Z17</f>
        <v>-498090.68814684672</v>
      </c>
      <c r="AA22" s="1214">
        <f>'R1 DRE'!AA17</f>
        <v>-498580.2112679584</v>
      </c>
      <c r="AB22" s="1214">
        <f>'R1 DRE'!AB17</f>
        <v>-499259.46152948157</v>
      </c>
      <c r="AC22" s="1214">
        <f>'R1 DRE'!AC17</f>
        <v>-499796.89372358366</v>
      </c>
      <c r="AD22" s="1214">
        <f>'R1 DRE'!AD17</f>
        <v>-500320.77892254677</v>
      </c>
      <c r="AE22" s="1214">
        <f>'R1 DRE'!AE17</f>
        <v>-500867.7180223316</v>
      </c>
      <c r="AF22" s="1214">
        <f>'R1 DRE'!AF17</f>
        <v>-501196.36969936022</v>
      </c>
      <c r="AG22" s="1215">
        <f t="shared" si="7"/>
        <v>-14615965.937531687</v>
      </c>
      <c r="AI22" s="1216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'R1 DRE'!G18</f>
        <v>-14599.065768930037</v>
      </c>
      <c r="H23" s="1214">
        <f>'R1 DRE'!H18</f>
        <v>-15057.798117373999</v>
      </c>
      <c r="I23" s="1214">
        <f>'R1 DRE'!I18</f>
        <v>-15064.87973247327</v>
      </c>
      <c r="J23" s="1214">
        <f>'R1 DRE'!J18</f>
        <v>-15072.495622356846</v>
      </c>
      <c r="K23" s="1214">
        <f>'R1 DRE'!K18</f>
        <v>-15192.826253067265</v>
      </c>
      <c r="L23" s="1214">
        <f>'R1 DRE'!L18</f>
        <v>-15347.122255394672</v>
      </c>
      <c r="M23" s="1214">
        <f>'R1 DRE'!M18</f>
        <v>-15631.795172996442</v>
      </c>
      <c r="N23" s="1214">
        <f>'R1 DRE'!N18</f>
        <v>-16078.51764681211</v>
      </c>
      <c r="O23" s="1214">
        <f>'R1 DRE'!O18</f>
        <v>-16101.57888608165</v>
      </c>
      <c r="P23" s="1214">
        <f>'R1 DRE'!P18</f>
        <v>-16124.640125351203</v>
      </c>
      <c r="Q23" s="1214">
        <f>'R1 DRE'!Q18</f>
        <v>-16147.701364620751</v>
      </c>
      <c r="R23" s="1214">
        <f>'R1 DRE'!R18</f>
        <v>-16166.143434356836</v>
      </c>
      <c r="S23" s="1214">
        <f>'R1 DRE'!S18</f>
        <v>-16184.911737817845</v>
      </c>
      <c r="T23" s="1214">
        <f>'R1 DRE'!T18</f>
        <v>-16203.680041278865</v>
      </c>
      <c r="U23" s="1214">
        <f>'R1 DRE'!U18</f>
        <v>-16222.448344739874</v>
      </c>
      <c r="V23" s="1214">
        <f>'R1 DRE'!V18</f>
        <v>-16241.216648200887</v>
      </c>
      <c r="W23" s="1214">
        <f>'R1 DRE'!W18</f>
        <v>-16264.319313534354</v>
      </c>
      <c r="X23" s="1214">
        <f>'R1 DRE'!X18</f>
        <v>-16280.34814305808</v>
      </c>
      <c r="Y23" s="1214">
        <f>'R1 DRE'!Y18</f>
        <v>-16296.376972581807</v>
      </c>
      <c r="Z23" s="1214">
        <f>'R1 DRE'!Z18</f>
        <v>-16312.405802105539</v>
      </c>
      <c r="AA23" s="1214">
        <f>'R1 DRE'!AA18</f>
        <v>-16328.434631629261</v>
      </c>
      <c r="AB23" s="1214">
        <f>'R1 DRE'!AB18</f>
        <v>-16351.537299443749</v>
      </c>
      <c r="AC23" s="1214">
        <f>'R1 DRE'!AC18</f>
        <v>-16368.34292048484</v>
      </c>
      <c r="AD23" s="1214">
        <f>'R1 DRE'!AD18</f>
        <v>-16385.557657312653</v>
      </c>
      <c r="AE23" s="1214">
        <f>'R1 DRE'!AE18</f>
        <v>-16403.549179438916</v>
      </c>
      <c r="AF23" s="1214">
        <f>'R1 DRE'!AF18</f>
        <v>-16413.322066103116</v>
      </c>
      <c r="AG23" s="1215">
        <f t="shared" si="7"/>
        <v>-477854.6330623313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14">
        <f>'R1 DRE'!K19</f>
        <v>-553251.9</v>
      </c>
      <c r="L24" s="1214">
        <f>'R1 DRE'!L19</f>
        <v>-553251.9</v>
      </c>
      <c r="M24" s="1214">
        <f>'R1 DRE'!M19</f>
        <v>-553251.9</v>
      </c>
      <c r="N24" s="1214">
        <f>'R1 DRE'!N19</f>
        <v>-553251.9</v>
      </c>
      <c r="O24" s="1214">
        <f>'R1 DRE'!O19</f>
        <v>-553251.9</v>
      </c>
      <c r="P24" s="1214">
        <f>'R1 DRE'!P19</f>
        <v>-553251.9</v>
      </c>
      <c r="Q24" s="1214">
        <f>'R1 DRE'!Q19</f>
        <v>-553251.9</v>
      </c>
      <c r="R24" s="1214">
        <f>'R1 DRE'!R19</f>
        <v>-553251.9</v>
      </c>
      <c r="S24" s="1214">
        <f>'R1 DRE'!S19</f>
        <v>-553251.9</v>
      </c>
      <c r="T24" s="1214">
        <f>'R1 DRE'!T19</f>
        <v>-553251.9</v>
      </c>
      <c r="U24" s="1214">
        <f>'R1 DRE'!U19</f>
        <v>-553251.9</v>
      </c>
      <c r="V24" s="1214">
        <f>'R1 DRE'!V19</f>
        <v>-553251.9</v>
      </c>
      <c r="W24" s="1214">
        <f>'R1 DRE'!W19</f>
        <v>-553251.9</v>
      </c>
      <c r="X24" s="1214">
        <f>'R1 DRE'!X19</f>
        <v>-553251.9</v>
      </c>
      <c r="Y24" s="1214">
        <f>'R1 DRE'!Y19</f>
        <v>-553251.9</v>
      </c>
      <c r="Z24" s="1214">
        <f>'R1 DRE'!Z19</f>
        <v>-553251.9</v>
      </c>
      <c r="AA24" s="1214">
        <f>'R1 DRE'!AA19</f>
        <v>-553251.9</v>
      </c>
      <c r="AB24" s="1214">
        <f>'R1 DRE'!AB19</f>
        <v>-553251.9</v>
      </c>
      <c r="AC24" s="1214">
        <f>'R1 DRE'!AC19</f>
        <v>-553251.9</v>
      </c>
      <c r="AD24" s="1214">
        <f>'R1 DRE'!AD19</f>
        <v>-553251.9</v>
      </c>
      <c r="AE24" s="1214">
        <f>'R1 DRE'!AE19</f>
        <v>-553251.9</v>
      </c>
      <c r="AF24" s="1214">
        <f>'R1 DRE'!AF19</f>
        <v>-553251.9</v>
      </c>
      <c r="AG24" s="1215">
        <f t="shared" si="7"/>
        <v>-16472445.540000008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14">
        <f>'R1 DRE'!K20</f>
        <v>-387030.74461918877</v>
      </c>
      <c r="L25" s="1214">
        <f>'R1 DRE'!L20</f>
        <v>-401658.00294591533</v>
      </c>
      <c r="M25" s="1214">
        <f>'R1 DRE'!M20</f>
        <v>-401728.7150956777</v>
      </c>
      <c r="N25" s="1214">
        <f>'R1 DRE'!N20</f>
        <v>-401794.78888514388</v>
      </c>
      <c r="O25" s="1214">
        <f>'R1 DRE'!O20</f>
        <v>-401859.59436818259</v>
      </c>
      <c r="P25" s="1214">
        <f>'R1 DRE'!P20</f>
        <v>-401924.39985122136</v>
      </c>
      <c r="Q25" s="1214">
        <f>'R1 DRE'!Q20</f>
        <v>-401989.20533426024</v>
      </c>
      <c r="R25" s="1214">
        <f>'R1 DRE'!R20</f>
        <v>-402043.81998414529</v>
      </c>
      <c r="S25" s="1214">
        <f>'R1 DRE'!S20</f>
        <v>-402096.74885431846</v>
      </c>
      <c r="T25" s="1214">
        <f>'R1 DRE'!T20</f>
        <v>-402149.52022612467</v>
      </c>
      <c r="U25" s="1214">
        <f>'R1 DRE'!U20</f>
        <v>-402302.29159793071</v>
      </c>
      <c r="V25" s="1214">
        <f>'R1 DRE'!V20</f>
        <v>-402355.06296973687</v>
      </c>
      <c r="W25" s="1214">
        <f>'R1 DRE'!W20</f>
        <v>-402417.270352769</v>
      </c>
      <c r="X25" s="1214">
        <f>'R1 DRE'!X20</f>
        <v>-402466.94887976174</v>
      </c>
      <c r="Y25" s="1214">
        <f>'R1 DRE'!Y20</f>
        <v>-402512.00758811249</v>
      </c>
      <c r="Z25" s="1214">
        <f>'R1 DRE'!Z20</f>
        <v>-402557.06629646337</v>
      </c>
      <c r="AA25" s="1214">
        <f>'R1 DRE'!AA20</f>
        <v>-402602.12500481395</v>
      </c>
      <c r="AB25" s="1214">
        <f>'R1 DRE'!AB20</f>
        <v>-402662.60670065647</v>
      </c>
      <c r="AC25" s="1214">
        <f>'R1 DRE'!AC20</f>
        <v>-402713.99023704906</v>
      </c>
      <c r="AD25" s="1214">
        <f>'R1 DRE'!AD20</f>
        <v>-402762.08232708368</v>
      </c>
      <c r="AE25" s="1214">
        <f>'R1 DRE'!AE20</f>
        <v>-402812.23614160577</v>
      </c>
      <c r="AF25" s="1214">
        <f>'R1 DRE'!AF20</f>
        <v>-402844.88533489278</v>
      </c>
      <c r="AG25" s="1215">
        <f t="shared" si="7"/>
        <v>-11346220.251833245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9">-D17*0.01</f>
        <v>-23487.364306745756</v>
      </c>
      <c r="E26" s="1212">
        <f t="shared" si="9"/>
        <v>-26078.466711710476</v>
      </c>
      <c r="F26" s="1212">
        <f t="shared" si="9"/>
        <v>-26731.766493209947</v>
      </c>
      <c r="G26" s="1212">
        <f>-G17*0.0075</f>
        <v>-20584.12188069594</v>
      </c>
      <c r="H26" s="1212">
        <f>-H17*0.005</f>
        <v>-14969.608584012554</v>
      </c>
      <c r="I26" s="1212">
        <f t="shared" ref="I26:AF26" si="10">-I17*0.005</f>
        <v>-14892.810920483571</v>
      </c>
      <c r="J26" s="1212">
        <f t="shared" si="10"/>
        <v>-18111.511932221227</v>
      </c>
      <c r="K26" s="1212">
        <f t="shared" si="10"/>
        <v>-18467.995931188256</v>
      </c>
      <c r="L26" s="1212">
        <f t="shared" si="10"/>
        <v>-18891.001351789459</v>
      </c>
      <c r="M26" s="1212">
        <f t="shared" si="10"/>
        <v>-19757.069522633825</v>
      </c>
      <c r="N26" s="1212">
        <f t="shared" si="10"/>
        <v>-21084.292075808593</v>
      </c>
      <c r="O26" s="1212">
        <f t="shared" si="10"/>
        <v>-21169.289223631382</v>
      </c>
      <c r="P26" s="1212">
        <f t="shared" si="10"/>
        <v>-21198.654291706294</v>
      </c>
      <c r="Q26" s="1212">
        <f t="shared" si="10"/>
        <v>-21229.085388743868</v>
      </c>
      <c r="R26" s="1212">
        <f t="shared" si="10"/>
        <v>-21257.120281400374</v>
      </c>
      <c r="S26" s="1212">
        <f t="shared" si="10"/>
        <v>-21282.619249303745</v>
      </c>
      <c r="T26" s="1212">
        <f t="shared" si="10"/>
        <v>-21307.978496835054</v>
      </c>
      <c r="U26" s="1212">
        <f t="shared" si="10"/>
        <v>-21333.337744366356</v>
      </c>
      <c r="V26" s="1212">
        <f t="shared" si="10"/>
        <v>-21356.300787516608</v>
      </c>
      <c r="W26" s="1212">
        <f t="shared" si="10"/>
        <v>-21383.916519056907</v>
      </c>
      <c r="X26" s="1212">
        <f t="shared" si="10"/>
        <v>-21411.811691341332</v>
      </c>
      <c r="Y26" s="1212">
        <f t="shared" si="10"/>
        <v>-21432.518250482604</v>
      </c>
      <c r="Z26" s="1212">
        <f t="shared" si="10"/>
        <v>-21452.805648507645</v>
      </c>
      <c r="AA26" s="1212">
        <f t="shared" si="10"/>
        <v>-21473.093046532693</v>
      </c>
      <c r="AB26" s="1212">
        <f t="shared" si="10"/>
        <v>-21498.172853319851</v>
      </c>
      <c r="AC26" s="1212">
        <f t="shared" si="10"/>
        <v>-21523.532100851149</v>
      </c>
      <c r="AD26" s="1212">
        <f t="shared" si="10"/>
        <v>-21546.495144001394</v>
      </c>
      <c r="AE26" s="1212">
        <f t="shared" si="10"/>
        <v>-21571.714671160636</v>
      </c>
      <c r="AF26" s="1212">
        <f t="shared" si="10"/>
        <v>-21589.885305548771</v>
      </c>
      <c r="AG26" s="1213">
        <f>SUM(C26:AF26)</f>
        <v>-626905.05259702762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1">D17+D18+D21+D26</f>
        <v>725356.85352382285</v>
      </c>
      <c r="E27" s="1212">
        <f t="shared" si="11"/>
        <v>761828.63043885329</v>
      </c>
      <c r="F27" s="1212">
        <f t="shared" si="11"/>
        <v>885889.84541072126</v>
      </c>
      <c r="G27" s="1212">
        <f t="shared" si="11"/>
        <v>987003.66554251267</v>
      </c>
      <c r="H27" s="1212">
        <f t="shared" si="11"/>
        <v>1220121.0164578506</v>
      </c>
      <c r="I27" s="1212">
        <f t="shared" si="11"/>
        <v>1229280.8692829162</v>
      </c>
      <c r="J27" s="1212">
        <f t="shared" si="11"/>
        <v>1818859.3253650826</v>
      </c>
      <c r="K27" s="1212">
        <f t="shared" si="11"/>
        <v>1861532.7897913547</v>
      </c>
      <c r="L27" s="1212">
        <f t="shared" si="11"/>
        <v>1937214.5992484484</v>
      </c>
      <c r="M27" s="1212">
        <f t="shared" si="11"/>
        <v>2108354.1286981129</v>
      </c>
      <c r="N27" s="1212">
        <f t="shared" si="11"/>
        <v>2371238.0187895126</v>
      </c>
      <c r="O27" s="1212">
        <f t="shared" si="11"/>
        <v>2387313.7255066126</v>
      </c>
      <c r="P27" s="1212">
        <f t="shared" si="11"/>
        <v>2392318.5846293727</v>
      </c>
      <c r="Q27" s="1212">
        <f t="shared" si="11"/>
        <v>2397535.5118256239</v>
      </c>
      <c r="R27" s="1212">
        <f t="shared" si="11"/>
        <v>2402396.5132128205</v>
      </c>
      <c r="S27" s="1212">
        <f t="shared" si="11"/>
        <v>2406808.8327722712</v>
      </c>
      <c r="T27" s="1212">
        <f t="shared" si="11"/>
        <v>2411171.2176241172</v>
      </c>
      <c r="U27" s="1212">
        <f t="shared" si="11"/>
        <v>2415435.1236688667</v>
      </c>
      <c r="V27" s="1212">
        <f t="shared" si="11"/>
        <v>2419324.1952118305</v>
      </c>
      <c r="W27" s="1212">
        <f t="shared" si="11"/>
        <v>2424012.7337706136</v>
      </c>
      <c r="X27" s="1212">
        <f t="shared" si="11"/>
        <v>2428928.4434333849</v>
      </c>
      <c r="Y27" s="1212">
        <f t="shared" si="11"/>
        <v>2432465.9916120018</v>
      </c>
      <c r="Z27" s="1212">
        <f t="shared" si="11"/>
        <v>2435918.1528042592</v>
      </c>
      <c r="AA27" s="1212">
        <f t="shared" si="11"/>
        <v>2439369.9214979247</v>
      </c>
      <c r="AB27" s="1212">
        <f t="shared" si="11"/>
        <v>2443513.8882810678</v>
      </c>
      <c r="AC27" s="1212">
        <f t="shared" si="11"/>
        <v>2447954.7535607205</v>
      </c>
      <c r="AD27" s="1212">
        <f t="shared" si="11"/>
        <v>2451897.0248706797</v>
      </c>
      <c r="AE27" s="1212">
        <f t="shared" si="11"/>
        <v>2456255.6352967238</v>
      </c>
      <c r="AF27" s="1212">
        <f t="shared" si="11"/>
        <v>2459460.1287906123</v>
      </c>
      <c r="AG27" s="1213">
        <f t="shared" ref="AG27:AG33" si="12">SUM(C27:AF27)</f>
        <v>59903212.580414809</v>
      </c>
    </row>
    <row r="28" spans="1:36" s="89" customFormat="1" ht="20.25" customHeight="1">
      <c r="B28" s="468" t="s">
        <v>221</v>
      </c>
      <c r="C28" s="1212"/>
      <c r="D28" s="1212">
        <f>-'R1 DEPR'!AH11</f>
        <v>-19422.835502517231</v>
      </c>
      <c r="E28" s="1212">
        <f>-'R1 DEPR'!AH12</f>
        <v>-31767.091368703179</v>
      </c>
      <c r="F28" s="1212">
        <f>-'R1 DEPR'!AH13</f>
        <v>-42964.776963557146</v>
      </c>
      <c r="G28" s="1212">
        <f>-'R1 DEPR'!AH14</f>
        <v>-96570.054420457061</v>
      </c>
      <c r="H28" s="1212">
        <f>-'R1 DEPR'!AH15</f>
        <v>-304965.65942868049</v>
      </c>
      <c r="I28" s="1212">
        <f>-'R1 DEPR'!AH16</f>
        <v>-335294.75656698272</v>
      </c>
      <c r="J28" s="1212">
        <f>-'R1 DEPR'!AH17</f>
        <v>-409777.60554813145</v>
      </c>
      <c r="K28" s="1212">
        <f>-'R1 DEPR'!AH18</f>
        <v>-463947.68852428254</v>
      </c>
      <c r="L28" s="1212">
        <f>-'R1 DEPR'!AH19</f>
        <v>-555574.63704043371</v>
      </c>
      <c r="M28" s="1212">
        <f>-'R1 DEPR'!AH20</f>
        <v>-605563.54056842171</v>
      </c>
      <c r="N28" s="1212">
        <f>-'R1 DEPR'!AH21</f>
        <v>-745221.7237064041</v>
      </c>
      <c r="O28" s="1212">
        <f>-'R1 DEPR'!AH22</f>
        <v>-875944.51290035935</v>
      </c>
      <c r="P28" s="1212">
        <f>-'R1 DEPR'!AH23</f>
        <v>-879967.26312107325</v>
      </c>
      <c r="Q28" s="1212">
        <f>-'R1 DEPR'!AH24</f>
        <v>-884241.43523058179</v>
      </c>
      <c r="R28" s="1212">
        <f>-'R1 DEPR'!AH25</f>
        <v>-888800.5521473909</v>
      </c>
      <c r="S28" s="1212">
        <f>-'R1 DEPR'!AH26</f>
        <v>-893307.60598682927</v>
      </c>
      <c r="T28" s="1212">
        <f>-'R1 DEPR'!AH27</f>
        <v>-898161.35627545521</v>
      </c>
      <c r="U28" s="1212">
        <f>-'R1 DEPR'!AH28</f>
        <v>-903419.58575479989</v>
      </c>
      <c r="V28" s="1212">
        <f>-'R1 DEPR'!AH29</f>
        <v>-909155.83609590319</v>
      </c>
      <c r="W28" s="1212">
        <f>-'R1 DEPR'!AH30</f>
        <v>-915465.71147111687</v>
      </c>
      <c r="X28" s="1212">
        <f>-'R1 DEPR'!AH31</f>
        <v>-923109.46188802097</v>
      </c>
      <c r="Y28" s="1212">
        <f>-'R1 DEPR'!AH32</f>
        <v>-930539.30610703805</v>
      </c>
      <c r="Z28" s="1212">
        <f>-'R1 DEPR'!AH33</f>
        <v>-939030.55664305761</v>
      </c>
      <c r="AA28" s="1212">
        <f>-'R1 DEPR'!AH34</f>
        <v>-948937.01560174709</v>
      </c>
      <c r="AB28" s="1212">
        <f>-'R1 DEPR'!AH35</f>
        <v>-960824.76635217445</v>
      </c>
      <c r="AC28" s="1212">
        <f>-'R1 DEPR'!AH36</f>
        <v>-978023.20479020861</v>
      </c>
      <c r="AD28" s="1212">
        <f>-'R1 DEPR'!AH37</f>
        <v>-998107.45604092081</v>
      </c>
      <c r="AE28" s="1212">
        <f>-'R1 DEPR'!AH38</f>
        <v>-1028640.8329169891</v>
      </c>
      <c r="AF28" s="1212">
        <f>-'R1 DEPR'!AH39</f>
        <v>-1150372.8346658584</v>
      </c>
      <c r="AG28" s="1213">
        <f t="shared" si="12"/>
        <v>-20517119.663628098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3">D27+D28</f>
        <v>705934.01802130567</v>
      </c>
      <c r="E29" s="1212">
        <f t="shared" si="13"/>
        <v>730061.53907015012</v>
      </c>
      <c r="F29" s="1212">
        <f t="shared" si="13"/>
        <v>842925.06844716414</v>
      </c>
      <c r="G29" s="1212">
        <f t="shared" si="13"/>
        <v>890433.61112205556</v>
      </c>
      <c r="H29" s="1212">
        <f t="shared" si="13"/>
        <v>915155.35702917003</v>
      </c>
      <c r="I29" s="1212">
        <f t="shared" si="13"/>
        <v>893986.11271593347</v>
      </c>
      <c r="J29" s="1212">
        <f t="shared" si="13"/>
        <v>1409081.7198169511</v>
      </c>
      <c r="K29" s="1212">
        <f t="shared" si="13"/>
        <v>1397585.1012670721</v>
      </c>
      <c r="L29" s="1212">
        <f t="shared" si="13"/>
        <v>1381639.9622080147</v>
      </c>
      <c r="M29" s="1212">
        <f t="shared" si="13"/>
        <v>1502790.5881296913</v>
      </c>
      <c r="N29" s="1212">
        <f t="shared" si="13"/>
        <v>1626016.2950831084</v>
      </c>
      <c r="O29" s="1212">
        <f t="shared" si="13"/>
        <v>1511369.2126062531</v>
      </c>
      <c r="P29" s="1212">
        <f t="shared" si="13"/>
        <v>1512351.3215082996</v>
      </c>
      <c r="Q29" s="1212">
        <f t="shared" si="13"/>
        <v>1513294.0765950421</v>
      </c>
      <c r="R29" s="1212">
        <f t="shared" si="13"/>
        <v>1513595.9610654297</v>
      </c>
      <c r="S29" s="1212">
        <f t="shared" si="13"/>
        <v>1513501.2267854419</v>
      </c>
      <c r="T29" s="1212">
        <f t="shared" si="13"/>
        <v>1513009.8613486621</v>
      </c>
      <c r="U29" s="1212">
        <f t="shared" si="13"/>
        <v>1512015.5379140668</v>
      </c>
      <c r="V29" s="1212">
        <f t="shared" si="13"/>
        <v>1510168.3591159275</v>
      </c>
      <c r="W29" s="1212">
        <f t="shared" si="13"/>
        <v>1508547.0222994967</v>
      </c>
      <c r="X29" s="1212">
        <f t="shared" si="13"/>
        <v>1505818.981545364</v>
      </c>
      <c r="Y29" s="1212">
        <f t="shared" si="13"/>
        <v>1501926.6855049636</v>
      </c>
      <c r="Z29" s="1212">
        <f t="shared" si="13"/>
        <v>1496887.5961612016</v>
      </c>
      <c r="AA29" s="1212">
        <f t="shared" si="13"/>
        <v>1490432.9058961775</v>
      </c>
      <c r="AB29" s="1212">
        <f t="shared" si="13"/>
        <v>1482689.1219288935</v>
      </c>
      <c r="AC29" s="1212">
        <f t="shared" si="13"/>
        <v>1469931.548770512</v>
      </c>
      <c r="AD29" s="1212">
        <f t="shared" si="13"/>
        <v>1453789.568829759</v>
      </c>
      <c r="AE29" s="1212">
        <f t="shared" si="13"/>
        <v>1427614.8023797348</v>
      </c>
      <c r="AF29" s="1212">
        <f t="shared" si="13"/>
        <v>1309087.2941247539</v>
      </c>
      <c r="AG29" s="1213">
        <f t="shared" si="12"/>
        <v>39386092.916786723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4">D31+D32</f>
        <v>-216017.56612724392</v>
      </c>
      <c r="E30" s="1212">
        <f t="shared" si="14"/>
        <v>-224220.92328385104</v>
      </c>
      <c r="F30" s="1212">
        <f t="shared" si="14"/>
        <v>-262594.52327203582</v>
      </c>
      <c r="G30" s="1212">
        <f t="shared" si="14"/>
        <v>-278747.42778149887</v>
      </c>
      <c r="H30" s="1212">
        <f t="shared" si="14"/>
        <v>-287152.82138991781</v>
      </c>
      <c r="I30" s="1212">
        <f t="shared" si="14"/>
        <v>-279955.27832341741</v>
      </c>
      <c r="J30" s="1212">
        <f t="shared" si="14"/>
        <v>-455087.78473776334</v>
      </c>
      <c r="K30" s="1212">
        <f t="shared" si="14"/>
        <v>-451178.93443080451</v>
      </c>
      <c r="L30" s="1212">
        <f t="shared" si="14"/>
        <v>-445757.58715072495</v>
      </c>
      <c r="M30" s="1212">
        <f t="shared" si="14"/>
        <v>-486948.799964095</v>
      </c>
      <c r="N30" s="1212">
        <f t="shared" si="14"/>
        <v>-528845.54032825679</v>
      </c>
      <c r="O30" s="1212">
        <f t="shared" si="14"/>
        <v>-489865.53228612605</v>
      </c>
      <c r="P30" s="1212">
        <f t="shared" si="14"/>
        <v>-490199.44931282185</v>
      </c>
      <c r="Q30" s="1212">
        <f t="shared" si="14"/>
        <v>-490519.98604231433</v>
      </c>
      <c r="R30" s="1212">
        <f t="shared" si="14"/>
        <v>-490622.62676224613</v>
      </c>
      <c r="S30" s="1212">
        <f t="shared" si="14"/>
        <v>-490590.41710705019</v>
      </c>
      <c r="T30" s="1212">
        <f t="shared" si="14"/>
        <v>-490423.35285854508</v>
      </c>
      <c r="U30" s="1212">
        <f t="shared" si="14"/>
        <v>-490085.28289078269</v>
      </c>
      <c r="V30" s="1212">
        <f t="shared" si="14"/>
        <v>-489457.24209941534</v>
      </c>
      <c r="W30" s="1212">
        <f t="shared" si="14"/>
        <v>-488905.98758182884</v>
      </c>
      <c r="X30" s="1212">
        <f t="shared" si="14"/>
        <v>-487978.45372542378</v>
      </c>
      <c r="Y30" s="1212">
        <f t="shared" si="14"/>
        <v>-486655.0730716876</v>
      </c>
      <c r="Z30" s="1212">
        <f t="shared" si="14"/>
        <v>-484941.78269480856</v>
      </c>
      <c r="AA30" s="1212">
        <f t="shared" si="14"/>
        <v>-482747.18800470035</v>
      </c>
      <c r="AB30" s="1212">
        <f t="shared" si="14"/>
        <v>-480114.30145582382</v>
      </c>
      <c r="AC30" s="1212">
        <f t="shared" si="14"/>
        <v>-475776.72658197407</v>
      </c>
      <c r="AD30" s="1212">
        <f t="shared" si="14"/>
        <v>-470288.45340211806</v>
      </c>
      <c r="AE30" s="1212">
        <f t="shared" si="14"/>
        <v>-461389.03280910983</v>
      </c>
      <c r="AF30" s="1212">
        <f t="shared" si="14"/>
        <v>-421089.68000241631</v>
      </c>
      <c r="AG30" s="1213">
        <f t="shared" si="12"/>
        <v>-12578157.755478805</v>
      </c>
    </row>
    <row r="31" spans="1:36" s="89" customFormat="1" ht="20.25" customHeight="1">
      <c r="B31" s="477" t="s">
        <v>224</v>
      </c>
      <c r="C31" s="1214"/>
      <c r="D31" s="1214">
        <f t="shared" ref="D31:AF31" si="15">-((D29*0.15)+((D29-240000)*0.1))</f>
        <v>-152483.50450532642</v>
      </c>
      <c r="E31" s="1214">
        <f t="shared" si="15"/>
        <v>-158515.38476753753</v>
      </c>
      <c r="F31" s="1214">
        <f t="shared" si="15"/>
        <v>-186731.26711179104</v>
      </c>
      <c r="G31" s="1214">
        <f t="shared" si="15"/>
        <v>-198608.40278051386</v>
      </c>
      <c r="H31" s="1214">
        <f t="shared" si="15"/>
        <v>-204788.83925729251</v>
      </c>
      <c r="I31" s="1214">
        <f t="shared" si="15"/>
        <v>-199496.52817898337</v>
      </c>
      <c r="J31" s="1214">
        <f t="shared" si="15"/>
        <v>-328270.42995423777</v>
      </c>
      <c r="K31" s="1214">
        <f t="shared" si="15"/>
        <v>-325396.27531676803</v>
      </c>
      <c r="L31" s="1214">
        <f t="shared" si="15"/>
        <v>-321409.99055200367</v>
      </c>
      <c r="M31" s="1214">
        <f t="shared" si="15"/>
        <v>-351697.64703242283</v>
      </c>
      <c r="N31" s="1214">
        <f t="shared" si="15"/>
        <v>-382504.07377077709</v>
      </c>
      <c r="O31" s="1214">
        <f t="shared" si="15"/>
        <v>-353842.30315156328</v>
      </c>
      <c r="P31" s="1214">
        <f t="shared" si="15"/>
        <v>-354087.83037707489</v>
      </c>
      <c r="Q31" s="1214">
        <f t="shared" si="15"/>
        <v>-354323.51914876053</v>
      </c>
      <c r="R31" s="1214">
        <f t="shared" si="15"/>
        <v>-354398.99026635743</v>
      </c>
      <c r="S31" s="1214">
        <f t="shared" si="15"/>
        <v>-354375.30669636047</v>
      </c>
      <c r="T31" s="1214">
        <f t="shared" si="15"/>
        <v>-354252.46533716551</v>
      </c>
      <c r="U31" s="1214">
        <f t="shared" si="15"/>
        <v>-354003.8844785167</v>
      </c>
      <c r="V31" s="1214">
        <f t="shared" si="15"/>
        <v>-353542.08977898187</v>
      </c>
      <c r="W31" s="1214">
        <f t="shared" si="15"/>
        <v>-353136.75557487417</v>
      </c>
      <c r="X31" s="1214">
        <f t="shared" si="15"/>
        <v>-352454.745386341</v>
      </c>
      <c r="Y31" s="1214">
        <f t="shared" si="15"/>
        <v>-351481.67137624091</v>
      </c>
      <c r="Z31" s="1214">
        <f t="shared" si="15"/>
        <v>-350221.8990403004</v>
      </c>
      <c r="AA31" s="1214">
        <f t="shared" si="15"/>
        <v>-348608.22647404438</v>
      </c>
      <c r="AB31" s="1214">
        <f t="shared" si="15"/>
        <v>-346672.28048222337</v>
      </c>
      <c r="AC31" s="1214">
        <f t="shared" si="15"/>
        <v>-343482.887192628</v>
      </c>
      <c r="AD31" s="1214">
        <f t="shared" si="15"/>
        <v>-339447.39220743976</v>
      </c>
      <c r="AE31" s="1214">
        <f t="shared" si="15"/>
        <v>-332903.7005949337</v>
      </c>
      <c r="AF31" s="1214">
        <f t="shared" si="15"/>
        <v>-303271.82353118848</v>
      </c>
      <c r="AG31" s="1213">
        <f t="shared" si="12"/>
        <v>-9064410.1143226493</v>
      </c>
    </row>
    <row r="32" spans="1:36" s="89" customFormat="1" ht="20.25" customHeight="1">
      <c r="B32" s="477" t="s">
        <v>225</v>
      </c>
      <c r="C32" s="1214"/>
      <c r="D32" s="1214">
        <f t="shared" ref="D32:AF32" si="16">-(D29*0.09)</f>
        <v>-63534.061621917506</v>
      </c>
      <c r="E32" s="1214">
        <f t="shared" si="16"/>
        <v>-65705.538516313507</v>
      </c>
      <c r="F32" s="1214">
        <f t="shared" si="16"/>
        <v>-75863.256160244768</v>
      </c>
      <c r="G32" s="1214">
        <f t="shared" si="16"/>
        <v>-80139.025000984999</v>
      </c>
      <c r="H32" s="1214">
        <f t="shared" si="16"/>
        <v>-82363.9821326253</v>
      </c>
      <c r="I32" s="1214">
        <f t="shared" si="16"/>
        <v>-80458.750144434016</v>
      </c>
      <c r="J32" s="1214">
        <f t="shared" si="16"/>
        <v>-126817.35478352559</v>
      </c>
      <c r="K32" s="1214">
        <f t="shared" si="16"/>
        <v>-125782.65911403649</v>
      </c>
      <c r="L32" s="1214">
        <f t="shared" si="16"/>
        <v>-124347.59659872131</v>
      </c>
      <c r="M32" s="1214">
        <f t="shared" si="16"/>
        <v>-135251.1529316722</v>
      </c>
      <c r="N32" s="1214">
        <f t="shared" si="16"/>
        <v>-146341.46655747975</v>
      </c>
      <c r="O32" s="1214">
        <f t="shared" si="16"/>
        <v>-136023.22913456277</v>
      </c>
      <c r="P32" s="1214">
        <f t="shared" si="16"/>
        <v>-136111.61893574696</v>
      </c>
      <c r="Q32" s="1214">
        <f t="shared" si="16"/>
        <v>-136196.46689355379</v>
      </c>
      <c r="R32" s="1214">
        <f t="shared" si="16"/>
        <v>-136223.63649588867</v>
      </c>
      <c r="S32" s="1214">
        <f t="shared" si="16"/>
        <v>-136215.11041068975</v>
      </c>
      <c r="T32" s="1214">
        <f t="shared" si="16"/>
        <v>-136170.88752137957</v>
      </c>
      <c r="U32" s="1214">
        <f t="shared" si="16"/>
        <v>-136081.39841226602</v>
      </c>
      <c r="V32" s="1214">
        <f t="shared" si="16"/>
        <v>-135915.15232043347</v>
      </c>
      <c r="W32" s="1214">
        <f t="shared" si="16"/>
        <v>-135769.2320069547</v>
      </c>
      <c r="X32" s="1214">
        <f t="shared" si="16"/>
        <v>-135523.70833908275</v>
      </c>
      <c r="Y32" s="1214">
        <f t="shared" si="16"/>
        <v>-135173.40169544672</v>
      </c>
      <c r="Z32" s="1214">
        <f t="shared" si="16"/>
        <v>-134719.88365450813</v>
      </c>
      <c r="AA32" s="1214">
        <f t="shared" si="16"/>
        <v>-134138.96153065597</v>
      </c>
      <c r="AB32" s="1214">
        <f t="shared" si="16"/>
        <v>-133442.02097360042</v>
      </c>
      <c r="AC32" s="1214">
        <f t="shared" si="16"/>
        <v>-132293.83938934607</v>
      </c>
      <c r="AD32" s="1214">
        <f t="shared" si="16"/>
        <v>-130841.0611946783</v>
      </c>
      <c r="AE32" s="1214">
        <f t="shared" si="16"/>
        <v>-128485.33221417613</v>
      </c>
      <c r="AF32" s="1214">
        <f t="shared" si="16"/>
        <v>-117817.85647122785</v>
      </c>
      <c r="AG32" s="1213">
        <f t="shared" si="12"/>
        <v>-3513747.6411561538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7">D29+D30</f>
        <v>489916.45189406176</v>
      </c>
      <c r="E33" s="1219">
        <f t="shared" si="17"/>
        <v>505840.61578629911</v>
      </c>
      <c r="F33" s="1219">
        <f t="shared" si="17"/>
        <v>580330.54517512838</v>
      </c>
      <c r="G33" s="1219">
        <f t="shared" si="17"/>
        <v>611686.18334055669</v>
      </c>
      <c r="H33" s="1219">
        <f t="shared" si="17"/>
        <v>628002.53563925228</v>
      </c>
      <c r="I33" s="1219">
        <f t="shared" si="17"/>
        <v>614030.83439251606</v>
      </c>
      <c r="J33" s="1219">
        <f t="shared" si="17"/>
        <v>953993.93507918774</v>
      </c>
      <c r="K33" s="1219">
        <f t="shared" si="17"/>
        <v>946406.16683626757</v>
      </c>
      <c r="L33" s="1219">
        <f t="shared" si="17"/>
        <v>935882.37505728973</v>
      </c>
      <c r="M33" s="1219">
        <f t="shared" si="17"/>
        <v>1015841.7881655963</v>
      </c>
      <c r="N33" s="1219">
        <f t="shared" si="17"/>
        <v>1097170.7547548516</v>
      </c>
      <c r="O33" s="1219">
        <f t="shared" si="17"/>
        <v>1021503.6803201271</v>
      </c>
      <c r="P33" s="1219">
        <f t="shared" si="17"/>
        <v>1022151.8721954777</v>
      </c>
      <c r="Q33" s="1219">
        <f t="shared" si="17"/>
        <v>1022774.0905527278</v>
      </c>
      <c r="R33" s="1219">
        <f t="shared" si="17"/>
        <v>1022973.3343031836</v>
      </c>
      <c r="S33" s="1219">
        <f t="shared" si="17"/>
        <v>1022910.8096783917</v>
      </c>
      <c r="T33" s="1219">
        <f t="shared" si="17"/>
        <v>1022586.508490117</v>
      </c>
      <c r="U33" s="1219">
        <f t="shared" si="17"/>
        <v>1021930.2550232841</v>
      </c>
      <c r="V33" s="1219">
        <f t="shared" si="17"/>
        <v>1020711.1170165122</v>
      </c>
      <c r="W33" s="1219">
        <f t="shared" si="17"/>
        <v>1019641.0347176678</v>
      </c>
      <c r="X33" s="1219">
        <f t="shared" si="17"/>
        <v>1017840.5278199402</v>
      </c>
      <c r="Y33" s="1219">
        <f t="shared" si="17"/>
        <v>1015271.612433276</v>
      </c>
      <c r="Z33" s="1219">
        <f t="shared" si="17"/>
        <v>1011945.813466393</v>
      </c>
      <c r="AA33" s="1219">
        <f t="shared" si="17"/>
        <v>1007685.7178914772</v>
      </c>
      <c r="AB33" s="1219">
        <f t="shared" si="17"/>
        <v>1002574.8204730697</v>
      </c>
      <c r="AC33" s="1219">
        <f t="shared" si="17"/>
        <v>994154.82218853792</v>
      </c>
      <c r="AD33" s="1219">
        <f t="shared" si="17"/>
        <v>983501.11542764097</v>
      </c>
      <c r="AE33" s="1219">
        <f t="shared" si="17"/>
        <v>966225.76957062492</v>
      </c>
      <c r="AF33" s="1219">
        <f t="shared" si="17"/>
        <v>887997.61412233766</v>
      </c>
      <c r="AG33" s="1220">
        <f t="shared" si="12"/>
        <v>26807935.161307916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137273.30355437551</v>
      </c>
      <c r="I35" s="135">
        <f t="shared" si="18"/>
        <v>134097.91690739003</v>
      </c>
      <c r="J35" s="135">
        <f t="shared" si="18"/>
        <v>211362.25797254266</v>
      </c>
      <c r="K35" s="135">
        <f t="shared" si="18"/>
        <v>209637.7651900608</v>
      </c>
      <c r="L35" s="135">
        <f t="shared" si="18"/>
        <v>207245.99433120221</v>
      </c>
      <c r="M35" s="135">
        <f t="shared" si="18"/>
        <v>225418.5882194537</v>
      </c>
      <c r="N35" s="135">
        <f t="shared" si="18"/>
        <v>243902.44426246625</v>
      </c>
      <c r="O35" s="135">
        <f t="shared" si="18"/>
        <v>226705.38189093795</v>
      </c>
      <c r="P35" s="135">
        <f t="shared" si="18"/>
        <v>226852.69822624492</v>
      </c>
      <c r="Q35" s="135">
        <f t="shared" si="18"/>
        <v>226994.11148925632</v>
      </c>
      <c r="R35" s="135">
        <f t="shared" si="18"/>
        <v>227039.39415981446</v>
      </c>
      <c r="S35" s="135">
        <f t="shared" si="18"/>
        <v>227025.18401781627</v>
      </c>
      <c r="T35" s="135">
        <f t="shared" si="18"/>
        <v>226951.47920229929</v>
      </c>
      <c r="U35" s="135">
        <f t="shared" si="18"/>
        <v>226802.33068711002</v>
      </c>
      <c r="V35" s="135">
        <f t="shared" si="18"/>
        <v>226525.25386738911</v>
      </c>
      <c r="W35" s="135">
        <f t="shared" si="18"/>
        <v>226282.0533449245</v>
      </c>
      <c r="X35" s="135">
        <f t="shared" si="18"/>
        <v>225872.8472318046</v>
      </c>
      <c r="Y35" s="135">
        <f t="shared" si="18"/>
        <v>225289.00282574454</v>
      </c>
      <c r="Z35" s="135">
        <f t="shared" si="18"/>
        <v>224533.13942418023</v>
      </c>
      <c r="AA35" s="135">
        <f t="shared" si="18"/>
        <v>223564.93588442661</v>
      </c>
      <c r="AB35" s="135">
        <f t="shared" si="18"/>
        <v>222403.36828933403</v>
      </c>
      <c r="AC35" s="135">
        <f t="shared" si="18"/>
        <v>220489.73231557678</v>
      </c>
      <c r="AD35" s="135">
        <f t="shared" si="18"/>
        <v>218068.43532446385</v>
      </c>
      <c r="AE35" s="135">
        <f t="shared" si="18"/>
        <v>214142.22035696023</v>
      </c>
      <c r="AF35" s="135">
        <f t="shared" si="18"/>
        <v>196363.09411871308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67515.535702917012</v>
      </c>
      <c r="I36" s="135">
        <f t="shared" si="19"/>
        <v>65398.611271593349</v>
      </c>
      <c r="J36" s="135">
        <f t="shared" si="19"/>
        <v>116908.17198169511</v>
      </c>
      <c r="K36" s="135">
        <f t="shared" si="19"/>
        <v>115758.51012670722</v>
      </c>
      <c r="L36" s="135">
        <f t="shared" si="19"/>
        <v>114163.99622080148</v>
      </c>
      <c r="M36" s="135">
        <f t="shared" si="19"/>
        <v>126279.05881296913</v>
      </c>
      <c r="N36" s="135">
        <f t="shared" si="19"/>
        <v>138601.62950831084</v>
      </c>
      <c r="O36" s="135">
        <f t="shared" si="19"/>
        <v>127136.92126062531</v>
      </c>
      <c r="P36" s="135">
        <f t="shared" si="19"/>
        <v>127235.13215082996</v>
      </c>
      <c r="Q36" s="135">
        <f t="shared" si="19"/>
        <v>127329.40765950421</v>
      </c>
      <c r="R36" s="135">
        <f t="shared" si="19"/>
        <v>127359.59610654297</v>
      </c>
      <c r="S36" s="135">
        <f t="shared" si="19"/>
        <v>127350.1226785442</v>
      </c>
      <c r="T36" s="135">
        <f t="shared" si="19"/>
        <v>127300.98613486621</v>
      </c>
      <c r="U36" s="135">
        <f t="shared" si="19"/>
        <v>127201.55379140668</v>
      </c>
      <c r="V36" s="135">
        <f t="shared" si="19"/>
        <v>127016.83591159276</v>
      </c>
      <c r="W36" s="135">
        <f t="shared" si="19"/>
        <v>126854.70222994967</v>
      </c>
      <c r="X36" s="135">
        <f t="shared" si="19"/>
        <v>126581.89815453641</v>
      </c>
      <c r="Y36" s="135">
        <f t="shared" si="19"/>
        <v>126192.66855049637</v>
      </c>
      <c r="Z36" s="135">
        <f t="shared" si="19"/>
        <v>125688.75961612017</v>
      </c>
      <c r="AA36" s="135">
        <f t="shared" si="19"/>
        <v>125043.29058961775</v>
      </c>
      <c r="AB36" s="135">
        <f t="shared" si="19"/>
        <v>124268.91219288936</v>
      </c>
      <c r="AC36" s="135">
        <f t="shared" si="19"/>
        <v>122993.1548770512</v>
      </c>
      <c r="AD36" s="135">
        <f t="shared" si="19"/>
        <v>121378.95688297591</v>
      </c>
      <c r="AE36" s="135">
        <f t="shared" si="19"/>
        <v>118761.48023797349</v>
      </c>
      <c r="AF36" s="135">
        <f t="shared" si="19"/>
        <v>106908.7294124754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204788.83925729251</v>
      </c>
      <c r="I37" s="135">
        <f t="shared" si="20"/>
        <v>199496.52817898337</v>
      </c>
      <c r="J37" s="135">
        <f t="shared" si="20"/>
        <v>328270.42995423777</v>
      </c>
      <c r="K37" s="135">
        <f t="shared" si="20"/>
        <v>325396.27531676803</v>
      </c>
      <c r="L37" s="135">
        <f t="shared" si="20"/>
        <v>321409.99055200367</v>
      </c>
      <c r="M37" s="135">
        <f t="shared" si="20"/>
        <v>351697.64703242283</v>
      </c>
      <c r="N37" s="135">
        <f t="shared" si="20"/>
        <v>382504.07377077709</v>
      </c>
      <c r="O37" s="135">
        <f t="shared" si="20"/>
        <v>353842.30315156328</v>
      </c>
      <c r="P37" s="135">
        <f t="shared" si="20"/>
        <v>354087.83037707489</v>
      </c>
      <c r="Q37" s="135">
        <f t="shared" si="20"/>
        <v>354323.51914876053</v>
      </c>
      <c r="R37" s="135">
        <f t="shared" si="20"/>
        <v>354398.99026635743</v>
      </c>
      <c r="S37" s="135">
        <f t="shared" si="20"/>
        <v>354375.30669636047</v>
      </c>
      <c r="T37" s="135">
        <f t="shared" si="20"/>
        <v>354252.46533716551</v>
      </c>
      <c r="U37" s="135">
        <f t="shared" si="20"/>
        <v>354003.8844785167</v>
      </c>
      <c r="V37" s="135">
        <f t="shared" si="20"/>
        <v>353542.08977898187</v>
      </c>
      <c r="W37" s="135">
        <f t="shared" si="20"/>
        <v>353136.75557487417</v>
      </c>
      <c r="X37" s="135">
        <f t="shared" si="20"/>
        <v>352454.745386341</v>
      </c>
      <c r="Y37" s="135">
        <f t="shared" si="20"/>
        <v>351481.67137624091</v>
      </c>
      <c r="Z37" s="135">
        <f t="shared" si="20"/>
        <v>350221.8990403004</v>
      </c>
      <c r="AA37" s="135">
        <f t="shared" si="20"/>
        <v>348608.22647404438</v>
      </c>
      <c r="AB37" s="135">
        <f t="shared" si="20"/>
        <v>346672.28048222337</v>
      </c>
      <c r="AC37" s="135">
        <f t="shared" si="20"/>
        <v>343482.887192628</v>
      </c>
      <c r="AD37" s="135">
        <f t="shared" si="20"/>
        <v>339447.39220743976</v>
      </c>
      <c r="AE37" s="135">
        <f t="shared" si="20"/>
        <v>332903.7005949337</v>
      </c>
      <c r="AF37" s="135">
        <f t="shared" si="20"/>
        <v>303271.82353118848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2">D27</f>
        <v>725356.85352382285</v>
      </c>
      <c r="E45" s="1227">
        <f t="shared" si="22"/>
        <v>761828.63043885329</v>
      </c>
      <c r="F45" s="1227">
        <f t="shared" si="22"/>
        <v>885889.84541072126</v>
      </c>
      <c r="G45" s="1227">
        <f t="shared" si="22"/>
        <v>987003.66554251267</v>
      </c>
      <c r="H45" s="1227">
        <f t="shared" si="22"/>
        <v>1220121.0164578506</v>
      </c>
      <c r="I45" s="1227">
        <f t="shared" si="22"/>
        <v>1229280.8692829162</v>
      </c>
      <c r="J45" s="1227">
        <f t="shared" si="22"/>
        <v>1818859.3253650826</v>
      </c>
      <c r="K45" s="1227">
        <f t="shared" si="22"/>
        <v>1861532.7897913547</v>
      </c>
      <c r="L45" s="1227">
        <f t="shared" si="22"/>
        <v>1937214.5992484484</v>
      </c>
      <c r="M45" s="1227">
        <f t="shared" si="22"/>
        <v>2108354.1286981129</v>
      </c>
      <c r="N45" s="1227">
        <f t="shared" si="22"/>
        <v>2371238.0187895126</v>
      </c>
      <c r="O45" s="1227">
        <f t="shared" si="22"/>
        <v>2387313.7255066126</v>
      </c>
      <c r="P45" s="1227">
        <f t="shared" si="22"/>
        <v>2392318.5846293727</v>
      </c>
      <c r="Q45" s="1227">
        <f t="shared" si="22"/>
        <v>2397535.5118256239</v>
      </c>
      <c r="R45" s="1227">
        <f t="shared" si="22"/>
        <v>2402396.5132128205</v>
      </c>
      <c r="S45" s="1227">
        <f t="shared" si="22"/>
        <v>2406808.8327722712</v>
      </c>
      <c r="T45" s="1227">
        <f t="shared" si="22"/>
        <v>2411171.2176241172</v>
      </c>
      <c r="U45" s="1227">
        <f t="shared" si="22"/>
        <v>2415435.1236688667</v>
      </c>
      <c r="V45" s="1227">
        <f t="shared" si="22"/>
        <v>2419324.1952118305</v>
      </c>
      <c r="W45" s="1227">
        <f t="shared" si="22"/>
        <v>2424012.7337706136</v>
      </c>
      <c r="X45" s="1227">
        <f t="shared" si="22"/>
        <v>2428928.4434333849</v>
      </c>
      <c r="Y45" s="1227">
        <f t="shared" si="22"/>
        <v>2432465.9916120018</v>
      </c>
      <c r="Z45" s="1227">
        <f t="shared" si="22"/>
        <v>2435918.1528042592</v>
      </c>
      <c r="AA45" s="1227">
        <f t="shared" si="22"/>
        <v>2439369.9214979247</v>
      </c>
      <c r="AB45" s="1227">
        <f t="shared" si="22"/>
        <v>2443513.8882810678</v>
      </c>
      <c r="AC45" s="1227">
        <f t="shared" si="22"/>
        <v>2447954.7535607205</v>
      </c>
      <c r="AD45" s="1227">
        <f t="shared" si="22"/>
        <v>2451897.0248706797</v>
      </c>
      <c r="AE45" s="1227">
        <f t="shared" si="22"/>
        <v>2456255.6352967238</v>
      </c>
      <c r="AF45" s="1227">
        <f t="shared" si="22"/>
        <v>2459460.1287906123</v>
      </c>
      <c r="AG45" s="1229">
        <f>SUM(C45:AF45)</f>
        <v>59903212.580414809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5" si="23">SUM(C46:AF46)</f>
        <v>0</v>
      </c>
    </row>
    <row r="47" spans="2:34" s="205" customFormat="1" ht="21" customHeight="1">
      <c r="B47" s="468" t="s">
        <v>229</v>
      </c>
      <c r="C47" s="1212">
        <f t="shared" ref="C47:AF47" si="24">C48+C52</f>
        <v>-563262.22957299976</v>
      </c>
      <c r="D47" s="1212">
        <f t="shared" si="24"/>
        <v>-561656.73038045038</v>
      </c>
      <c r="E47" s="1212">
        <f t="shared" si="24"/>
        <v>-526558.43434490811</v>
      </c>
      <c r="F47" s="1212">
        <f t="shared" si="24"/>
        <v>-1656331.7371514337</v>
      </c>
      <c r="G47" s="1212">
        <f t="shared" si="24"/>
        <v>-5488637.5529870847</v>
      </c>
      <c r="H47" s="1212">
        <f t="shared" si="24"/>
        <v>-1015051.1527091707</v>
      </c>
      <c r="I47" s="1212">
        <f t="shared" si="24"/>
        <v>-1993060.8048898387</v>
      </c>
      <c r="J47" s="1212">
        <f t="shared" si="24"/>
        <v>-1646829.6102130874</v>
      </c>
      <c r="K47" s="1212">
        <f t="shared" si="24"/>
        <v>-2375344.8532699798</v>
      </c>
      <c r="L47" s="1212">
        <f t="shared" si="24"/>
        <v>-1445535.6577104856</v>
      </c>
      <c r="M47" s="1212">
        <f t="shared" si="24"/>
        <v>-3140454.2795857606</v>
      </c>
      <c r="N47" s="1212">
        <f t="shared" si="24"/>
        <v>-2881855.7458194513</v>
      </c>
      <c r="O47" s="1212">
        <f t="shared" si="24"/>
        <v>-558252.28603826265</v>
      </c>
      <c r="P47" s="1212">
        <f t="shared" si="24"/>
        <v>-558586.20306495845</v>
      </c>
      <c r="Q47" s="1212">
        <f t="shared" si="24"/>
        <v>-558906.73979445093</v>
      </c>
      <c r="R47" s="1212">
        <f t="shared" si="24"/>
        <v>-553721.38051438273</v>
      </c>
      <c r="S47" s="1212">
        <f t="shared" si="24"/>
        <v>-553689.17085918679</v>
      </c>
      <c r="T47" s="1212">
        <f t="shared" si="24"/>
        <v>-553522.10661068163</v>
      </c>
      <c r="U47" s="1212">
        <f t="shared" si="24"/>
        <v>-553184.03664291929</v>
      </c>
      <c r="V47" s="1212">
        <f t="shared" si="24"/>
        <v>-552555.99585155188</v>
      </c>
      <c r="W47" s="1212">
        <f t="shared" si="24"/>
        <v>-557699.74133396544</v>
      </c>
      <c r="X47" s="1212">
        <f t="shared" si="24"/>
        <v>-547417.20747756038</v>
      </c>
      <c r="Y47" s="1212">
        <f t="shared" si="24"/>
        <v>-546093.8268238242</v>
      </c>
      <c r="Z47" s="1212">
        <f t="shared" si="24"/>
        <v>-544380.53644694516</v>
      </c>
      <c r="AA47" s="1212">
        <f t="shared" si="24"/>
        <v>-542185.94175683695</v>
      </c>
      <c r="AB47" s="1212">
        <f t="shared" si="24"/>
        <v>-548908.05520796042</v>
      </c>
      <c r="AC47" s="1212">
        <f t="shared" si="24"/>
        <v>-536029.48033411067</v>
      </c>
      <c r="AD47" s="1212">
        <f t="shared" si="24"/>
        <v>-531355.20715425466</v>
      </c>
      <c r="AE47" s="1212">
        <f t="shared" si="24"/>
        <v>-523673.78656124638</v>
      </c>
      <c r="AF47" s="1228">
        <f t="shared" si="24"/>
        <v>-480536.92799914925</v>
      </c>
      <c r="AG47" s="1231">
        <f t="shared" si="23"/>
        <v>-33095277.419106901</v>
      </c>
    </row>
    <row r="48" spans="2:34" s="206" customFormat="1" ht="21" customHeight="1">
      <c r="B48" s="468" t="s">
        <v>230</v>
      </c>
      <c r="C48" s="1212">
        <f t="shared" ref="C48:AF48" si="25">SUM(C49:C51)</f>
        <v>-563262.22957299976</v>
      </c>
      <c r="D48" s="1212">
        <f t="shared" si="25"/>
        <v>-345639.16425320646</v>
      </c>
      <c r="E48" s="1212">
        <f t="shared" si="25"/>
        <v>-302337.51106105704</v>
      </c>
      <c r="F48" s="1212">
        <f t="shared" si="25"/>
        <v>-1393737.2138793978</v>
      </c>
      <c r="G48" s="1212">
        <f t="shared" si="25"/>
        <v>-5209890.1252055857</v>
      </c>
      <c r="H48" s="1212">
        <f t="shared" si="25"/>
        <v>-727898.33131925284</v>
      </c>
      <c r="I48" s="1212">
        <f t="shared" si="25"/>
        <v>-1713105.5265664214</v>
      </c>
      <c r="J48" s="1212">
        <f t="shared" si="25"/>
        <v>-1191741.8254753242</v>
      </c>
      <c r="K48" s="1212">
        <f t="shared" si="25"/>
        <v>-1924165.9188391753</v>
      </c>
      <c r="L48" s="1212">
        <f t="shared" si="25"/>
        <v>-999778.07055976056</v>
      </c>
      <c r="M48" s="1212">
        <f t="shared" si="25"/>
        <v>-2653505.4796216656</v>
      </c>
      <c r="N48" s="1212">
        <f t="shared" si="25"/>
        <v>-2353010.2054911945</v>
      </c>
      <c r="O48" s="1212">
        <f t="shared" si="25"/>
        <v>-68386.753752136574</v>
      </c>
      <c r="P48" s="1212">
        <f t="shared" si="25"/>
        <v>-68386.753752136574</v>
      </c>
      <c r="Q48" s="1212">
        <f t="shared" si="25"/>
        <v>-68386.753752136574</v>
      </c>
      <c r="R48" s="1212">
        <f t="shared" si="25"/>
        <v>-63098.753752136574</v>
      </c>
      <c r="S48" s="1212">
        <f t="shared" si="25"/>
        <v>-63098.753752136574</v>
      </c>
      <c r="T48" s="1212">
        <f t="shared" si="25"/>
        <v>-63098.753752136574</v>
      </c>
      <c r="U48" s="1212">
        <f t="shared" si="25"/>
        <v>-63098.753752136574</v>
      </c>
      <c r="V48" s="1212">
        <f t="shared" si="25"/>
        <v>-63098.753752136574</v>
      </c>
      <c r="W48" s="1212">
        <f t="shared" si="25"/>
        <v>-68793.753752136574</v>
      </c>
      <c r="X48" s="1212">
        <f t="shared" si="25"/>
        <v>-59438.753752136574</v>
      </c>
      <c r="Y48" s="1212">
        <f t="shared" si="25"/>
        <v>-59438.753752136574</v>
      </c>
      <c r="Z48" s="1212">
        <f t="shared" si="25"/>
        <v>-59438.753752136574</v>
      </c>
      <c r="AA48" s="1212">
        <f t="shared" si="25"/>
        <v>-59438.753752136574</v>
      </c>
      <c r="AB48" s="1212">
        <f t="shared" si="25"/>
        <v>-68793.753752136574</v>
      </c>
      <c r="AC48" s="1212">
        <f t="shared" si="25"/>
        <v>-60252.753752136574</v>
      </c>
      <c r="AD48" s="1212">
        <f t="shared" si="25"/>
        <v>-61066.753752136574</v>
      </c>
      <c r="AE48" s="1212">
        <f t="shared" si="25"/>
        <v>-62284.753752136574</v>
      </c>
      <c r="AF48" s="1212">
        <f t="shared" si="25"/>
        <v>-59447.247996732927</v>
      </c>
      <c r="AG48" s="1231">
        <f t="shared" si="23"/>
        <v>-20517119.663628064</v>
      </c>
      <c r="AH48" s="207"/>
    </row>
    <row r="49" spans="2:34" s="206" customFormat="1" ht="21" customHeight="1">
      <c r="B49" s="1449" t="s">
        <v>231</v>
      </c>
      <c r="C49" s="1214">
        <f>'R1 FC'!C8</f>
        <v>-408428.3754822117</v>
      </c>
      <c r="D49" s="1214">
        <f>'R1 FC'!D8</f>
        <v>-329783.01199834509</v>
      </c>
      <c r="E49" s="1214">
        <f>'R1 FC'!E8</f>
        <v>-226602.31678867349</v>
      </c>
      <c r="F49" s="1214">
        <f>'R1 FC'!F8</f>
        <v>-1359859.3479073208</v>
      </c>
      <c r="G49" s="1214">
        <f>'R1 FC'!G8</f>
        <v>-423362.0777800596</v>
      </c>
      <c r="H49" s="1214">
        <f>'R1 FC'!H8</f>
        <v>-99278.617780059591</v>
      </c>
      <c r="I49" s="1214">
        <f>'R1 FC'!I8</f>
        <v>-14581.887780059598</v>
      </c>
      <c r="J49" s="1214">
        <f>'R1 FC'!J8</f>
        <v>-14581.887780059598</v>
      </c>
      <c r="K49" s="1214">
        <f>'R1 FC'!K8</f>
        <v>-14581.887780059598</v>
      </c>
      <c r="L49" s="1214">
        <f>'R1 FC'!L8</f>
        <v>-15189.887780059598</v>
      </c>
      <c r="M49" s="1214">
        <f>'R1 FC'!M8</f>
        <v>-14785.887780059598</v>
      </c>
      <c r="N49" s="1214">
        <f>'R1 FC'!N8</f>
        <v>-14275.887780059598</v>
      </c>
      <c r="O49" s="1214">
        <f>'R1 FC'!O8</f>
        <v>-14275.887780059598</v>
      </c>
      <c r="P49" s="1214">
        <f>'R1 FC'!P8</f>
        <v>-14275.887780059598</v>
      </c>
      <c r="Q49" s="1214">
        <f>'R1 FC'!Q8</f>
        <v>-14275.887780059598</v>
      </c>
      <c r="R49" s="1214">
        <f>'R1 FC'!R8</f>
        <v>-12851.887780059598</v>
      </c>
      <c r="S49" s="1214">
        <f>'R1 FC'!S8</f>
        <v>-12851.887780059598</v>
      </c>
      <c r="T49" s="1214">
        <f>'R1 FC'!T8</f>
        <v>-12851.887780059598</v>
      </c>
      <c r="U49" s="1214">
        <f>'R1 FC'!U8</f>
        <v>-12851.887780059598</v>
      </c>
      <c r="V49" s="1214">
        <f>'R1 FC'!V8</f>
        <v>-12851.887780059598</v>
      </c>
      <c r="W49" s="1214">
        <f>'R1 FC'!W8</f>
        <v>-14377.887780059598</v>
      </c>
      <c r="X49" s="1214">
        <f>'R1 FC'!X8</f>
        <v>-11835.887780059598</v>
      </c>
      <c r="Y49" s="1214">
        <f>'R1 FC'!Y8</f>
        <v>-11835.887780059598</v>
      </c>
      <c r="Z49" s="1214">
        <f>'R1 FC'!Z8</f>
        <v>-11835.887780059598</v>
      </c>
      <c r="AA49" s="1214">
        <f>'R1 FC'!AA8</f>
        <v>-11835.887780059598</v>
      </c>
      <c r="AB49" s="1214">
        <f>'R1 FC'!AB8</f>
        <v>-14377.887780059598</v>
      </c>
      <c r="AC49" s="1214">
        <f>'R1 FC'!AC8</f>
        <v>-12039.887780059598</v>
      </c>
      <c r="AD49" s="1214">
        <f>'R1 FC'!AD8</f>
        <v>-12243.887780059598</v>
      </c>
      <c r="AE49" s="1214">
        <f>'R1 FC'!AE8</f>
        <v>-12647.887780059598</v>
      </c>
      <c r="AF49" s="1214">
        <f>'R1 FC'!AF8</f>
        <v>-9773.2620246559418</v>
      </c>
      <c r="AG49" s="1231">
        <f t="shared" si="23"/>
        <v>-3165202.4287026967</v>
      </c>
    </row>
    <row r="50" spans="2:34" s="206" customFormat="1" ht="21" customHeight="1">
      <c r="B50" s="1449" t="s">
        <v>232</v>
      </c>
      <c r="C50" s="1214">
        <f>'R1 FC'!C9</f>
        <v>-37879.125589369905</v>
      </c>
      <c r="D50" s="1214">
        <f>'R1 FC'!D9</f>
        <v>-571.94869673148537</v>
      </c>
      <c r="E50" s="1214">
        <f>'R1 FC'!E9</f>
        <v>-9420.8028316306008</v>
      </c>
      <c r="F50" s="1214">
        <f>'R1 FC'!F9</f>
        <v>-816</v>
      </c>
      <c r="G50" s="1214">
        <f>'R1 FC'!G9</f>
        <v>-4753466.1814534497</v>
      </c>
      <c r="H50" s="1214">
        <f>'R1 FC'!H9</f>
        <v>-595557.84756711626</v>
      </c>
      <c r="I50" s="1214">
        <f>'R1 FC'!I9</f>
        <v>-1665461.7728142848</v>
      </c>
      <c r="J50" s="1214">
        <f>'R1 FC'!J9</f>
        <v>-1144098.0717231876</v>
      </c>
      <c r="K50" s="1214">
        <f>'R1 FC'!K9</f>
        <v>-1876522.1650870387</v>
      </c>
      <c r="L50" s="1214">
        <f>'R1 FC'!L9</f>
        <v>-951526.31680762395</v>
      </c>
      <c r="M50" s="1214">
        <f>'R1 FC'!M9</f>
        <v>-2605657.7258695289</v>
      </c>
      <c r="N50" s="1214">
        <f>'R1 FC'!N9</f>
        <v>-2305672.4517390579</v>
      </c>
      <c r="O50" s="1214">
        <f>'R1 FC'!O9</f>
        <v>-21049</v>
      </c>
      <c r="P50" s="1214">
        <f>'R1 FC'!P9</f>
        <v>-21049</v>
      </c>
      <c r="Q50" s="1214">
        <f>'R1 FC'!Q9</f>
        <v>-21049</v>
      </c>
      <c r="R50" s="1214">
        <f>'R1 FC'!R9</f>
        <v>-17185</v>
      </c>
      <c r="S50" s="1214">
        <f>'R1 FC'!S9</f>
        <v>-17185</v>
      </c>
      <c r="T50" s="1214">
        <f>'R1 FC'!T9</f>
        <v>-17185</v>
      </c>
      <c r="U50" s="1214">
        <f>'R1 FC'!U9</f>
        <v>-17185</v>
      </c>
      <c r="V50" s="1214">
        <f>'R1 FC'!V9</f>
        <v>-17185</v>
      </c>
      <c r="W50" s="1214">
        <f>'R1 FC'!W9</f>
        <v>-21354</v>
      </c>
      <c r="X50" s="1214">
        <f>'R1 FC'!X9</f>
        <v>-14541</v>
      </c>
      <c r="Y50" s="1214">
        <f>'R1 FC'!Y9</f>
        <v>-14541</v>
      </c>
      <c r="Z50" s="1214">
        <f>'R1 FC'!Z9</f>
        <v>-14541</v>
      </c>
      <c r="AA50" s="1214">
        <f>'R1 FC'!AA9</f>
        <v>-14541</v>
      </c>
      <c r="AB50" s="1214">
        <f>'R1 FC'!AB9</f>
        <v>-21354</v>
      </c>
      <c r="AC50" s="1214">
        <f>'R1 FC'!AC9</f>
        <v>-15151</v>
      </c>
      <c r="AD50" s="1214">
        <f>'R1 FC'!AD9</f>
        <v>-15761</v>
      </c>
      <c r="AE50" s="1214">
        <f>'R1 FC'!AE9</f>
        <v>-16575</v>
      </c>
      <c r="AF50" s="1214">
        <f>'R1 FC'!AF9</f>
        <v>-16612.120000000003</v>
      </c>
      <c r="AG50" s="1231">
        <f t="shared" si="23"/>
        <v>-16260693.530179018</v>
      </c>
    </row>
    <row r="51" spans="2:34" s="206" customFormat="1" ht="21" customHeight="1">
      <c r="B51" s="1449" t="s">
        <v>233</v>
      </c>
      <c r="C51" s="1214">
        <f>'R1 FC'!C10</f>
        <v>-116954.72850141811</v>
      </c>
      <c r="D51" s="1214">
        <f>'R1 FC'!D10</f>
        <v>-15284.203558129915</v>
      </c>
      <c r="E51" s="1214">
        <f>'R1 FC'!E10</f>
        <v>-66314.391440752952</v>
      </c>
      <c r="F51" s="1214">
        <f>'R1 FC'!F10</f>
        <v>-33061.865972076979</v>
      </c>
      <c r="G51" s="1214">
        <f>'R1 FC'!G10</f>
        <v>-33061.865972076979</v>
      </c>
      <c r="H51" s="1214">
        <f>'R1 FC'!H10</f>
        <v>-33061.865972076979</v>
      </c>
      <c r="I51" s="1214">
        <f>'R1 FC'!I10</f>
        <v>-33061.865972076979</v>
      </c>
      <c r="J51" s="1214">
        <f>'R1 FC'!J10</f>
        <v>-33061.865972076979</v>
      </c>
      <c r="K51" s="1214">
        <f>'R1 FC'!K10</f>
        <v>-33061.865972076979</v>
      </c>
      <c r="L51" s="1214">
        <f>'R1 FC'!L10</f>
        <v>-33061.865972076979</v>
      </c>
      <c r="M51" s="1214">
        <f>'R1 FC'!M10</f>
        <v>-33061.865972076979</v>
      </c>
      <c r="N51" s="1214">
        <f>'R1 FC'!N10</f>
        <v>-33061.865972076979</v>
      </c>
      <c r="O51" s="1214">
        <f>'R1 FC'!O10</f>
        <v>-33061.865972076979</v>
      </c>
      <c r="P51" s="1214">
        <f>'R1 FC'!P10</f>
        <v>-33061.865972076979</v>
      </c>
      <c r="Q51" s="1214">
        <f>'R1 FC'!Q10</f>
        <v>-33061.865972076979</v>
      </c>
      <c r="R51" s="1214">
        <f>'R1 FC'!R10</f>
        <v>-33061.865972076979</v>
      </c>
      <c r="S51" s="1214">
        <f>'R1 FC'!S10</f>
        <v>-33061.865972076979</v>
      </c>
      <c r="T51" s="1214">
        <f>'R1 FC'!T10</f>
        <v>-33061.865972076979</v>
      </c>
      <c r="U51" s="1214">
        <f>'R1 FC'!U10</f>
        <v>-33061.865972076979</v>
      </c>
      <c r="V51" s="1214">
        <f>'R1 FC'!V10</f>
        <v>-33061.865972076979</v>
      </c>
      <c r="W51" s="1214">
        <f>'R1 FC'!W10</f>
        <v>-33061.865972076979</v>
      </c>
      <c r="X51" s="1214">
        <f>'R1 FC'!X10</f>
        <v>-33061.865972076979</v>
      </c>
      <c r="Y51" s="1214">
        <f>'R1 FC'!Y10</f>
        <v>-33061.865972076979</v>
      </c>
      <c r="Z51" s="1214">
        <f>'R1 FC'!Z10</f>
        <v>-33061.865972076979</v>
      </c>
      <c r="AA51" s="1214">
        <f>'R1 FC'!AA10</f>
        <v>-33061.865972076979</v>
      </c>
      <c r="AB51" s="1214">
        <f>'R1 FC'!AB10</f>
        <v>-33061.865972076979</v>
      </c>
      <c r="AC51" s="1214">
        <f>'R1 FC'!AC10</f>
        <v>-33061.865972076979</v>
      </c>
      <c r="AD51" s="1214">
        <f>'R1 FC'!AD10</f>
        <v>-33061.865972076979</v>
      </c>
      <c r="AE51" s="1214">
        <f>'R1 FC'!AE10</f>
        <v>-33061.865972076979</v>
      </c>
      <c r="AF51" s="1214">
        <f>'R1 FC'!AF10</f>
        <v>-33061.865972076979</v>
      </c>
      <c r="AG51" s="1231">
        <f t="shared" si="23"/>
        <v>-1091223.70474638</v>
      </c>
    </row>
    <row r="52" spans="2:34" s="206" customFormat="1" ht="21" customHeight="1">
      <c r="B52" s="468" t="s">
        <v>234</v>
      </c>
      <c r="C52" s="1212">
        <f>C53+C54</f>
        <v>0</v>
      </c>
      <c r="D52" s="1212">
        <f t="shared" ref="D52:AF52" si="26">D53+D54</f>
        <v>-216017.56612724392</v>
      </c>
      <c r="E52" s="1212">
        <f t="shared" si="26"/>
        <v>-224220.92328385104</v>
      </c>
      <c r="F52" s="1212">
        <f t="shared" si="26"/>
        <v>-262594.52327203582</v>
      </c>
      <c r="G52" s="1212">
        <f t="shared" si="26"/>
        <v>-278747.42778149887</v>
      </c>
      <c r="H52" s="1212">
        <f t="shared" si="26"/>
        <v>-287152.82138991781</v>
      </c>
      <c r="I52" s="1212">
        <f t="shared" si="26"/>
        <v>-279955.27832341741</v>
      </c>
      <c r="J52" s="1212">
        <f t="shared" si="26"/>
        <v>-455087.78473776334</v>
      </c>
      <c r="K52" s="1212">
        <f t="shared" si="26"/>
        <v>-451178.93443080451</v>
      </c>
      <c r="L52" s="1212">
        <f t="shared" si="26"/>
        <v>-445757.58715072495</v>
      </c>
      <c r="M52" s="1212">
        <f t="shared" si="26"/>
        <v>-486948.799964095</v>
      </c>
      <c r="N52" s="1212">
        <f t="shared" si="26"/>
        <v>-528845.54032825679</v>
      </c>
      <c r="O52" s="1212">
        <f t="shared" si="26"/>
        <v>-489865.53228612605</v>
      </c>
      <c r="P52" s="1212">
        <f t="shared" si="26"/>
        <v>-490199.44931282185</v>
      </c>
      <c r="Q52" s="1212">
        <f t="shared" si="26"/>
        <v>-490519.98604231433</v>
      </c>
      <c r="R52" s="1212">
        <f t="shared" si="26"/>
        <v>-490622.62676224613</v>
      </c>
      <c r="S52" s="1212">
        <f t="shared" si="26"/>
        <v>-490590.41710705019</v>
      </c>
      <c r="T52" s="1212">
        <f t="shared" si="26"/>
        <v>-490423.35285854508</v>
      </c>
      <c r="U52" s="1212">
        <f t="shared" si="26"/>
        <v>-490085.28289078269</v>
      </c>
      <c r="V52" s="1212">
        <f t="shared" si="26"/>
        <v>-489457.24209941534</v>
      </c>
      <c r="W52" s="1212">
        <f t="shared" si="26"/>
        <v>-488905.98758182884</v>
      </c>
      <c r="X52" s="1212">
        <f t="shared" si="26"/>
        <v>-487978.45372542378</v>
      </c>
      <c r="Y52" s="1212">
        <f t="shared" si="26"/>
        <v>-486655.0730716876</v>
      </c>
      <c r="Z52" s="1212">
        <f t="shared" si="26"/>
        <v>-484941.78269480856</v>
      </c>
      <c r="AA52" s="1212">
        <f t="shared" si="26"/>
        <v>-482747.18800470035</v>
      </c>
      <c r="AB52" s="1212">
        <f t="shared" si="26"/>
        <v>-480114.30145582382</v>
      </c>
      <c r="AC52" s="1212">
        <f t="shared" si="26"/>
        <v>-475776.72658197407</v>
      </c>
      <c r="AD52" s="1212">
        <f t="shared" si="26"/>
        <v>-470288.45340211806</v>
      </c>
      <c r="AE52" s="1212">
        <f t="shared" si="26"/>
        <v>-461389.03280910983</v>
      </c>
      <c r="AF52" s="1228">
        <f t="shared" si="26"/>
        <v>-421089.68000241631</v>
      </c>
      <c r="AG52" s="1231">
        <f t="shared" si="23"/>
        <v>-12578157.755478805</v>
      </c>
    </row>
    <row r="53" spans="2:34" s="206" customFormat="1" ht="21" customHeight="1">
      <c r="B53" s="469" t="s">
        <v>235</v>
      </c>
      <c r="C53" s="1214">
        <f>C31</f>
        <v>0</v>
      </c>
      <c r="D53" s="1214">
        <f t="shared" ref="D53:AF54" si="27">D31</f>
        <v>-152483.50450532642</v>
      </c>
      <c r="E53" s="1214">
        <f t="shared" si="27"/>
        <v>-158515.38476753753</v>
      </c>
      <c r="F53" s="1214">
        <f t="shared" si="27"/>
        <v>-186731.26711179104</v>
      </c>
      <c r="G53" s="1214">
        <f t="shared" si="27"/>
        <v>-198608.40278051386</v>
      </c>
      <c r="H53" s="1214">
        <f t="shared" si="27"/>
        <v>-204788.83925729251</v>
      </c>
      <c r="I53" s="1214">
        <f t="shared" si="27"/>
        <v>-199496.52817898337</v>
      </c>
      <c r="J53" s="1214">
        <f t="shared" si="27"/>
        <v>-328270.42995423777</v>
      </c>
      <c r="K53" s="1214">
        <f t="shared" si="27"/>
        <v>-325396.27531676803</v>
      </c>
      <c r="L53" s="1214">
        <f t="shared" si="27"/>
        <v>-321409.99055200367</v>
      </c>
      <c r="M53" s="1214">
        <f t="shared" si="27"/>
        <v>-351697.64703242283</v>
      </c>
      <c r="N53" s="1214">
        <f t="shared" si="27"/>
        <v>-382504.07377077709</v>
      </c>
      <c r="O53" s="1214">
        <f t="shared" si="27"/>
        <v>-353842.30315156328</v>
      </c>
      <c r="P53" s="1214">
        <f t="shared" si="27"/>
        <v>-354087.83037707489</v>
      </c>
      <c r="Q53" s="1214">
        <f t="shared" si="27"/>
        <v>-354323.51914876053</v>
      </c>
      <c r="R53" s="1214">
        <f t="shared" si="27"/>
        <v>-354398.99026635743</v>
      </c>
      <c r="S53" s="1214">
        <f t="shared" si="27"/>
        <v>-354375.30669636047</v>
      </c>
      <c r="T53" s="1214">
        <f t="shared" si="27"/>
        <v>-354252.46533716551</v>
      </c>
      <c r="U53" s="1214">
        <f t="shared" si="27"/>
        <v>-354003.8844785167</v>
      </c>
      <c r="V53" s="1214">
        <f t="shared" si="27"/>
        <v>-353542.08977898187</v>
      </c>
      <c r="W53" s="1214">
        <f t="shared" si="27"/>
        <v>-353136.75557487417</v>
      </c>
      <c r="X53" s="1214">
        <f t="shared" si="27"/>
        <v>-352454.745386341</v>
      </c>
      <c r="Y53" s="1214">
        <f t="shared" si="27"/>
        <v>-351481.67137624091</v>
      </c>
      <c r="Z53" s="1214">
        <f t="shared" si="27"/>
        <v>-350221.8990403004</v>
      </c>
      <c r="AA53" s="1214">
        <f t="shared" si="27"/>
        <v>-348608.22647404438</v>
      </c>
      <c r="AB53" s="1214">
        <f t="shared" si="27"/>
        <v>-346672.28048222337</v>
      </c>
      <c r="AC53" s="1214">
        <f t="shared" si="27"/>
        <v>-343482.887192628</v>
      </c>
      <c r="AD53" s="1214">
        <f t="shared" si="27"/>
        <v>-339447.39220743976</v>
      </c>
      <c r="AE53" s="1214">
        <f t="shared" si="27"/>
        <v>-332903.7005949337</v>
      </c>
      <c r="AF53" s="1214">
        <f t="shared" si="27"/>
        <v>-303271.82353118848</v>
      </c>
      <c r="AG53" s="1231">
        <f t="shared" si="23"/>
        <v>-9064410.1143226493</v>
      </c>
    </row>
    <row r="54" spans="2:34" s="206" customFormat="1" ht="21" customHeight="1" thickBot="1">
      <c r="B54" s="476" t="s">
        <v>236</v>
      </c>
      <c r="C54" s="1214">
        <f>C32</f>
        <v>0</v>
      </c>
      <c r="D54" s="1214">
        <f t="shared" si="27"/>
        <v>-63534.061621917506</v>
      </c>
      <c r="E54" s="1214">
        <f t="shared" si="27"/>
        <v>-65705.538516313507</v>
      </c>
      <c r="F54" s="1214">
        <f t="shared" si="27"/>
        <v>-75863.256160244768</v>
      </c>
      <c r="G54" s="1214">
        <f t="shared" si="27"/>
        <v>-80139.025000984999</v>
      </c>
      <c r="H54" s="1214">
        <f t="shared" si="27"/>
        <v>-82363.9821326253</v>
      </c>
      <c r="I54" s="1214">
        <f t="shared" si="27"/>
        <v>-80458.750144434016</v>
      </c>
      <c r="J54" s="1214">
        <f t="shared" si="27"/>
        <v>-126817.35478352559</v>
      </c>
      <c r="K54" s="1214">
        <f t="shared" si="27"/>
        <v>-125782.65911403649</v>
      </c>
      <c r="L54" s="1214">
        <f t="shared" si="27"/>
        <v>-124347.59659872131</v>
      </c>
      <c r="M54" s="1214">
        <f t="shared" si="27"/>
        <v>-135251.1529316722</v>
      </c>
      <c r="N54" s="1214">
        <f t="shared" si="27"/>
        <v>-146341.46655747975</v>
      </c>
      <c r="O54" s="1214">
        <f t="shared" si="27"/>
        <v>-136023.22913456277</v>
      </c>
      <c r="P54" s="1214">
        <f t="shared" si="27"/>
        <v>-136111.61893574696</v>
      </c>
      <c r="Q54" s="1214">
        <f t="shared" si="27"/>
        <v>-136196.46689355379</v>
      </c>
      <c r="R54" s="1214">
        <f t="shared" si="27"/>
        <v>-136223.63649588867</v>
      </c>
      <c r="S54" s="1214">
        <f t="shared" si="27"/>
        <v>-136215.11041068975</v>
      </c>
      <c r="T54" s="1214">
        <f t="shared" si="27"/>
        <v>-136170.88752137957</v>
      </c>
      <c r="U54" s="1214">
        <f t="shared" si="27"/>
        <v>-136081.39841226602</v>
      </c>
      <c r="V54" s="1214">
        <f t="shared" si="27"/>
        <v>-135915.15232043347</v>
      </c>
      <c r="W54" s="1214">
        <f t="shared" si="27"/>
        <v>-135769.2320069547</v>
      </c>
      <c r="X54" s="1214">
        <f t="shared" si="27"/>
        <v>-135523.70833908275</v>
      </c>
      <c r="Y54" s="1214">
        <f t="shared" si="27"/>
        <v>-135173.40169544672</v>
      </c>
      <c r="Z54" s="1214">
        <f t="shared" si="27"/>
        <v>-134719.88365450813</v>
      </c>
      <c r="AA54" s="1214">
        <f t="shared" si="27"/>
        <v>-134138.96153065597</v>
      </c>
      <c r="AB54" s="1214">
        <f t="shared" si="27"/>
        <v>-133442.02097360042</v>
      </c>
      <c r="AC54" s="1214">
        <f t="shared" si="27"/>
        <v>-132293.83938934607</v>
      </c>
      <c r="AD54" s="1214">
        <f t="shared" si="27"/>
        <v>-130841.0611946783</v>
      </c>
      <c r="AE54" s="1214">
        <f t="shared" si="27"/>
        <v>-128485.33221417613</v>
      </c>
      <c r="AF54" s="1214">
        <f t="shared" si="27"/>
        <v>-117817.85647122785</v>
      </c>
      <c r="AG54" s="1232">
        <f t="shared" si="23"/>
        <v>-3513747.6411561538</v>
      </c>
    </row>
    <row r="55" spans="2:34" s="206" customFormat="1" ht="21" customHeight="1" thickBot="1">
      <c r="B55" s="472" t="s">
        <v>237</v>
      </c>
      <c r="C55" s="1233">
        <f>C45+C47</f>
        <v>-218809.77007688157</v>
      </c>
      <c r="D55" s="1233">
        <f t="shared" ref="D55:AF55" si="28">D45+D47</f>
        <v>163700.12314337248</v>
      </c>
      <c r="E55" s="1233">
        <f t="shared" si="28"/>
        <v>235270.19609394518</v>
      </c>
      <c r="F55" s="1233">
        <f t="shared" si="28"/>
        <v>-770441.89174071245</v>
      </c>
      <c r="G55" s="1233">
        <f t="shared" si="28"/>
        <v>-4501633.8874445725</v>
      </c>
      <c r="H55" s="1233">
        <f t="shared" si="28"/>
        <v>205069.86374867987</v>
      </c>
      <c r="I55" s="1233">
        <f t="shared" si="28"/>
        <v>-763779.93560692249</v>
      </c>
      <c r="J55" s="1233">
        <f t="shared" si="28"/>
        <v>172029.71515199519</v>
      </c>
      <c r="K55" s="1233">
        <f t="shared" si="28"/>
        <v>-513812.06347862515</v>
      </c>
      <c r="L55" s="1233">
        <f t="shared" si="28"/>
        <v>491678.94153796276</v>
      </c>
      <c r="M55" s="1233">
        <f t="shared" si="28"/>
        <v>-1032100.1508876476</v>
      </c>
      <c r="N55" s="1233">
        <f t="shared" si="28"/>
        <v>-510617.72702993872</v>
      </c>
      <c r="O55" s="1233">
        <f t="shared" si="28"/>
        <v>1829061.4394683498</v>
      </c>
      <c r="P55" s="1233">
        <f t="shared" si="28"/>
        <v>1833732.3815644141</v>
      </c>
      <c r="Q55" s="1233">
        <f t="shared" si="28"/>
        <v>1838628.7720311731</v>
      </c>
      <c r="R55" s="1233">
        <f t="shared" si="28"/>
        <v>1848675.1326984377</v>
      </c>
      <c r="S55" s="1233">
        <f t="shared" si="28"/>
        <v>1853119.6619130843</v>
      </c>
      <c r="T55" s="1233">
        <f t="shared" si="28"/>
        <v>1857649.1110134355</v>
      </c>
      <c r="U55" s="1233">
        <f t="shared" si="28"/>
        <v>1862251.0870259474</v>
      </c>
      <c r="V55" s="1233">
        <f t="shared" si="28"/>
        <v>1866768.1993602787</v>
      </c>
      <c r="W55" s="1233">
        <f t="shared" si="28"/>
        <v>1866312.9924366481</v>
      </c>
      <c r="X55" s="1233">
        <f t="shared" si="28"/>
        <v>1881511.2359558246</v>
      </c>
      <c r="Y55" s="1233">
        <f t="shared" si="28"/>
        <v>1886372.1647881777</v>
      </c>
      <c r="Z55" s="1233">
        <f t="shared" si="28"/>
        <v>1891537.6163573139</v>
      </c>
      <c r="AA55" s="1233">
        <f t="shared" si="28"/>
        <v>1897183.9797410876</v>
      </c>
      <c r="AB55" s="1233">
        <f t="shared" si="28"/>
        <v>1894605.8330731075</v>
      </c>
      <c r="AC55" s="1233">
        <f t="shared" si="28"/>
        <v>1911925.2732266099</v>
      </c>
      <c r="AD55" s="1233">
        <f t="shared" si="28"/>
        <v>1920541.8177164251</v>
      </c>
      <c r="AE55" s="1233">
        <f t="shared" si="28"/>
        <v>1932581.8487354773</v>
      </c>
      <c r="AF55" s="1234">
        <f t="shared" si="28"/>
        <v>1978923.200791463</v>
      </c>
      <c r="AG55" s="1235">
        <f t="shared" si="23"/>
        <v>26807935.161307909</v>
      </c>
      <c r="AH55" s="207"/>
    </row>
    <row r="56" spans="2:34" s="206" customFormat="1" ht="21" customHeight="1" thickBot="1">
      <c r="B56" s="472" t="s">
        <v>238</v>
      </c>
      <c r="C56" s="886">
        <f>IRR(C55:AF55)</f>
        <v>0.11747112411561234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714</v>
      </c>
      <c r="C58" s="886">
        <v>0.1203</v>
      </c>
    </row>
    <row r="59" spans="2:34" ht="15" thickBot="1"/>
    <row r="60" spans="2:34" ht="15.75" thickBot="1">
      <c r="B60" s="472" t="s">
        <v>659</v>
      </c>
      <c r="C60" s="886">
        <f>C56-C58</f>
        <v>-2.8288758843876688E-3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11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ACA75-D0FD-4C5C-ABA9-8278A06B3331}">
  <sheetPr>
    <tabColor theme="2" tint="-9.9978637043366805E-2"/>
  </sheetPr>
  <dimension ref="A2:AJ66"/>
  <sheetViews>
    <sheetView showGridLines="0" zoomScale="70" zoomScaleNormal="70" workbookViewId="0"/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809</v>
      </c>
      <c r="D2" s="1238" t="s">
        <v>713</v>
      </c>
    </row>
    <row r="3" spans="1:33" ht="23.25">
      <c r="B3" s="1236" t="s">
        <v>815</v>
      </c>
      <c r="D3" s="1239">
        <v>1.37E-2</v>
      </c>
      <c r="F3" s="1237"/>
    </row>
    <row r="5" spans="1:33">
      <c r="D5" s="1237">
        <f>C56</f>
        <v>0.12025949671957492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46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1">
        <f>'E6 RECEITA'!C50</f>
        <v>3282769.4842375312</v>
      </c>
      <c r="I9" s="1211">
        <f>'E6 RECEITA'!D50</f>
        <v>3304634.8278828482</v>
      </c>
      <c r="J9" s="1212">
        <f t="shared" si="0"/>
        <v>4008029.4952593418</v>
      </c>
      <c r="K9" s="1212">
        <f t="shared" si="0"/>
        <v>4129509.6444570129</v>
      </c>
      <c r="L9" s="1212">
        <f t="shared" si="0"/>
        <v>4225639.803893812</v>
      </c>
      <c r="M9" s="1212">
        <f t="shared" si="0"/>
        <v>4424800.3321563751</v>
      </c>
      <c r="N9" s="1212">
        <f t="shared" si="0"/>
        <v>4726984.6750339549</v>
      </c>
      <c r="O9" s="1212">
        <f t="shared" si="0"/>
        <v>4729460.5987723945</v>
      </c>
      <c r="P9" s="1212">
        <f t="shared" si="0"/>
        <v>4736259.0567485886</v>
      </c>
      <c r="Q9" s="1212">
        <f t="shared" si="0"/>
        <v>4743057.5147247855</v>
      </c>
      <c r="R9" s="1212">
        <f t="shared" si="0"/>
        <v>4749289.4345362941</v>
      </c>
      <c r="S9" s="1212">
        <f t="shared" si="0"/>
        <v>4754954.8161831228</v>
      </c>
      <c r="T9" s="1212">
        <f t="shared" si="0"/>
        <v>4760620.1978299515</v>
      </c>
      <c r="U9" s="1212">
        <f t="shared" si="0"/>
        <v>4766285.5794767784</v>
      </c>
      <c r="V9" s="1212">
        <f t="shared" si="0"/>
        <v>4771384.4229589254</v>
      </c>
      <c r="W9" s="1212">
        <f t="shared" si="0"/>
        <v>4777616.3427704386</v>
      </c>
      <c r="X9" s="1212">
        <f t="shared" si="0"/>
        <v>4783848.2625819482</v>
      </c>
      <c r="Y9" s="1212">
        <f t="shared" si="0"/>
        <v>4788380.5678994115</v>
      </c>
      <c r="Z9" s="1212">
        <f t="shared" si="0"/>
        <v>4792912.8732168749</v>
      </c>
      <c r="AA9" s="1212">
        <f t="shared" si="0"/>
        <v>4797445.1785343364</v>
      </c>
      <c r="AB9" s="1212">
        <f t="shared" si="0"/>
        <v>4803110.560181166</v>
      </c>
      <c r="AC9" s="1212">
        <f t="shared" si="0"/>
        <v>4808775.9418279929</v>
      </c>
      <c r="AD9" s="1212">
        <f t="shared" si="0"/>
        <v>4813874.785310138</v>
      </c>
      <c r="AE9" s="1212">
        <f t="shared" si="0"/>
        <v>4819540.1669569677</v>
      </c>
      <c r="AF9" s="1212">
        <f t="shared" si="0"/>
        <v>4823505.9341097483</v>
      </c>
      <c r="AG9" s="1213">
        <f t="shared" ref="AG9:AG17" si="1">SUM(C9:AF9)</f>
        <v>127751052.42421985</v>
      </c>
    </row>
    <row r="10" spans="1:33" ht="20.25" customHeight="1">
      <c r="B10" s="469" t="s">
        <v>203</v>
      </c>
      <c r="C10" s="1214">
        <f>'R1 DRE'!C5</f>
        <v>1523597.081238748</v>
      </c>
      <c r="D10" s="1214">
        <f>'R1 DRE'!D5</f>
        <v>1700315.1510136535</v>
      </c>
      <c r="E10" s="1214">
        <f>'R1 DRE'!E5</f>
        <v>1854061.9660526102</v>
      </c>
      <c r="F10" s="1214">
        <f>'R1 DRE'!F5</f>
        <v>1912815.2651806301</v>
      </c>
      <c r="G10" s="1214">
        <f>'R1 DRE'!G5</f>
        <v>1980000</v>
      </c>
      <c r="H10" s="1214"/>
      <c r="I10" s="1214"/>
      <c r="J10" s="1214">
        <f>'R1 DRE'!J5</f>
        <v>2245693.2442389107</v>
      </c>
      <c r="K10" s="1214">
        <f>(1+$D$3)*'R1 DRE'!K5</f>
        <v>2266975.386436196</v>
      </c>
      <c r="L10" s="1214">
        <f>(1+$D$3)*'R1 DRE'!L5</f>
        <v>2261993.1230378221</v>
      </c>
      <c r="M10" s="1214">
        <f>(1+$D$3)*'R1 DRE'!M5</f>
        <v>2261257.7386438739</v>
      </c>
      <c r="N10" s="1214">
        <f>(1+$D$3)*'R1 DRE'!N5</f>
        <v>2262377.7323986418</v>
      </c>
      <c r="O10" s="1214">
        <f>(1+$D$3)*'R1 DRE'!O5</f>
        <v>2261348.6164444485</v>
      </c>
      <c r="P10" s="1214">
        <f>(1+$D$3)*'R1 DRE'!P5</f>
        <v>2264599.237359318</v>
      </c>
      <c r="Q10" s="1214">
        <f>(1+$D$3)*'R1 DRE'!Q5</f>
        <v>2267849.8582741888</v>
      </c>
      <c r="R10" s="1214">
        <f>(1+$D$3)*'R1 DRE'!R5</f>
        <v>2270829.5941128186</v>
      </c>
      <c r="S10" s="1214">
        <f>(1+$D$3)*'R1 DRE'!S5</f>
        <v>2273538.4448752101</v>
      </c>
      <c r="T10" s="1214">
        <f>(1+$D$3)*'R1 DRE'!T5</f>
        <v>2276247.295637602</v>
      </c>
      <c r="U10" s="1214">
        <f>(1+$D$3)*'R1 DRE'!U5</f>
        <v>2278956.1463999925</v>
      </c>
      <c r="V10" s="1214">
        <f>(1+$D$3)*'R1 DRE'!V5</f>
        <v>2281394.1120861457</v>
      </c>
      <c r="W10" s="1214">
        <f>(1+$D$3)*'R1 DRE'!W5</f>
        <v>2284373.8479247773</v>
      </c>
      <c r="X10" s="1214">
        <f>(1+$D$3)*'R1 DRE'!X5</f>
        <v>2287353.5837634066</v>
      </c>
      <c r="Y10" s="1214">
        <f>(1+$D$3)*'R1 DRE'!Y5</f>
        <v>2289520.6643733201</v>
      </c>
      <c r="Z10" s="1214">
        <f>(1+$D$3)*'R1 DRE'!Z5</f>
        <v>2291687.744983234</v>
      </c>
      <c r="AA10" s="1214">
        <f>(1+$D$3)*'R1 DRE'!AA5</f>
        <v>2293854.825593147</v>
      </c>
      <c r="AB10" s="1214">
        <f>(1+$D$3)*'R1 DRE'!AB5</f>
        <v>2296563.6763555384</v>
      </c>
      <c r="AC10" s="1214">
        <f>(1+$D$3)*'R1 DRE'!AC5</f>
        <v>2299272.5271179299</v>
      </c>
      <c r="AD10" s="1214">
        <f>(1+$D$3)*'R1 DRE'!AD5</f>
        <v>2301710.4928040821</v>
      </c>
      <c r="AE10" s="1214">
        <f>(1+$D$3)*'R1 DRE'!AE5</f>
        <v>2304419.3435664736</v>
      </c>
      <c r="AF10" s="1214">
        <f>(1+$D$3)*'R1 DRE'!AF5</f>
        <v>2306315.5391001482</v>
      </c>
      <c r="AG10" s="1213">
        <f t="shared" si="1"/>
        <v>61398922.23901286</v>
      </c>
    </row>
    <row r="11" spans="1:33" ht="20.25" customHeight="1">
      <c r="B11" s="469" t="s">
        <v>204</v>
      </c>
      <c r="C11" s="1214">
        <f>'R1 DRE'!C6</f>
        <v>755927.22474067716</v>
      </c>
      <c r="D11" s="1214">
        <f>'R1 DRE'!D6</f>
        <v>864024.61729416624</v>
      </c>
      <c r="E11" s="1214">
        <f>'R1 DRE'!E6</f>
        <v>921110.0796396106</v>
      </c>
      <c r="F11" s="1214">
        <f>'R1 DRE'!F6</f>
        <v>945261.79093005392</v>
      </c>
      <c r="G11" s="1214">
        <f>'R1 DRE'!G6</f>
        <v>987517.85328943643</v>
      </c>
      <c r="H11" s="1214"/>
      <c r="I11" s="1214"/>
      <c r="J11" s="1214">
        <f>'R1 DRE'!J6</f>
        <v>1722652.7906713283</v>
      </c>
      <c r="K11" s="1214">
        <f>(1+$D$3)*'R1 DRE'!K6</f>
        <v>1821648.0239172818</v>
      </c>
      <c r="L11" s="1214">
        <f>(1+$D$3)*'R1 DRE'!L6</f>
        <v>1921808.6629956551</v>
      </c>
      <c r="M11" s="1214">
        <f>(1+$D$3)*'R1 DRE'!M6</f>
        <v>2119732.689233725</v>
      </c>
      <c r="N11" s="1214">
        <f>(1+$D$3)*'R1 DRE'!N6</f>
        <v>2417805.1141696307</v>
      </c>
      <c r="O11" s="1214">
        <f>(1+$D$3)*'R1 DRE'!O6</f>
        <v>2421285.6397658433</v>
      </c>
      <c r="P11" s="1214">
        <f>(1+$D$3)*'R1 DRE'!P6</f>
        <v>2424766.1653620573</v>
      </c>
      <c r="Q11" s="1214">
        <f>(1+$D$3)*'R1 DRE'!Q6</f>
        <v>2428246.6909582713</v>
      </c>
      <c r="R11" s="1214">
        <f>(1+$D$3)*'R1 DRE'!R6</f>
        <v>2431437.1727547995</v>
      </c>
      <c r="S11" s="1214">
        <f>(1+$D$3)*'R1 DRE'!S6</f>
        <v>2434337.6107516442</v>
      </c>
      <c r="T11" s="1214">
        <f>(1+$D$3)*'R1 DRE'!T6</f>
        <v>2437238.0487484885</v>
      </c>
      <c r="U11" s="1214">
        <f>(1+$D$3)*'R1 DRE'!U6</f>
        <v>2440138.4867453328</v>
      </c>
      <c r="V11" s="1214">
        <f>(1+$D$3)*'R1 DRE'!V6</f>
        <v>2442748.8809424937</v>
      </c>
      <c r="W11" s="1214">
        <f>(1+$D$3)*'R1 DRE'!W6</f>
        <v>2445939.3627390233</v>
      </c>
      <c r="X11" s="1214">
        <f>(1+$D$3)*'R1 DRE'!X6</f>
        <v>2449129.844535552</v>
      </c>
      <c r="Y11" s="1214">
        <f>(1+$D$3)*'R1 DRE'!Y6</f>
        <v>2451450.194933028</v>
      </c>
      <c r="Z11" s="1214">
        <f>(1+$D$3)*'R1 DRE'!Z6</f>
        <v>2453770.545330503</v>
      </c>
      <c r="AA11" s="1214">
        <f>(1+$D$3)*'R1 DRE'!AA6</f>
        <v>2456090.8957279786</v>
      </c>
      <c r="AB11" s="1214">
        <f>(1+$D$3)*'R1 DRE'!AB6</f>
        <v>2458991.3337248242</v>
      </c>
      <c r="AC11" s="1214">
        <f>(1+$D$3)*'R1 DRE'!AC6</f>
        <v>2461891.7717216671</v>
      </c>
      <c r="AD11" s="1214">
        <f>(1+$D$3)*'R1 DRE'!AD6</f>
        <v>2464502.1659188275</v>
      </c>
      <c r="AE11" s="1214">
        <f>(1+$D$3)*'R1 DRE'!AE6</f>
        <v>2467402.6039156727</v>
      </c>
      <c r="AF11" s="1214">
        <f>(1+$D$3)*'R1 DRE'!AF6</f>
        <v>2469432.9105134639</v>
      </c>
      <c r="AG11" s="1213">
        <f t="shared" si="1"/>
        <v>58516289.171971038</v>
      </c>
    </row>
    <row r="12" spans="1:33" ht="20.25" customHeight="1">
      <c r="B12" s="469" t="s">
        <v>205</v>
      </c>
      <c r="C12" s="1214">
        <f>'R1 DRE'!C7</f>
        <v>23294.028204029146</v>
      </c>
      <c r="D12" s="1214">
        <f>'R1 DRE'!D7</f>
        <v>24745.693007860991</v>
      </c>
      <c r="E12" s="1214">
        <f>'R1 DRE'!E7</f>
        <v>43686.059045933551</v>
      </c>
      <c r="F12" s="1214">
        <f>'R1 DRE'!F7</f>
        <v>62329.938508839361</v>
      </c>
      <c r="G12" s="1214">
        <f>'R1 DRE'!G7</f>
        <v>29675.178532894366</v>
      </c>
      <c r="H12" s="1214"/>
      <c r="I12" s="1214"/>
      <c r="J12" s="1214">
        <f>'R1 DRE'!J7</f>
        <v>39683.460349102395</v>
      </c>
      <c r="K12" s="1214">
        <f>(1+$D$3)*'R1 DRE'!K7</f>
        <v>40886.234103534778</v>
      </c>
      <c r="L12" s="1214">
        <f>(1+$D$3)*'R1 DRE'!L7</f>
        <v>41838.017860334774</v>
      </c>
      <c r="M12" s="1214">
        <f>(1+$D$3)*'R1 DRE'!M7</f>
        <v>43809.90427877599</v>
      </c>
      <c r="N12" s="1214">
        <f>(1+$D$3)*'R1 DRE'!N7</f>
        <v>46801.828465682724</v>
      </c>
      <c r="O12" s="1214">
        <f>(1+$D$3)*'R1 DRE'!O7</f>
        <v>46826.342562102916</v>
      </c>
      <c r="P12" s="1214">
        <f>(1+$D$3)*'R1 DRE'!P7</f>
        <v>46893.65402721375</v>
      </c>
      <c r="Q12" s="1214">
        <f>(1+$D$3)*'R1 DRE'!Q7</f>
        <v>46960.965492324598</v>
      </c>
      <c r="R12" s="1214">
        <f>(1+$D$3)*'R1 DRE'!R7</f>
        <v>47022.667668676178</v>
      </c>
      <c r="S12" s="1214">
        <f>(1+$D$3)*'R1 DRE'!S7</f>
        <v>47078.760556268542</v>
      </c>
      <c r="T12" s="1214">
        <f>(1+$D$3)*'R1 DRE'!T7</f>
        <v>47134.853443860906</v>
      </c>
      <c r="U12" s="1214">
        <f>(1+$D$3)*'R1 DRE'!U7</f>
        <v>47190.946331453248</v>
      </c>
      <c r="V12" s="1214">
        <f>(1+$D$3)*'R1 DRE'!V7</f>
        <v>47241.429930286387</v>
      </c>
      <c r="W12" s="1214">
        <f>(1+$D$3)*'R1 DRE'!W7</f>
        <v>47303.132106638004</v>
      </c>
      <c r="X12" s="1214">
        <f>(1+$D$3)*'R1 DRE'!X7</f>
        <v>47364.834282989585</v>
      </c>
      <c r="Y12" s="1214">
        <f>(1+$D$3)*'R1 DRE'!Y7</f>
        <v>47409.708593063486</v>
      </c>
      <c r="Z12" s="1214">
        <f>(1+$D$3)*'R1 DRE'!Z7</f>
        <v>47454.582903137372</v>
      </c>
      <c r="AA12" s="1214">
        <f>(1+$D$3)*'R1 DRE'!AA7</f>
        <v>47499.457213211259</v>
      </c>
      <c r="AB12" s="1214">
        <f>(1+$D$3)*'R1 DRE'!AB7</f>
        <v>47555.550100803623</v>
      </c>
      <c r="AC12" s="1214">
        <f>(1+$D$3)*'R1 DRE'!AC7</f>
        <v>47611.642988395964</v>
      </c>
      <c r="AD12" s="1214">
        <f>(1+$D$3)*'R1 DRE'!AD7</f>
        <v>47662.126587229097</v>
      </c>
      <c r="AE12" s="1214">
        <f>(1+$D$3)*'R1 DRE'!AE7</f>
        <v>47718.219474821475</v>
      </c>
      <c r="AF12" s="1214">
        <f>(1+$D$3)*'R1 DRE'!AF7</f>
        <v>47757.48449613613</v>
      </c>
      <c r="AG12" s="1213">
        <f t="shared" si="1"/>
        <v>1248436.7011156008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2">-SUM(D14:D15)</f>
        <v>-234617.19486967311</v>
      </c>
      <c r="E13" s="1212">
        <f t="shared" si="2"/>
        <v>-255067.11447188459</v>
      </c>
      <c r="F13" s="1212">
        <f t="shared" si="2"/>
        <v>-266470.53804765607</v>
      </c>
      <c r="G13" s="1212">
        <f t="shared" si="2"/>
        <v>-277240.35544356558</v>
      </c>
      <c r="H13" s="1212">
        <f t="shared" si="2"/>
        <v>-303656.17729197163</v>
      </c>
      <c r="I13" s="1212">
        <f t="shared" si="2"/>
        <v>-305678.72157916345</v>
      </c>
      <c r="J13" s="1212">
        <f t="shared" si="2"/>
        <v>-370742.7283114891</v>
      </c>
      <c r="K13" s="1212">
        <f t="shared" si="2"/>
        <v>-381979.64211227366</v>
      </c>
      <c r="L13" s="1212">
        <f t="shared" si="2"/>
        <v>-390871.6818601776</v>
      </c>
      <c r="M13" s="1212">
        <f t="shared" si="2"/>
        <v>-409294.03072446468</v>
      </c>
      <c r="N13" s="1212">
        <f t="shared" si="2"/>
        <v>-437246.08244064084</v>
      </c>
      <c r="O13" s="1212">
        <f t="shared" si="2"/>
        <v>-437475.10538644646</v>
      </c>
      <c r="P13" s="1212">
        <f t="shared" si="2"/>
        <v>-438103.96274924447</v>
      </c>
      <c r="Q13" s="1212">
        <f t="shared" si="2"/>
        <v>-438732.82011204259</v>
      </c>
      <c r="R13" s="1212">
        <f t="shared" si="2"/>
        <v>-439309.27269460721</v>
      </c>
      <c r="S13" s="1212">
        <f t="shared" si="2"/>
        <v>-439833.32049693889</v>
      </c>
      <c r="T13" s="1212">
        <f t="shared" si="2"/>
        <v>-440357.36829927051</v>
      </c>
      <c r="U13" s="1212">
        <f t="shared" si="2"/>
        <v>-440881.41610160202</v>
      </c>
      <c r="V13" s="1212">
        <f t="shared" si="2"/>
        <v>-441353.0591237006</v>
      </c>
      <c r="W13" s="1212">
        <f t="shared" si="2"/>
        <v>-441929.5117062655</v>
      </c>
      <c r="X13" s="1212">
        <f t="shared" si="2"/>
        <v>-442505.96428883023</v>
      </c>
      <c r="Y13" s="1212">
        <f t="shared" si="2"/>
        <v>-442925.20253069553</v>
      </c>
      <c r="Z13" s="1212">
        <f t="shared" si="2"/>
        <v>-443344.44077256089</v>
      </c>
      <c r="AA13" s="1212">
        <f t="shared" si="2"/>
        <v>-443763.67901442607</v>
      </c>
      <c r="AB13" s="1212">
        <f t="shared" si="2"/>
        <v>-444287.72681675787</v>
      </c>
      <c r="AC13" s="1212">
        <f t="shared" si="2"/>
        <v>-444811.77461908938</v>
      </c>
      <c r="AD13" s="1212">
        <f t="shared" si="2"/>
        <v>-445283.41764118773</v>
      </c>
      <c r="AE13" s="1212">
        <f t="shared" si="2"/>
        <v>-445807.46544351953</v>
      </c>
      <c r="AF13" s="1212">
        <f t="shared" si="2"/>
        <v>-446174.29890515172</v>
      </c>
      <c r="AG13" s="1213">
        <f t="shared" si="1"/>
        <v>-11769166.038896019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3">0.076*G9</f>
        <v>227786.67041849715</v>
      </c>
      <c r="H14" s="1214">
        <f t="shared" si="3"/>
        <v>249490.48080205236</v>
      </c>
      <c r="I14" s="1214">
        <f t="shared" si="3"/>
        <v>251152.24691909645</v>
      </c>
      <c r="J14" s="1214">
        <f t="shared" si="3"/>
        <v>304610.24163970997</v>
      </c>
      <c r="K14" s="1214">
        <f t="shared" si="3"/>
        <v>313842.73297873297</v>
      </c>
      <c r="L14" s="1214">
        <f t="shared" si="3"/>
        <v>321148.62509592972</v>
      </c>
      <c r="M14" s="1214">
        <f t="shared" si="3"/>
        <v>336284.82524388452</v>
      </c>
      <c r="N14" s="1214">
        <f t="shared" si="3"/>
        <v>359250.83530258056</v>
      </c>
      <c r="O14" s="1214">
        <f t="shared" si="3"/>
        <v>359439.00550670194</v>
      </c>
      <c r="P14" s="1214">
        <f t="shared" si="3"/>
        <v>359955.68831289274</v>
      </c>
      <c r="Q14" s="1214">
        <f t="shared" si="3"/>
        <v>360472.37111908366</v>
      </c>
      <c r="R14" s="1214">
        <f t="shared" si="3"/>
        <v>360945.99702475837</v>
      </c>
      <c r="S14" s="1214">
        <f t="shared" si="3"/>
        <v>361376.56602991733</v>
      </c>
      <c r="T14" s="1214">
        <f t="shared" si="3"/>
        <v>361807.1350350763</v>
      </c>
      <c r="U14" s="1214">
        <f t="shared" si="3"/>
        <v>362237.70404023514</v>
      </c>
      <c r="V14" s="1214">
        <f t="shared" si="3"/>
        <v>362625.2161448783</v>
      </c>
      <c r="W14" s="1214">
        <f t="shared" si="3"/>
        <v>363098.8420505533</v>
      </c>
      <c r="X14" s="1214">
        <f t="shared" si="3"/>
        <v>363572.46795622807</v>
      </c>
      <c r="Y14" s="1214">
        <f t="shared" si="3"/>
        <v>363916.92316035525</v>
      </c>
      <c r="Z14" s="1214">
        <f t="shared" si="3"/>
        <v>364261.37836448249</v>
      </c>
      <c r="AA14" s="1214">
        <f t="shared" si="3"/>
        <v>364605.83356860955</v>
      </c>
      <c r="AB14" s="1214">
        <f t="shared" si="3"/>
        <v>365036.40257376863</v>
      </c>
      <c r="AC14" s="1214">
        <f t="shared" si="3"/>
        <v>365466.97157892748</v>
      </c>
      <c r="AD14" s="1214">
        <f t="shared" si="3"/>
        <v>365854.48368357046</v>
      </c>
      <c r="AE14" s="1214">
        <f t="shared" si="3"/>
        <v>366285.05268872954</v>
      </c>
      <c r="AF14" s="1214">
        <f t="shared" si="3"/>
        <v>366586.45099234086</v>
      </c>
      <c r="AG14" s="1213">
        <f t="shared" si="1"/>
        <v>9669809.3649041075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4">0.0165*G9</f>
        <v>49453.685025068458</v>
      </c>
      <c r="H15" s="1214">
        <f t="shared" si="4"/>
        <v>54165.696489919268</v>
      </c>
      <c r="I15" s="1214">
        <f t="shared" si="4"/>
        <v>54526.474660066997</v>
      </c>
      <c r="J15" s="1214">
        <f t="shared" si="4"/>
        <v>66132.486671779145</v>
      </c>
      <c r="K15" s="1214">
        <f t="shared" si="4"/>
        <v>68136.909133540714</v>
      </c>
      <c r="L15" s="1214">
        <f t="shared" si="4"/>
        <v>69723.0567642479</v>
      </c>
      <c r="M15" s="1214">
        <f t="shared" si="4"/>
        <v>73009.205480580189</v>
      </c>
      <c r="N15" s="1214">
        <f t="shared" si="4"/>
        <v>77995.247138060266</v>
      </c>
      <c r="O15" s="1214">
        <f t="shared" si="4"/>
        <v>78036.099879744506</v>
      </c>
      <c r="P15" s="1214">
        <f t="shared" si="4"/>
        <v>78148.274436351712</v>
      </c>
      <c r="Q15" s="1214">
        <f t="shared" si="4"/>
        <v>78260.448992958962</v>
      </c>
      <c r="R15" s="1214">
        <f t="shared" si="4"/>
        <v>78363.275669848852</v>
      </c>
      <c r="S15" s="1214">
        <f t="shared" si="4"/>
        <v>78456.754467021528</v>
      </c>
      <c r="T15" s="1214">
        <f t="shared" si="4"/>
        <v>78550.233264194205</v>
      </c>
      <c r="U15" s="1214">
        <f t="shared" si="4"/>
        <v>78643.712061366852</v>
      </c>
      <c r="V15" s="1214">
        <f t="shared" si="4"/>
        <v>78727.842978822271</v>
      </c>
      <c r="W15" s="1214">
        <f t="shared" si="4"/>
        <v>78830.669655712234</v>
      </c>
      <c r="X15" s="1214">
        <f t="shared" si="4"/>
        <v>78933.496332602153</v>
      </c>
      <c r="Y15" s="1214">
        <f t="shared" si="4"/>
        <v>79008.2793703403</v>
      </c>
      <c r="Z15" s="1214">
        <f t="shared" si="4"/>
        <v>79083.062408078433</v>
      </c>
      <c r="AA15" s="1214">
        <f t="shared" si="4"/>
        <v>79157.845445816551</v>
      </c>
      <c r="AB15" s="1214">
        <f t="shared" si="4"/>
        <v>79251.324242989242</v>
      </c>
      <c r="AC15" s="1214">
        <f t="shared" si="4"/>
        <v>79344.803040161889</v>
      </c>
      <c r="AD15" s="1214">
        <f t="shared" si="4"/>
        <v>79428.933957617279</v>
      </c>
      <c r="AE15" s="1214">
        <f t="shared" si="4"/>
        <v>79522.41275478997</v>
      </c>
      <c r="AF15" s="1214">
        <f t="shared" si="4"/>
        <v>79587.847912810845</v>
      </c>
      <c r="AG15" s="1213">
        <f t="shared" si="1"/>
        <v>2099356.6739919106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1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5">D9+D13+D16</f>
        <v>2348736.4306745757</v>
      </c>
      <c r="E17" s="1212">
        <f t="shared" si="5"/>
        <v>2607846.6711710477</v>
      </c>
      <c r="F17" s="1212">
        <f t="shared" si="5"/>
        <v>2673176.6493209945</v>
      </c>
      <c r="G17" s="1212">
        <f t="shared" si="5"/>
        <v>2744549.5840927921</v>
      </c>
      <c r="H17" s="1212">
        <f t="shared" si="5"/>
        <v>2993921.7168025109</v>
      </c>
      <c r="I17" s="1212">
        <f t="shared" si="5"/>
        <v>2978562.184096714</v>
      </c>
      <c r="J17" s="1212">
        <f t="shared" si="5"/>
        <v>3622302.386444245</v>
      </c>
      <c r="K17" s="1212">
        <f t="shared" si="5"/>
        <v>3744246.4793540798</v>
      </c>
      <c r="L17" s="1212">
        <f t="shared" si="5"/>
        <v>3830026.5732797231</v>
      </c>
      <c r="M17" s="1212">
        <f t="shared" si="5"/>
        <v>4005682.8562182095</v>
      </c>
      <c r="N17" s="1212">
        <f t="shared" si="5"/>
        <v>4274833.5742014041</v>
      </c>
      <c r="O17" s="1212">
        <f t="shared" si="5"/>
        <v>4291863.3702855026</v>
      </c>
      <c r="P17" s="1212">
        <f t="shared" si="5"/>
        <v>4297819.7651063679</v>
      </c>
      <c r="Q17" s="1212">
        <f t="shared" si="5"/>
        <v>4303989.3657197673</v>
      </c>
      <c r="R17" s="1212">
        <f t="shared" si="5"/>
        <v>4309672.7770231264</v>
      </c>
      <c r="S17" s="1212">
        <f t="shared" si="5"/>
        <v>4314842.054942037</v>
      </c>
      <c r="T17" s="1212">
        <f t="shared" si="5"/>
        <v>4319983.3887865338</v>
      </c>
      <c r="U17" s="1212">
        <f t="shared" si="5"/>
        <v>4325124.7226310298</v>
      </c>
      <c r="V17" s="1212">
        <f t="shared" si="5"/>
        <v>4329779.8671654928</v>
      </c>
      <c r="W17" s="1212">
        <f t="shared" si="5"/>
        <v>4335379.4462456116</v>
      </c>
      <c r="X17" s="1212">
        <f t="shared" si="5"/>
        <v>4341034.913474557</v>
      </c>
      <c r="Y17" s="1212">
        <f t="shared" si="5"/>
        <v>4345231.8127733991</v>
      </c>
      <c r="Z17" s="1212">
        <f t="shared" si="5"/>
        <v>4349344.8798489962</v>
      </c>
      <c r="AA17" s="1212">
        <f t="shared" si="5"/>
        <v>4353457.9469245933</v>
      </c>
      <c r="AB17" s="1212">
        <f t="shared" si="5"/>
        <v>4358543.3926202618</v>
      </c>
      <c r="AC17" s="1212">
        <f t="shared" si="5"/>
        <v>4363684.7264647577</v>
      </c>
      <c r="AD17" s="1212">
        <f t="shared" si="5"/>
        <v>4368339.870999218</v>
      </c>
      <c r="AE17" s="1212">
        <f t="shared" si="5"/>
        <v>4373453.2607693011</v>
      </c>
      <c r="AF17" s="1212">
        <f t="shared" si="5"/>
        <v>4377136.0266836938</v>
      </c>
      <c r="AG17" s="1213">
        <f t="shared" si="1"/>
        <v>115765637.91334265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6">D19+D20</f>
        <v>-369565.70052795502</v>
      </c>
      <c r="E18" s="1212">
        <f t="shared" si="6"/>
        <v>-372990.80023137957</v>
      </c>
      <c r="F18" s="1212">
        <f t="shared" si="6"/>
        <v>-365825.26800000004</v>
      </c>
      <c r="G18" s="1212">
        <f t="shared" si="6"/>
        <v>-364530.62316929037</v>
      </c>
      <c r="H18" s="1212">
        <f t="shared" si="6"/>
        <v>-386664.99739602057</v>
      </c>
      <c r="I18" s="1212">
        <f t="shared" si="6"/>
        <v>-368051.52738592168</v>
      </c>
      <c r="J18" s="1212">
        <f t="shared" si="6"/>
        <v>-369563.79094887548</v>
      </c>
      <c r="K18" s="1212">
        <f t="shared" si="6"/>
        <v>-374710.74257447</v>
      </c>
      <c r="L18" s="1212">
        <f t="shared" si="6"/>
        <v>-362395.04255699547</v>
      </c>
      <c r="M18" s="1212">
        <f t="shared" si="6"/>
        <v>-362481.33999999997</v>
      </c>
      <c r="N18" s="1212">
        <f t="shared" si="6"/>
        <v>-362490.34070234851</v>
      </c>
      <c r="O18" s="1212">
        <f t="shared" si="6"/>
        <v>-362536.99326174881</v>
      </c>
      <c r="P18" s="1212">
        <f t="shared" si="6"/>
        <v>-362583.70954566193</v>
      </c>
      <c r="Q18" s="1212">
        <f t="shared" si="6"/>
        <v>-362630.4975196523</v>
      </c>
      <c r="R18" s="1212">
        <f t="shared" si="6"/>
        <v>-362696.54000000004</v>
      </c>
      <c r="S18" s="1212">
        <f t="shared" si="6"/>
        <v>-362712.66594447545</v>
      </c>
      <c r="T18" s="1212">
        <f t="shared" si="6"/>
        <v>-362751.99800359353</v>
      </c>
      <c r="U18" s="1212">
        <f t="shared" si="6"/>
        <v>-362789.80886980717</v>
      </c>
      <c r="V18" s="1212">
        <f t="shared" si="6"/>
        <v>-362825.60956597811</v>
      </c>
      <c r="W18" s="1212">
        <f t="shared" si="6"/>
        <v>-362857.98</v>
      </c>
      <c r="X18" s="1212">
        <f t="shared" si="6"/>
        <v>-362911.24421609647</v>
      </c>
      <c r="Y18" s="1212">
        <f t="shared" si="6"/>
        <v>-362943.6906476072</v>
      </c>
      <c r="Z18" s="1212">
        <f t="shared" si="6"/>
        <v>-362978.11100334622</v>
      </c>
      <c r="AA18" s="1212">
        <f t="shared" si="6"/>
        <v>-363012.92385767959</v>
      </c>
      <c r="AB18" s="1212">
        <f t="shared" si="6"/>
        <v>-363097.00400000002</v>
      </c>
      <c r="AC18" s="1212">
        <f t="shared" si="6"/>
        <v>-363097.00762754027</v>
      </c>
      <c r="AD18" s="1212">
        <f t="shared" si="6"/>
        <v>-363135.18987865513</v>
      </c>
      <c r="AE18" s="1212">
        <f t="shared" si="6"/>
        <v>-363180.18092086643</v>
      </c>
      <c r="AF18" s="1212">
        <f t="shared" si="6"/>
        <v>-363220.56991323736</v>
      </c>
      <c r="AG18" s="1213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14">
        <f>'R1 DRE'!K14</f>
        <v>-222919.5</v>
      </c>
      <c r="L19" s="1214">
        <f>'R1 DRE'!L14</f>
        <v>-222919.5</v>
      </c>
      <c r="M19" s="1214">
        <f>'R1 DRE'!M14</f>
        <v>-222919.5</v>
      </c>
      <c r="N19" s="1214">
        <f>'R1 DRE'!N14</f>
        <v>-222919.5</v>
      </c>
      <c r="O19" s="1214">
        <f>'R1 DRE'!O14</f>
        <v>-222919.5</v>
      </c>
      <c r="P19" s="1214">
        <f>'R1 DRE'!P14</f>
        <v>-222919.5</v>
      </c>
      <c r="Q19" s="1214">
        <f>'R1 DRE'!Q14</f>
        <v>-222919.5</v>
      </c>
      <c r="R19" s="1214">
        <f>'R1 DRE'!R14</f>
        <v>-222919.5</v>
      </c>
      <c r="S19" s="1214">
        <f>'R1 DRE'!S14</f>
        <v>-222919.5</v>
      </c>
      <c r="T19" s="1214">
        <f>'R1 DRE'!T14</f>
        <v>-222919.5</v>
      </c>
      <c r="U19" s="1214">
        <f>'R1 DRE'!U14</f>
        <v>-222919.5</v>
      </c>
      <c r="V19" s="1214">
        <f>'R1 DRE'!V14</f>
        <v>-222919.5</v>
      </c>
      <c r="W19" s="1214">
        <f>'R1 DRE'!W14</f>
        <v>-222919.5</v>
      </c>
      <c r="X19" s="1214">
        <f>'R1 DRE'!X14</f>
        <v>-222919.5</v>
      </c>
      <c r="Y19" s="1214">
        <f>'R1 DRE'!Y14</f>
        <v>-222919.5</v>
      </c>
      <c r="Z19" s="1214">
        <f>'R1 DRE'!Z14</f>
        <v>-222919.5</v>
      </c>
      <c r="AA19" s="1214">
        <f>'R1 DRE'!AA14</f>
        <v>-222919.5</v>
      </c>
      <c r="AB19" s="1214">
        <f>'R1 DRE'!AB14</f>
        <v>-222919.5</v>
      </c>
      <c r="AC19" s="1214">
        <f>'R1 DRE'!AC14</f>
        <v>-222919.5</v>
      </c>
      <c r="AD19" s="1214">
        <f>'R1 DRE'!AD14</f>
        <v>-222919.5</v>
      </c>
      <c r="AE19" s="1214">
        <f>'R1 DRE'!AE14</f>
        <v>-222919.5</v>
      </c>
      <c r="AF19" s="1214">
        <f>'R1 DRE'!AF14</f>
        <v>-222919.5</v>
      </c>
      <c r="AG19" s="1215">
        <f t="shared" si="7"/>
        <v>-6687585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14">
        <f>'R1 DRE'!K15</f>
        <v>-151791.24257447</v>
      </c>
      <c r="L20" s="1214">
        <f>'R1 DRE'!L15</f>
        <v>-139475.54255699547</v>
      </c>
      <c r="M20" s="1214">
        <f>'R1 DRE'!M15</f>
        <v>-139561.84</v>
      </c>
      <c r="N20" s="1214">
        <f>'R1 DRE'!N15</f>
        <v>-139570.84070234848</v>
      </c>
      <c r="O20" s="1214">
        <f>'R1 DRE'!O15</f>
        <v>-139617.49326174878</v>
      </c>
      <c r="P20" s="1214">
        <f>'R1 DRE'!P15</f>
        <v>-139664.20954566196</v>
      </c>
      <c r="Q20" s="1214">
        <f>'R1 DRE'!Q15</f>
        <v>-139710.9975196523</v>
      </c>
      <c r="R20" s="1214">
        <f>'R1 DRE'!R15</f>
        <v>-139777.04</v>
      </c>
      <c r="S20" s="1214">
        <f>'R1 DRE'!S15</f>
        <v>-139793.16594447548</v>
      </c>
      <c r="T20" s="1214">
        <f>'R1 DRE'!T15</f>
        <v>-139832.49800359353</v>
      </c>
      <c r="U20" s="1214">
        <f>'R1 DRE'!U15</f>
        <v>-139870.30886980714</v>
      </c>
      <c r="V20" s="1214">
        <f>'R1 DRE'!V15</f>
        <v>-139906.10956597811</v>
      </c>
      <c r="W20" s="1214">
        <f>'R1 DRE'!W15</f>
        <v>-139938.48000000001</v>
      </c>
      <c r="X20" s="1214">
        <f>'R1 DRE'!X15</f>
        <v>-139991.74421609644</v>
      </c>
      <c r="Y20" s="1214">
        <f>'R1 DRE'!Y15</f>
        <v>-140024.19064760717</v>
      </c>
      <c r="Z20" s="1214">
        <f>'R1 DRE'!Z15</f>
        <v>-140058.61100334622</v>
      </c>
      <c r="AA20" s="1214">
        <f>'R1 DRE'!AA15</f>
        <v>-140093.42385767962</v>
      </c>
      <c r="AB20" s="1214">
        <f>'R1 DRE'!AB15</f>
        <v>-140177.50400000002</v>
      </c>
      <c r="AC20" s="1214">
        <f>'R1 DRE'!AC15</f>
        <v>-140177.5076275403</v>
      </c>
      <c r="AD20" s="1214">
        <f>'R1 DRE'!AD15</f>
        <v>-140215.68987865516</v>
      </c>
      <c r="AE20" s="1214">
        <f>'R1 DRE'!AE15</f>
        <v>-140260.68092086641</v>
      </c>
      <c r="AF20" s="1214">
        <f>'R1 DRE'!AF15</f>
        <v>-140301.06991323733</v>
      </c>
      <c r="AG20" s="1215">
        <f t="shared" si="7"/>
        <v>-4365715.761531245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8">D22+D23+D24+D25</f>
        <v>-1230326.5123160521</v>
      </c>
      <c r="E21" s="1212">
        <f t="shared" si="8"/>
        <v>-1446948.7737891045</v>
      </c>
      <c r="F21" s="1212">
        <f t="shared" si="8"/>
        <v>-1394729.7694170631</v>
      </c>
      <c r="G21" s="1212">
        <f t="shared" si="8"/>
        <v>-1372431.1735002932</v>
      </c>
      <c r="H21" s="1212">
        <f t="shared" si="8"/>
        <v>-1372166.094364627</v>
      </c>
      <c r="I21" s="1212">
        <f t="shared" si="8"/>
        <v>-1366336.9765073925</v>
      </c>
      <c r="J21" s="1212">
        <f t="shared" si="8"/>
        <v>-1415767.7581980655</v>
      </c>
      <c r="K21" s="1212">
        <f t="shared" si="8"/>
        <v>-1438887.6579406383</v>
      </c>
      <c r="L21" s="1212">
        <f t="shared" si="8"/>
        <v>-1459699.627200658</v>
      </c>
      <c r="M21" s="1212">
        <f t="shared" si="8"/>
        <v>-1460821.3663060188</v>
      </c>
      <c r="N21" s="1212">
        <f t="shared" si="8"/>
        <v>-1462045.7635940488</v>
      </c>
      <c r="O21" s="1212">
        <f t="shared" si="8"/>
        <v>-1462837.8367342837</v>
      </c>
      <c r="P21" s="1212">
        <f t="shared" si="8"/>
        <v>-1463629.9098745186</v>
      </c>
      <c r="Q21" s="1212">
        <f t="shared" si="8"/>
        <v>-1464421.9830147536</v>
      </c>
      <c r="R21" s="1212">
        <f t="shared" si="8"/>
        <v>-1465073.8827858537</v>
      </c>
      <c r="S21" s="1212">
        <f t="shared" si="8"/>
        <v>-1465719.7318946985</v>
      </c>
      <c r="T21" s="1212">
        <f t="shared" si="8"/>
        <v>-1466364.5052424648</v>
      </c>
      <c r="U21" s="1212">
        <f t="shared" si="8"/>
        <v>-1467109.2785902307</v>
      </c>
      <c r="V21" s="1212">
        <f t="shared" si="8"/>
        <v>-1467754.0519379969</v>
      </c>
      <c r="W21" s="1212">
        <f t="shared" si="8"/>
        <v>-1468528.6735217113</v>
      </c>
      <c r="X21" s="1212">
        <f t="shared" si="8"/>
        <v>-1469110.8389274431</v>
      </c>
      <c r="Y21" s="1212">
        <f t="shared" si="8"/>
        <v>-1469661.4495864294</v>
      </c>
      <c r="Z21" s="1212">
        <f t="shared" si="8"/>
        <v>-1470212.0602454157</v>
      </c>
      <c r="AA21" s="1212">
        <f t="shared" si="8"/>
        <v>-1470762.6709044017</v>
      </c>
      <c r="AB21" s="1212">
        <f t="shared" si="8"/>
        <v>-1471525.5055295818</v>
      </c>
      <c r="AC21" s="1212">
        <f t="shared" si="8"/>
        <v>-1472131.1268811177</v>
      </c>
      <c r="AD21" s="1212">
        <f t="shared" si="8"/>
        <v>-1472720.3189069431</v>
      </c>
      <c r="AE21" s="1212">
        <f t="shared" si="8"/>
        <v>-1473335.4033433762</v>
      </c>
      <c r="AF21" s="1212">
        <f t="shared" si="8"/>
        <v>-1473706.477100356</v>
      </c>
      <c r="AG21" s="1213">
        <f t="shared" si="7"/>
        <v>-42912486.362427264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14">
        <f>'R1 DRE'!K17</f>
        <v>-483412.18706838228</v>
      </c>
      <c r="L22" s="1214">
        <f>'R1 DRE'!L17</f>
        <v>-489442.6019993478</v>
      </c>
      <c r="M22" s="1214">
        <f>'R1 DRE'!M17</f>
        <v>-490208.95603734476</v>
      </c>
      <c r="N22" s="1214">
        <f>'R1 DRE'!N17</f>
        <v>-490920.5570620927</v>
      </c>
      <c r="O22" s="1214">
        <f>'R1 DRE'!O17</f>
        <v>-491624.76348001952</v>
      </c>
      <c r="P22" s="1214">
        <f>'R1 DRE'!P17</f>
        <v>-492328.96989794611</v>
      </c>
      <c r="Q22" s="1214">
        <f>'R1 DRE'!Q17</f>
        <v>-493033.1763158727</v>
      </c>
      <c r="R22" s="1214">
        <f>'R1 DRE'!R17</f>
        <v>-493612.01936735166</v>
      </c>
      <c r="S22" s="1214">
        <f>'R1 DRE'!S17</f>
        <v>-494186.17130256217</v>
      </c>
      <c r="T22" s="1214">
        <f>'R1 DRE'!T17</f>
        <v>-494759.40497506119</v>
      </c>
      <c r="U22" s="1214">
        <f>'R1 DRE'!U17</f>
        <v>-495332.63864756015</v>
      </c>
      <c r="V22" s="1214">
        <f>'R1 DRE'!V17</f>
        <v>-495905.87232005922</v>
      </c>
      <c r="W22" s="1214">
        <f>'R1 DRE'!W17</f>
        <v>-496595.18385540805</v>
      </c>
      <c r="X22" s="1214">
        <f>'R1 DRE'!X17</f>
        <v>-497111.64190462325</v>
      </c>
      <c r="Y22" s="1214">
        <f>'R1 DRE'!Y17</f>
        <v>-497601.16502573498</v>
      </c>
      <c r="Z22" s="1214">
        <f>'R1 DRE'!Z17</f>
        <v>-498090.68814684672</v>
      </c>
      <c r="AA22" s="1214">
        <f>'R1 DRE'!AA17</f>
        <v>-498580.2112679584</v>
      </c>
      <c r="AB22" s="1214">
        <f>'R1 DRE'!AB17</f>
        <v>-499259.46152948157</v>
      </c>
      <c r="AC22" s="1214">
        <f>'R1 DRE'!AC17</f>
        <v>-499796.89372358366</v>
      </c>
      <c r="AD22" s="1214">
        <f>'R1 DRE'!AD17</f>
        <v>-500320.77892254677</v>
      </c>
      <c r="AE22" s="1214">
        <f>'R1 DRE'!AE17</f>
        <v>-500867.7180223316</v>
      </c>
      <c r="AF22" s="1214">
        <f>'R1 DRE'!AF17</f>
        <v>-501196.36969936022</v>
      </c>
      <c r="AG22" s="1215">
        <f t="shared" si="7"/>
        <v>-14615965.937531687</v>
      </c>
      <c r="AI22" s="1216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'R1 DRE'!G18</f>
        <v>-14599.065768930037</v>
      </c>
      <c r="H23" s="1214">
        <f>'R1 DRE'!H18</f>
        <v>-15057.798117373999</v>
      </c>
      <c r="I23" s="1214">
        <f>'R1 DRE'!I18</f>
        <v>-15064.87973247327</v>
      </c>
      <c r="J23" s="1214">
        <f>'R1 DRE'!J18</f>
        <v>-15072.495622356846</v>
      </c>
      <c r="K23" s="1214">
        <f>'R1 DRE'!K18</f>
        <v>-15192.826253067265</v>
      </c>
      <c r="L23" s="1214">
        <f>'R1 DRE'!L18</f>
        <v>-15347.122255394672</v>
      </c>
      <c r="M23" s="1214">
        <f>'R1 DRE'!M18</f>
        <v>-15631.795172996442</v>
      </c>
      <c r="N23" s="1214">
        <f>'R1 DRE'!N18</f>
        <v>-16078.51764681211</v>
      </c>
      <c r="O23" s="1214">
        <f>'R1 DRE'!O18</f>
        <v>-16101.57888608165</v>
      </c>
      <c r="P23" s="1214">
        <f>'R1 DRE'!P18</f>
        <v>-16124.640125351203</v>
      </c>
      <c r="Q23" s="1214">
        <f>'R1 DRE'!Q18</f>
        <v>-16147.701364620751</v>
      </c>
      <c r="R23" s="1214">
        <f>'R1 DRE'!R18</f>
        <v>-16166.143434356836</v>
      </c>
      <c r="S23" s="1214">
        <f>'R1 DRE'!S18</f>
        <v>-16184.911737817845</v>
      </c>
      <c r="T23" s="1214">
        <f>'R1 DRE'!T18</f>
        <v>-16203.680041278865</v>
      </c>
      <c r="U23" s="1214">
        <f>'R1 DRE'!U18</f>
        <v>-16222.448344739874</v>
      </c>
      <c r="V23" s="1214">
        <f>'R1 DRE'!V18</f>
        <v>-16241.216648200887</v>
      </c>
      <c r="W23" s="1214">
        <f>'R1 DRE'!W18</f>
        <v>-16264.319313534354</v>
      </c>
      <c r="X23" s="1214">
        <f>'R1 DRE'!X18</f>
        <v>-16280.34814305808</v>
      </c>
      <c r="Y23" s="1214">
        <f>'R1 DRE'!Y18</f>
        <v>-16296.376972581807</v>
      </c>
      <c r="Z23" s="1214">
        <f>'R1 DRE'!Z18</f>
        <v>-16312.405802105539</v>
      </c>
      <c r="AA23" s="1214">
        <f>'R1 DRE'!AA18</f>
        <v>-16328.434631629261</v>
      </c>
      <c r="AB23" s="1214">
        <f>'R1 DRE'!AB18</f>
        <v>-16351.537299443749</v>
      </c>
      <c r="AC23" s="1214">
        <f>'R1 DRE'!AC18</f>
        <v>-16368.34292048484</v>
      </c>
      <c r="AD23" s="1214">
        <f>'R1 DRE'!AD18</f>
        <v>-16385.557657312653</v>
      </c>
      <c r="AE23" s="1214">
        <f>'R1 DRE'!AE18</f>
        <v>-16403.549179438916</v>
      </c>
      <c r="AF23" s="1214">
        <f>'R1 DRE'!AF18</f>
        <v>-16413.322066103116</v>
      </c>
      <c r="AG23" s="1215">
        <f t="shared" si="7"/>
        <v>-477854.6330623313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14">
        <f>'R1 DRE'!K19</f>
        <v>-553251.9</v>
      </c>
      <c r="L24" s="1214">
        <f>'R1 DRE'!L19</f>
        <v>-553251.9</v>
      </c>
      <c r="M24" s="1214">
        <f>'R1 DRE'!M19</f>
        <v>-553251.9</v>
      </c>
      <c r="N24" s="1214">
        <f>'R1 DRE'!N19</f>
        <v>-553251.9</v>
      </c>
      <c r="O24" s="1214">
        <f>'R1 DRE'!O19</f>
        <v>-553251.9</v>
      </c>
      <c r="P24" s="1214">
        <f>'R1 DRE'!P19</f>
        <v>-553251.9</v>
      </c>
      <c r="Q24" s="1214">
        <f>'R1 DRE'!Q19</f>
        <v>-553251.9</v>
      </c>
      <c r="R24" s="1214">
        <f>'R1 DRE'!R19</f>
        <v>-553251.9</v>
      </c>
      <c r="S24" s="1214">
        <f>'R1 DRE'!S19</f>
        <v>-553251.9</v>
      </c>
      <c r="T24" s="1214">
        <f>'R1 DRE'!T19</f>
        <v>-553251.9</v>
      </c>
      <c r="U24" s="1214">
        <f>'R1 DRE'!U19</f>
        <v>-553251.9</v>
      </c>
      <c r="V24" s="1214">
        <f>'R1 DRE'!V19</f>
        <v>-553251.9</v>
      </c>
      <c r="W24" s="1214">
        <f>'R1 DRE'!W19</f>
        <v>-553251.9</v>
      </c>
      <c r="X24" s="1214">
        <f>'R1 DRE'!X19</f>
        <v>-553251.9</v>
      </c>
      <c r="Y24" s="1214">
        <f>'R1 DRE'!Y19</f>
        <v>-553251.9</v>
      </c>
      <c r="Z24" s="1214">
        <f>'R1 DRE'!Z19</f>
        <v>-553251.9</v>
      </c>
      <c r="AA24" s="1214">
        <f>'R1 DRE'!AA19</f>
        <v>-553251.9</v>
      </c>
      <c r="AB24" s="1214">
        <f>'R1 DRE'!AB19</f>
        <v>-553251.9</v>
      </c>
      <c r="AC24" s="1214">
        <f>'R1 DRE'!AC19</f>
        <v>-553251.9</v>
      </c>
      <c r="AD24" s="1214">
        <f>'R1 DRE'!AD19</f>
        <v>-553251.9</v>
      </c>
      <c r="AE24" s="1214">
        <f>'R1 DRE'!AE19</f>
        <v>-553251.9</v>
      </c>
      <c r="AF24" s="1214">
        <f>'R1 DRE'!AF19</f>
        <v>-553251.9</v>
      </c>
      <c r="AG24" s="1215">
        <f t="shared" si="7"/>
        <v>-16472445.540000008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14">
        <f>'R1 DRE'!K20</f>
        <v>-387030.74461918877</v>
      </c>
      <c r="L25" s="1214">
        <f>'R1 DRE'!L20</f>
        <v>-401658.00294591533</v>
      </c>
      <c r="M25" s="1214">
        <f>'R1 DRE'!M20</f>
        <v>-401728.7150956777</v>
      </c>
      <c r="N25" s="1214">
        <f>'R1 DRE'!N20</f>
        <v>-401794.78888514388</v>
      </c>
      <c r="O25" s="1214">
        <f>'R1 DRE'!O20</f>
        <v>-401859.59436818259</v>
      </c>
      <c r="P25" s="1214">
        <f>'R1 DRE'!P20</f>
        <v>-401924.39985122136</v>
      </c>
      <c r="Q25" s="1214">
        <f>'R1 DRE'!Q20</f>
        <v>-401989.20533426024</v>
      </c>
      <c r="R25" s="1214">
        <f>'R1 DRE'!R20</f>
        <v>-402043.81998414529</v>
      </c>
      <c r="S25" s="1214">
        <f>'R1 DRE'!S20</f>
        <v>-402096.74885431846</v>
      </c>
      <c r="T25" s="1214">
        <f>'R1 DRE'!T20</f>
        <v>-402149.52022612467</v>
      </c>
      <c r="U25" s="1214">
        <f>'R1 DRE'!U20</f>
        <v>-402302.29159793071</v>
      </c>
      <c r="V25" s="1214">
        <f>'R1 DRE'!V20</f>
        <v>-402355.06296973687</v>
      </c>
      <c r="W25" s="1214">
        <f>'R1 DRE'!W20</f>
        <v>-402417.270352769</v>
      </c>
      <c r="X25" s="1214">
        <f>'R1 DRE'!X20</f>
        <v>-402466.94887976174</v>
      </c>
      <c r="Y25" s="1214">
        <f>'R1 DRE'!Y20</f>
        <v>-402512.00758811249</v>
      </c>
      <c r="Z25" s="1214">
        <f>'R1 DRE'!Z20</f>
        <v>-402557.06629646337</v>
      </c>
      <c r="AA25" s="1214">
        <f>'R1 DRE'!AA20</f>
        <v>-402602.12500481395</v>
      </c>
      <c r="AB25" s="1214">
        <f>'R1 DRE'!AB20</f>
        <v>-402662.60670065647</v>
      </c>
      <c r="AC25" s="1214">
        <f>'R1 DRE'!AC20</f>
        <v>-402713.99023704906</v>
      </c>
      <c r="AD25" s="1214">
        <f>'R1 DRE'!AD20</f>
        <v>-402762.08232708368</v>
      </c>
      <c r="AE25" s="1214">
        <f>'R1 DRE'!AE20</f>
        <v>-402812.23614160577</v>
      </c>
      <c r="AF25" s="1214">
        <f>'R1 DRE'!AF20</f>
        <v>-402844.88533489278</v>
      </c>
      <c r="AG25" s="1215">
        <f t="shared" si="7"/>
        <v>-11346220.251833245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9">-D17*0.01</f>
        <v>-23487.364306745756</v>
      </c>
      <c r="E26" s="1212">
        <f t="shared" si="9"/>
        <v>-26078.466711710476</v>
      </c>
      <c r="F26" s="1212">
        <f t="shared" si="9"/>
        <v>-26731.766493209947</v>
      </c>
      <c r="G26" s="1212">
        <f>-G17*0.0075</f>
        <v>-20584.12188069594</v>
      </c>
      <c r="H26" s="1212">
        <f>-H17*0.005</f>
        <v>-14969.608584012554</v>
      </c>
      <c r="I26" s="1212">
        <f t="shared" ref="I26:AF26" si="10">-I17*0.005</f>
        <v>-14892.810920483571</v>
      </c>
      <c r="J26" s="1212">
        <f t="shared" si="10"/>
        <v>-18111.511932221227</v>
      </c>
      <c r="K26" s="1212">
        <f t="shared" si="10"/>
        <v>-18721.2323967704</v>
      </c>
      <c r="L26" s="1212">
        <f t="shared" si="10"/>
        <v>-19150.132866398617</v>
      </c>
      <c r="M26" s="1212">
        <f t="shared" si="10"/>
        <v>-20028.414281091049</v>
      </c>
      <c r="N26" s="1212">
        <f t="shared" si="10"/>
        <v>-21374.167871007023</v>
      </c>
      <c r="O26" s="1212">
        <f t="shared" si="10"/>
        <v>-21459.316851427513</v>
      </c>
      <c r="P26" s="1212">
        <f t="shared" si="10"/>
        <v>-21489.098825531841</v>
      </c>
      <c r="Q26" s="1212">
        <f t="shared" si="10"/>
        <v>-21519.946828598837</v>
      </c>
      <c r="R26" s="1212">
        <f t="shared" si="10"/>
        <v>-21548.363885115632</v>
      </c>
      <c r="S26" s="1212">
        <f t="shared" si="10"/>
        <v>-21574.210274710185</v>
      </c>
      <c r="T26" s="1212">
        <f t="shared" si="10"/>
        <v>-21599.916943932669</v>
      </c>
      <c r="U26" s="1212">
        <f t="shared" si="10"/>
        <v>-21625.623613155149</v>
      </c>
      <c r="V26" s="1212">
        <f t="shared" si="10"/>
        <v>-21648.899335827464</v>
      </c>
      <c r="W26" s="1212">
        <f t="shared" si="10"/>
        <v>-21676.89723122806</v>
      </c>
      <c r="X26" s="1212">
        <f t="shared" si="10"/>
        <v>-21705.174567372786</v>
      </c>
      <c r="Y26" s="1212">
        <f t="shared" si="10"/>
        <v>-21726.159063866995</v>
      </c>
      <c r="Z26" s="1212">
        <f t="shared" si="10"/>
        <v>-21746.72439924498</v>
      </c>
      <c r="AA26" s="1212">
        <f t="shared" si="10"/>
        <v>-21767.289734622966</v>
      </c>
      <c r="AB26" s="1212">
        <f t="shared" si="10"/>
        <v>-21792.716963101309</v>
      </c>
      <c r="AC26" s="1212">
        <f t="shared" si="10"/>
        <v>-21818.423632323789</v>
      </c>
      <c r="AD26" s="1212">
        <f t="shared" si="10"/>
        <v>-21841.69935499609</v>
      </c>
      <c r="AE26" s="1212">
        <f t="shared" si="10"/>
        <v>-21867.266303846507</v>
      </c>
      <c r="AF26" s="1212">
        <f t="shared" si="10"/>
        <v>-21885.680133418467</v>
      </c>
      <c r="AG26" s="1213">
        <f>SUM(C26:AF26)</f>
        <v>-633253.71837888879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1">D17+D18+D21+D26</f>
        <v>725356.85352382285</v>
      </c>
      <c r="E27" s="1212">
        <f t="shared" si="11"/>
        <v>761828.63043885329</v>
      </c>
      <c r="F27" s="1212">
        <f t="shared" si="11"/>
        <v>885889.84541072126</v>
      </c>
      <c r="G27" s="1212">
        <f t="shared" si="11"/>
        <v>987003.66554251267</v>
      </c>
      <c r="H27" s="1212">
        <f t="shared" si="11"/>
        <v>1220121.0164578506</v>
      </c>
      <c r="I27" s="1212">
        <f t="shared" si="11"/>
        <v>1229280.8692829162</v>
      </c>
      <c r="J27" s="1212">
        <f t="shared" si="11"/>
        <v>1818859.3253650826</v>
      </c>
      <c r="K27" s="1212">
        <f t="shared" si="11"/>
        <v>1911926.8464422009</v>
      </c>
      <c r="L27" s="1212">
        <f t="shared" si="11"/>
        <v>1988781.7706556709</v>
      </c>
      <c r="M27" s="1212">
        <f t="shared" si="11"/>
        <v>2162351.7356310994</v>
      </c>
      <c r="N27" s="1212">
        <f t="shared" si="11"/>
        <v>2428923.3020339995</v>
      </c>
      <c r="O27" s="1212">
        <f t="shared" si="11"/>
        <v>2445029.2234380427</v>
      </c>
      <c r="P27" s="1212">
        <f t="shared" si="11"/>
        <v>2450117.0468606558</v>
      </c>
      <c r="Q27" s="1212">
        <f t="shared" si="11"/>
        <v>2455416.9383567628</v>
      </c>
      <c r="R27" s="1212">
        <f t="shared" si="11"/>
        <v>2460353.9903521566</v>
      </c>
      <c r="S27" s="1212">
        <f t="shared" si="11"/>
        <v>2464835.4468281525</v>
      </c>
      <c r="T27" s="1212">
        <f t="shared" si="11"/>
        <v>2469266.9685965423</v>
      </c>
      <c r="U27" s="1212">
        <f t="shared" si="11"/>
        <v>2473600.011557837</v>
      </c>
      <c r="V27" s="1212">
        <f t="shared" si="11"/>
        <v>2477551.3063256904</v>
      </c>
      <c r="W27" s="1212">
        <f t="shared" si="11"/>
        <v>2482315.8954926725</v>
      </c>
      <c r="X27" s="1212">
        <f t="shared" si="11"/>
        <v>2487307.6557636443</v>
      </c>
      <c r="Y27" s="1212">
        <f t="shared" si="11"/>
        <v>2490900.5134754959</v>
      </c>
      <c r="Z27" s="1212">
        <f t="shared" si="11"/>
        <v>2494407.9842009894</v>
      </c>
      <c r="AA27" s="1212">
        <f t="shared" si="11"/>
        <v>2497915.0624278891</v>
      </c>
      <c r="AB27" s="1212">
        <f t="shared" si="11"/>
        <v>2502128.1661275784</v>
      </c>
      <c r="AC27" s="1212">
        <f t="shared" si="11"/>
        <v>2506638.1683237758</v>
      </c>
      <c r="AD27" s="1212">
        <f t="shared" si="11"/>
        <v>2510642.662858624</v>
      </c>
      <c r="AE27" s="1212">
        <f t="shared" si="11"/>
        <v>2515070.4102012119</v>
      </c>
      <c r="AF27" s="1212">
        <f t="shared" si="11"/>
        <v>2518323.2995366817</v>
      </c>
      <c r="AG27" s="1213">
        <f t="shared" ref="AG27:AG33" si="12">SUM(C27:AF27)</f>
        <v>61166597.071005255</v>
      </c>
    </row>
    <row r="28" spans="1:36" s="89" customFormat="1" ht="20.25" customHeight="1">
      <c r="B28" s="468" t="s">
        <v>221</v>
      </c>
      <c r="C28" s="1212"/>
      <c r="D28" s="1212">
        <f>-'R1 DEPR'!AH11</f>
        <v>-19422.835502517231</v>
      </c>
      <c r="E28" s="1212">
        <f>-'R1 DEPR'!AH12</f>
        <v>-31767.091368703179</v>
      </c>
      <c r="F28" s="1212">
        <f>-'R1 DEPR'!AH13</f>
        <v>-42964.776963557146</v>
      </c>
      <c r="G28" s="1212">
        <f>-'R1 DEPR'!AH14</f>
        <v>-96570.054420457061</v>
      </c>
      <c r="H28" s="1212">
        <f>-'R1 DEPR'!AH15</f>
        <v>-304965.65942868049</v>
      </c>
      <c r="I28" s="1212">
        <f>-'R1 DEPR'!AH16</f>
        <v>-335294.75656698272</v>
      </c>
      <c r="J28" s="1212">
        <f>-'R1 DEPR'!AH17</f>
        <v>-409777.60554813145</v>
      </c>
      <c r="K28" s="1212">
        <f>-'R1 DEPR'!AH18</f>
        <v>-463947.68852428254</v>
      </c>
      <c r="L28" s="1212">
        <f>-'R1 DEPR'!AH19</f>
        <v>-555574.63704043371</v>
      </c>
      <c r="M28" s="1212">
        <f>-'R1 DEPR'!AH20</f>
        <v>-605563.54056842171</v>
      </c>
      <c r="N28" s="1212">
        <f>-'R1 DEPR'!AH21</f>
        <v>-745221.7237064041</v>
      </c>
      <c r="O28" s="1212">
        <f>-'R1 DEPR'!AH22</f>
        <v>-875944.51290035935</v>
      </c>
      <c r="P28" s="1212">
        <f>-'R1 DEPR'!AH23</f>
        <v>-879967.26312107325</v>
      </c>
      <c r="Q28" s="1212">
        <f>-'R1 DEPR'!AH24</f>
        <v>-884241.43523058179</v>
      </c>
      <c r="R28" s="1212">
        <f>-'R1 DEPR'!AH25</f>
        <v>-888800.5521473909</v>
      </c>
      <c r="S28" s="1212">
        <f>-'R1 DEPR'!AH26</f>
        <v>-893307.60598682927</v>
      </c>
      <c r="T28" s="1212">
        <f>-'R1 DEPR'!AH27</f>
        <v>-898161.35627545521</v>
      </c>
      <c r="U28" s="1212">
        <f>-'R1 DEPR'!AH28</f>
        <v>-903419.58575479989</v>
      </c>
      <c r="V28" s="1212">
        <f>-'R1 DEPR'!AH29</f>
        <v>-909155.83609590319</v>
      </c>
      <c r="W28" s="1212">
        <f>-'R1 DEPR'!AH30</f>
        <v>-915465.71147111687</v>
      </c>
      <c r="X28" s="1212">
        <f>-'R1 DEPR'!AH31</f>
        <v>-923109.46188802097</v>
      </c>
      <c r="Y28" s="1212">
        <f>-'R1 DEPR'!AH32</f>
        <v>-930539.30610703805</v>
      </c>
      <c r="Z28" s="1212">
        <f>-'R1 DEPR'!AH33</f>
        <v>-939030.55664305761</v>
      </c>
      <c r="AA28" s="1212">
        <f>-'R1 DEPR'!AH34</f>
        <v>-948937.01560174709</v>
      </c>
      <c r="AB28" s="1212">
        <f>-'R1 DEPR'!AH35</f>
        <v>-960824.76635217445</v>
      </c>
      <c r="AC28" s="1212">
        <f>-'R1 DEPR'!AH36</f>
        <v>-978023.20479020861</v>
      </c>
      <c r="AD28" s="1212">
        <f>-'R1 DEPR'!AH37</f>
        <v>-998107.45604092081</v>
      </c>
      <c r="AE28" s="1212">
        <f>-'R1 DEPR'!AH38</f>
        <v>-1028640.8329169891</v>
      </c>
      <c r="AF28" s="1212">
        <f>-'R1 DEPR'!AH39</f>
        <v>-1150372.8346658584</v>
      </c>
      <c r="AG28" s="1213">
        <f t="shared" si="12"/>
        <v>-20517119.663628098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3">D27+D28</f>
        <v>705934.01802130567</v>
      </c>
      <c r="E29" s="1212">
        <f t="shared" si="13"/>
        <v>730061.53907015012</v>
      </c>
      <c r="F29" s="1212">
        <f t="shared" si="13"/>
        <v>842925.06844716414</v>
      </c>
      <c r="G29" s="1212">
        <f t="shared" si="13"/>
        <v>890433.61112205556</v>
      </c>
      <c r="H29" s="1212">
        <f t="shared" si="13"/>
        <v>915155.35702917003</v>
      </c>
      <c r="I29" s="1212">
        <f t="shared" si="13"/>
        <v>893986.11271593347</v>
      </c>
      <c r="J29" s="1212">
        <f t="shared" si="13"/>
        <v>1409081.7198169511</v>
      </c>
      <c r="K29" s="1212">
        <f t="shared" si="13"/>
        <v>1447979.1579179184</v>
      </c>
      <c r="L29" s="1212">
        <f t="shared" si="13"/>
        <v>1433207.1336152372</v>
      </c>
      <c r="M29" s="1212">
        <f t="shared" si="13"/>
        <v>1556788.1950626778</v>
      </c>
      <c r="N29" s="1212">
        <f t="shared" si="13"/>
        <v>1683701.5783275953</v>
      </c>
      <c r="O29" s="1212">
        <f t="shared" si="13"/>
        <v>1569084.7105376832</v>
      </c>
      <c r="P29" s="1212">
        <f t="shared" si="13"/>
        <v>1570149.7837395826</v>
      </c>
      <c r="Q29" s="1212">
        <f t="shared" si="13"/>
        <v>1571175.503126181</v>
      </c>
      <c r="R29" s="1212">
        <f t="shared" si="13"/>
        <v>1571553.4382047658</v>
      </c>
      <c r="S29" s="1212">
        <f t="shared" si="13"/>
        <v>1571527.8408413231</v>
      </c>
      <c r="T29" s="1212">
        <f t="shared" si="13"/>
        <v>1571105.6123210872</v>
      </c>
      <c r="U29" s="1212">
        <f t="shared" si="13"/>
        <v>1570180.4258030371</v>
      </c>
      <c r="V29" s="1212">
        <f t="shared" si="13"/>
        <v>1568395.4702297873</v>
      </c>
      <c r="W29" s="1212">
        <f t="shared" si="13"/>
        <v>1566850.1840215556</v>
      </c>
      <c r="X29" s="1212">
        <f t="shared" si="13"/>
        <v>1564198.1938756234</v>
      </c>
      <c r="Y29" s="1212">
        <f t="shared" si="13"/>
        <v>1560361.2073684577</v>
      </c>
      <c r="Z29" s="1212">
        <f t="shared" si="13"/>
        <v>1555377.4275579317</v>
      </c>
      <c r="AA29" s="1212">
        <f t="shared" si="13"/>
        <v>1548978.0468261419</v>
      </c>
      <c r="AB29" s="1212">
        <f t="shared" si="13"/>
        <v>1541303.399775404</v>
      </c>
      <c r="AC29" s="1212">
        <f t="shared" si="13"/>
        <v>1528614.9635335673</v>
      </c>
      <c r="AD29" s="1212">
        <f t="shared" si="13"/>
        <v>1512535.2068177033</v>
      </c>
      <c r="AE29" s="1212">
        <f t="shared" si="13"/>
        <v>1486429.5772842229</v>
      </c>
      <c r="AF29" s="1212">
        <f t="shared" si="13"/>
        <v>1367950.4648708233</v>
      </c>
      <c r="AG29" s="1213">
        <f t="shared" si="12"/>
        <v>40649477.407377146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4">D31+D32</f>
        <v>-216017.56612724392</v>
      </c>
      <c r="E30" s="1212">
        <f t="shared" si="14"/>
        <v>-224220.92328385104</v>
      </c>
      <c r="F30" s="1212">
        <f t="shared" si="14"/>
        <v>-262594.52327203582</v>
      </c>
      <c r="G30" s="1212">
        <f t="shared" si="14"/>
        <v>-278747.42778149887</v>
      </c>
      <c r="H30" s="1212">
        <f t="shared" si="14"/>
        <v>-287152.82138991781</v>
      </c>
      <c r="I30" s="1212">
        <f t="shared" si="14"/>
        <v>-279955.27832341741</v>
      </c>
      <c r="J30" s="1212">
        <f t="shared" si="14"/>
        <v>-455087.78473776334</v>
      </c>
      <c r="K30" s="1212">
        <f t="shared" si="14"/>
        <v>-468312.91369209223</v>
      </c>
      <c r="L30" s="1212">
        <f t="shared" si="14"/>
        <v>-463290.42542918061</v>
      </c>
      <c r="M30" s="1212">
        <f t="shared" si="14"/>
        <v>-505307.98632131045</v>
      </c>
      <c r="N30" s="1212">
        <f t="shared" si="14"/>
        <v>-548458.53663138242</v>
      </c>
      <c r="O30" s="1212">
        <f t="shared" si="14"/>
        <v>-509488.80158281233</v>
      </c>
      <c r="P30" s="1212">
        <f t="shared" si="14"/>
        <v>-509850.92647145805</v>
      </c>
      <c r="Q30" s="1212">
        <f t="shared" si="14"/>
        <v>-510199.6710629015</v>
      </c>
      <c r="R30" s="1212">
        <f t="shared" si="14"/>
        <v>-510328.1689896204</v>
      </c>
      <c r="S30" s="1212">
        <f t="shared" si="14"/>
        <v>-510319.4658860499</v>
      </c>
      <c r="T30" s="1212">
        <f t="shared" si="14"/>
        <v>-510175.9081891696</v>
      </c>
      <c r="U30" s="1212">
        <f t="shared" si="14"/>
        <v>-509861.34477303259</v>
      </c>
      <c r="V30" s="1212">
        <f t="shared" si="14"/>
        <v>-509254.45987812767</v>
      </c>
      <c r="W30" s="1212">
        <f t="shared" si="14"/>
        <v>-508729.06256732892</v>
      </c>
      <c r="X30" s="1212">
        <f t="shared" si="14"/>
        <v>-507827.38591771194</v>
      </c>
      <c r="Y30" s="1212">
        <f t="shared" si="14"/>
        <v>-506522.81050527561</v>
      </c>
      <c r="Z30" s="1212">
        <f t="shared" si="14"/>
        <v>-504828.32536969683</v>
      </c>
      <c r="AA30" s="1212">
        <f t="shared" si="14"/>
        <v>-502652.53592088824</v>
      </c>
      <c r="AB30" s="1212">
        <f t="shared" si="14"/>
        <v>-500043.15592363733</v>
      </c>
      <c r="AC30" s="1212">
        <f t="shared" si="14"/>
        <v>-495729.0876014129</v>
      </c>
      <c r="AD30" s="1212">
        <f t="shared" si="14"/>
        <v>-490261.97031801916</v>
      </c>
      <c r="AE30" s="1212">
        <f t="shared" si="14"/>
        <v>-481386.05627663579</v>
      </c>
      <c r="AF30" s="1212">
        <f t="shared" si="14"/>
        <v>-441103.15805607993</v>
      </c>
      <c r="AG30" s="1213">
        <f t="shared" si="12"/>
        <v>-13007708.48227955</v>
      </c>
    </row>
    <row r="31" spans="1:36" s="89" customFormat="1" ht="20.25" customHeight="1">
      <c r="B31" s="477" t="s">
        <v>224</v>
      </c>
      <c r="C31" s="1214"/>
      <c r="D31" s="1214">
        <f t="shared" ref="D31:AF31" si="15">-((D29*0.15)+((D29-240000)*0.1))</f>
        <v>-152483.50450532642</v>
      </c>
      <c r="E31" s="1214">
        <f t="shared" si="15"/>
        <v>-158515.38476753753</v>
      </c>
      <c r="F31" s="1214">
        <f t="shared" si="15"/>
        <v>-186731.26711179104</v>
      </c>
      <c r="G31" s="1214">
        <f t="shared" si="15"/>
        <v>-198608.40278051386</v>
      </c>
      <c r="H31" s="1214">
        <f t="shared" si="15"/>
        <v>-204788.83925729251</v>
      </c>
      <c r="I31" s="1214">
        <f t="shared" si="15"/>
        <v>-199496.52817898337</v>
      </c>
      <c r="J31" s="1214">
        <f t="shared" si="15"/>
        <v>-328270.42995423777</v>
      </c>
      <c r="K31" s="1214">
        <f t="shared" si="15"/>
        <v>-337994.7894794796</v>
      </c>
      <c r="L31" s="1214">
        <f t="shared" si="15"/>
        <v>-334301.7834038093</v>
      </c>
      <c r="M31" s="1214">
        <f t="shared" si="15"/>
        <v>-365197.04876566946</v>
      </c>
      <c r="N31" s="1214">
        <f t="shared" si="15"/>
        <v>-396925.39458189881</v>
      </c>
      <c r="O31" s="1214">
        <f t="shared" si="15"/>
        <v>-368271.1776344208</v>
      </c>
      <c r="P31" s="1214">
        <f t="shared" si="15"/>
        <v>-368537.44593489566</v>
      </c>
      <c r="Q31" s="1214">
        <f t="shared" si="15"/>
        <v>-368793.87578154524</v>
      </c>
      <c r="R31" s="1214">
        <f t="shared" si="15"/>
        <v>-368888.35955119145</v>
      </c>
      <c r="S31" s="1214">
        <f t="shared" si="15"/>
        <v>-368881.96021033078</v>
      </c>
      <c r="T31" s="1214">
        <f t="shared" si="15"/>
        <v>-368776.40308027179</v>
      </c>
      <c r="U31" s="1214">
        <f t="shared" si="15"/>
        <v>-368545.10645075928</v>
      </c>
      <c r="V31" s="1214">
        <f t="shared" si="15"/>
        <v>-368098.86755744682</v>
      </c>
      <c r="W31" s="1214">
        <f t="shared" si="15"/>
        <v>-367712.5460053889</v>
      </c>
      <c r="X31" s="1214">
        <f t="shared" si="15"/>
        <v>-367049.54846890585</v>
      </c>
      <c r="Y31" s="1214">
        <f t="shared" si="15"/>
        <v>-366090.30184211442</v>
      </c>
      <c r="Z31" s="1214">
        <f t="shared" si="15"/>
        <v>-364844.35688948294</v>
      </c>
      <c r="AA31" s="1214">
        <f t="shared" si="15"/>
        <v>-363244.51170653547</v>
      </c>
      <c r="AB31" s="1214">
        <f t="shared" si="15"/>
        <v>-361325.849943851</v>
      </c>
      <c r="AC31" s="1214">
        <f t="shared" si="15"/>
        <v>-358153.74088339182</v>
      </c>
      <c r="AD31" s="1214">
        <f t="shared" si="15"/>
        <v>-354133.80170442583</v>
      </c>
      <c r="AE31" s="1214">
        <f t="shared" si="15"/>
        <v>-347607.39432105573</v>
      </c>
      <c r="AF31" s="1214">
        <f t="shared" si="15"/>
        <v>-317987.61621770583</v>
      </c>
      <c r="AG31" s="1213">
        <f t="shared" si="12"/>
        <v>-9380256.236970257</v>
      </c>
    </row>
    <row r="32" spans="1:36" s="89" customFormat="1" ht="20.25" customHeight="1">
      <c r="B32" s="477" t="s">
        <v>225</v>
      </c>
      <c r="C32" s="1214"/>
      <c r="D32" s="1214">
        <f t="shared" ref="D32:AF32" si="16">-(D29*0.09)</f>
        <v>-63534.061621917506</v>
      </c>
      <c r="E32" s="1214">
        <f t="shared" si="16"/>
        <v>-65705.538516313507</v>
      </c>
      <c r="F32" s="1214">
        <f t="shared" si="16"/>
        <v>-75863.256160244768</v>
      </c>
      <c r="G32" s="1214">
        <f t="shared" si="16"/>
        <v>-80139.025000984999</v>
      </c>
      <c r="H32" s="1214">
        <f t="shared" si="16"/>
        <v>-82363.9821326253</v>
      </c>
      <c r="I32" s="1214">
        <f t="shared" si="16"/>
        <v>-80458.750144434016</v>
      </c>
      <c r="J32" s="1214">
        <f t="shared" si="16"/>
        <v>-126817.35478352559</v>
      </c>
      <c r="K32" s="1214">
        <f t="shared" si="16"/>
        <v>-130318.12421261265</v>
      </c>
      <c r="L32" s="1214">
        <f t="shared" si="16"/>
        <v>-128988.64202537134</v>
      </c>
      <c r="M32" s="1214">
        <f t="shared" si="16"/>
        <v>-140110.93755564099</v>
      </c>
      <c r="N32" s="1214">
        <f t="shared" si="16"/>
        <v>-151533.14204948358</v>
      </c>
      <c r="O32" s="1214">
        <f t="shared" si="16"/>
        <v>-141217.6239483915</v>
      </c>
      <c r="P32" s="1214">
        <f t="shared" si="16"/>
        <v>-141313.48053656242</v>
      </c>
      <c r="Q32" s="1214">
        <f t="shared" si="16"/>
        <v>-141405.79528135629</v>
      </c>
      <c r="R32" s="1214">
        <f t="shared" si="16"/>
        <v>-141439.80943842893</v>
      </c>
      <c r="S32" s="1214">
        <f t="shared" si="16"/>
        <v>-141437.50567571909</v>
      </c>
      <c r="T32" s="1214">
        <f t="shared" si="16"/>
        <v>-141399.50510889784</v>
      </c>
      <c r="U32" s="1214">
        <f t="shared" si="16"/>
        <v>-141316.23832227333</v>
      </c>
      <c r="V32" s="1214">
        <f t="shared" si="16"/>
        <v>-141155.59232068085</v>
      </c>
      <c r="W32" s="1214">
        <f t="shared" si="16"/>
        <v>-141016.51656193999</v>
      </c>
      <c r="X32" s="1214">
        <f t="shared" si="16"/>
        <v>-140777.83744880609</v>
      </c>
      <c r="Y32" s="1214">
        <f t="shared" si="16"/>
        <v>-140432.50866316119</v>
      </c>
      <c r="Z32" s="1214">
        <f t="shared" si="16"/>
        <v>-139983.96848021387</v>
      </c>
      <c r="AA32" s="1214">
        <f t="shared" si="16"/>
        <v>-139408.02421435277</v>
      </c>
      <c r="AB32" s="1214">
        <f t="shared" si="16"/>
        <v>-138717.30597978635</v>
      </c>
      <c r="AC32" s="1214">
        <f t="shared" si="16"/>
        <v>-137575.34671802106</v>
      </c>
      <c r="AD32" s="1214">
        <f t="shared" si="16"/>
        <v>-136128.1686135933</v>
      </c>
      <c r="AE32" s="1214">
        <f t="shared" si="16"/>
        <v>-133778.66195558006</v>
      </c>
      <c r="AF32" s="1214">
        <f t="shared" si="16"/>
        <v>-123115.54183837409</v>
      </c>
      <c r="AG32" s="1213">
        <f t="shared" si="12"/>
        <v>-3627452.2453092933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7">D29+D30</f>
        <v>489916.45189406176</v>
      </c>
      <c r="E33" s="1219">
        <f t="shared" si="17"/>
        <v>505840.61578629911</v>
      </c>
      <c r="F33" s="1219">
        <f t="shared" si="17"/>
        <v>580330.54517512838</v>
      </c>
      <c r="G33" s="1219">
        <f t="shared" si="17"/>
        <v>611686.18334055669</v>
      </c>
      <c r="H33" s="1219">
        <f t="shared" si="17"/>
        <v>628002.53563925228</v>
      </c>
      <c r="I33" s="1219">
        <f t="shared" si="17"/>
        <v>614030.83439251606</v>
      </c>
      <c r="J33" s="1219">
        <f t="shared" si="17"/>
        <v>953993.93507918774</v>
      </c>
      <c r="K33" s="1219">
        <f t="shared" si="17"/>
        <v>979666.24422582611</v>
      </c>
      <c r="L33" s="1219">
        <f t="shared" si="17"/>
        <v>969916.70818605658</v>
      </c>
      <c r="M33" s="1219">
        <f t="shared" si="17"/>
        <v>1051480.2087413673</v>
      </c>
      <c r="N33" s="1219">
        <f t="shared" si="17"/>
        <v>1135243.0416962127</v>
      </c>
      <c r="O33" s="1219">
        <f t="shared" si="17"/>
        <v>1059595.9089548709</v>
      </c>
      <c r="P33" s="1219">
        <f t="shared" si="17"/>
        <v>1060298.8572681246</v>
      </c>
      <c r="Q33" s="1219">
        <f t="shared" si="17"/>
        <v>1060975.8320632796</v>
      </c>
      <c r="R33" s="1219">
        <f t="shared" si="17"/>
        <v>1061225.2692151454</v>
      </c>
      <c r="S33" s="1219">
        <f t="shared" si="17"/>
        <v>1061208.3749552732</v>
      </c>
      <c r="T33" s="1219">
        <f t="shared" si="17"/>
        <v>1060929.7041319176</v>
      </c>
      <c r="U33" s="1219">
        <f t="shared" si="17"/>
        <v>1060319.0810300047</v>
      </c>
      <c r="V33" s="1219">
        <f t="shared" si="17"/>
        <v>1059141.0103516597</v>
      </c>
      <c r="W33" s="1219">
        <f t="shared" si="17"/>
        <v>1058121.1214542268</v>
      </c>
      <c r="X33" s="1219">
        <f t="shared" si="17"/>
        <v>1056370.8079579114</v>
      </c>
      <c r="Y33" s="1219">
        <f t="shared" si="17"/>
        <v>1053838.3968631821</v>
      </c>
      <c r="Z33" s="1219">
        <f t="shared" si="17"/>
        <v>1050549.1021882349</v>
      </c>
      <c r="AA33" s="1219">
        <f t="shared" si="17"/>
        <v>1046325.5109052537</v>
      </c>
      <c r="AB33" s="1219">
        <f t="shared" si="17"/>
        <v>1041260.2438517667</v>
      </c>
      <c r="AC33" s="1219">
        <f t="shared" si="17"/>
        <v>1032885.8759321544</v>
      </c>
      <c r="AD33" s="1219">
        <f t="shared" si="17"/>
        <v>1022273.2364996842</v>
      </c>
      <c r="AE33" s="1219">
        <f t="shared" si="17"/>
        <v>1005043.5210075872</v>
      </c>
      <c r="AF33" s="1219">
        <f t="shared" si="17"/>
        <v>926847.30681474344</v>
      </c>
      <c r="AG33" s="1220">
        <f t="shared" si="12"/>
        <v>27641768.925097603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137273.30355437551</v>
      </c>
      <c r="I35" s="135">
        <f t="shared" si="18"/>
        <v>134097.91690739003</v>
      </c>
      <c r="J35" s="135">
        <f t="shared" si="18"/>
        <v>211362.25797254266</v>
      </c>
      <c r="K35" s="135">
        <f t="shared" si="18"/>
        <v>217196.87368768777</v>
      </c>
      <c r="L35" s="135">
        <f t="shared" si="18"/>
        <v>214981.07004228557</v>
      </c>
      <c r="M35" s="135">
        <f t="shared" si="18"/>
        <v>233518.22925940168</v>
      </c>
      <c r="N35" s="135">
        <f t="shared" si="18"/>
        <v>252555.23674913927</v>
      </c>
      <c r="O35" s="135">
        <f t="shared" si="18"/>
        <v>235362.70658065248</v>
      </c>
      <c r="P35" s="135">
        <f t="shared" si="18"/>
        <v>235522.4675609374</v>
      </c>
      <c r="Q35" s="135">
        <f t="shared" si="18"/>
        <v>235676.32546892713</v>
      </c>
      <c r="R35" s="135">
        <f t="shared" si="18"/>
        <v>235733.01573071486</v>
      </c>
      <c r="S35" s="135">
        <f t="shared" si="18"/>
        <v>235729.17612619846</v>
      </c>
      <c r="T35" s="135">
        <f t="shared" si="18"/>
        <v>235665.84184816308</v>
      </c>
      <c r="U35" s="135">
        <f t="shared" si="18"/>
        <v>235527.06387045557</v>
      </c>
      <c r="V35" s="135">
        <f t="shared" si="18"/>
        <v>235259.32053446808</v>
      </c>
      <c r="W35" s="135">
        <f t="shared" si="18"/>
        <v>235027.52760323332</v>
      </c>
      <c r="X35" s="135">
        <f t="shared" si="18"/>
        <v>234629.72908134351</v>
      </c>
      <c r="Y35" s="135">
        <f t="shared" si="18"/>
        <v>234054.18110526865</v>
      </c>
      <c r="Z35" s="135">
        <f t="shared" si="18"/>
        <v>233306.61413368976</v>
      </c>
      <c r="AA35" s="135">
        <f t="shared" si="18"/>
        <v>232346.70702392128</v>
      </c>
      <c r="AB35" s="135">
        <f t="shared" si="18"/>
        <v>231195.50996631061</v>
      </c>
      <c r="AC35" s="135">
        <f t="shared" si="18"/>
        <v>229292.2445300351</v>
      </c>
      <c r="AD35" s="135">
        <f t="shared" si="18"/>
        <v>226880.28102265549</v>
      </c>
      <c r="AE35" s="135">
        <f t="shared" si="18"/>
        <v>222964.43659263343</v>
      </c>
      <c r="AF35" s="135">
        <f t="shared" si="18"/>
        <v>205192.56973062348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67515.535702917012</v>
      </c>
      <c r="I36" s="135">
        <f t="shared" si="19"/>
        <v>65398.611271593349</v>
      </c>
      <c r="J36" s="135">
        <f t="shared" si="19"/>
        <v>116908.17198169511</v>
      </c>
      <c r="K36" s="135">
        <f t="shared" si="19"/>
        <v>120797.91579179185</v>
      </c>
      <c r="L36" s="135">
        <f t="shared" si="19"/>
        <v>119320.71336152373</v>
      </c>
      <c r="M36" s="135">
        <f t="shared" si="19"/>
        <v>131678.81950626778</v>
      </c>
      <c r="N36" s="135">
        <f t="shared" si="19"/>
        <v>144370.15783275952</v>
      </c>
      <c r="O36" s="135">
        <f t="shared" si="19"/>
        <v>132908.47105376833</v>
      </c>
      <c r="P36" s="135">
        <f t="shared" si="19"/>
        <v>133014.97837395826</v>
      </c>
      <c r="Q36" s="135">
        <f t="shared" si="19"/>
        <v>133117.55031261811</v>
      </c>
      <c r="R36" s="135">
        <f t="shared" si="19"/>
        <v>133155.34382047658</v>
      </c>
      <c r="S36" s="135">
        <f t="shared" si="19"/>
        <v>133152.78408413232</v>
      </c>
      <c r="T36" s="135">
        <f t="shared" si="19"/>
        <v>133110.56123210871</v>
      </c>
      <c r="U36" s="135">
        <f t="shared" si="19"/>
        <v>133018.04258030371</v>
      </c>
      <c r="V36" s="135">
        <f t="shared" si="19"/>
        <v>132839.54702297875</v>
      </c>
      <c r="W36" s="135">
        <f t="shared" si="19"/>
        <v>132685.01840215558</v>
      </c>
      <c r="X36" s="135">
        <f t="shared" si="19"/>
        <v>132419.81938756234</v>
      </c>
      <c r="Y36" s="135">
        <f t="shared" si="19"/>
        <v>132036.12073684577</v>
      </c>
      <c r="Z36" s="135">
        <f t="shared" si="19"/>
        <v>131537.74275579318</v>
      </c>
      <c r="AA36" s="135">
        <f t="shared" si="19"/>
        <v>130897.80468261419</v>
      </c>
      <c r="AB36" s="135">
        <f t="shared" si="19"/>
        <v>130130.33997754041</v>
      </c>
      <c r="AC36" s="135">
        <f t="shared" si="19"/>
        <v>128861.49635335674</v>
      </c>
      <c r="AD36" s="135">
        <f t="shared" si="19"/>
        <v>127253.52068177034</v>
      </c>
      <c r="AE36" s="135">
        <f t="shared" si="19"/>
        <v>124642.95772842231</v>
      </c>
      <c r="AF36" s="135">
        <f t="shared" si="19"/>
        <v>112795.04648708233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204788.83925729251</v>
      </c>
      <c r="I37" s="135">
        <f t="shared" si="20"/>
        <v>199496.52817898337</v>
      </c>
      <c r="J37" s="135">
        <f t="shared" si="20"/>
        <v>328270.42995423777</v>
      </c>
      <c r="K37" s="135">
        <f t="shared" si="20"/>
        <v>337994.7894794796</v>
      </c>
      <c r="L37" s="135">
        <f t="shared" si="20"/>
        <v>334301.7834038093</v>
      </c>
      <c r="M37" s="135">
        <f t="shared" si="20"/>
        <v>365197.04876566946</v>
      </c>
      <c r="N37" s="135">
        <f t="shared" si="20"/>
        <v>396925.39458189881</v>
      </c>
      <c r="O37" s="135">
        <f t="shared" si="20"/>
        <v>368271.1776344208</v>
      </c>
      <c r="P37" s="135">
        <f t="shared" si="20"/>
        <v>368537.44593489566</v>
      </c>
      <c r="Q37" s="135">
        <f t="shared" si="20"/>
        <v>368793.87578154524</v>
      </c>
      <c r="R37" s="135">
        <f t="shared" si="20"/>
        <v>368888.35955119145</v>
      </c>
      <c r="S37" s="135">
        <f t="shared" si="20"/>
        <v>368881.96021033078</v>
      </c>
      <c r="T37" s="135">
        <f t="shared" si="20"/>
        <v>368776.40308027179</v>
      </c>
      <c r="U37" s="135">
        <f t="shared" si="20"/>
        <v>368545.10645075928</v>
      </c>
      <c r="V37" s="135">
        <f t="shared" si="20"/>
        <v>368098.86755744682</v>
      </c>
      <c r="W37" s="135">
        <f t="shared" si="20"/>
        <v>367712.5460053889</v>
      </c>
      <c r="X37" s="135">
        <f t="shared" si="20"/>
        <v>367049.54846890585</v>
      </c>
      <c r="Y37" s="135">
        <f t="shared" si="20"/>
        <v>366090.30184211442</v>
      </c>
      <c r="Z37" s="135">
        <f t="shared" si="20"/>
        <v>364844.35688948294</v>
      </c>
      <c r="AA37" s="135">
        <f t="shared" si="20"/>
        <v>363244.51170653547</v>
      </c>
      <c r="AB37" s="135">
        <f t="shared" si="20"/>
        <v>361325.849943851</v>
      </c>
      <c r="AC37" s="135">
        <f t="shared" si="20"/>
        <v>358153.74088339182</v>
      </c>
      <c r="AD37" s="135">
        <f t="shared" si="20"/>
        <v>354133.80170442583</v>
      </c>
      <c r="AE37" s="135">
        <f t="shared" si="20"/>
        <v>347607.39432105573</v>
      </c>
      <c r="AF37" s="135">
        <f t="shared" si="20"/>
        <v>317987.61621770583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2">D27</f>
        <v>725356.85352382285</v>
      </c>
      <c r="E45" s="1227">
        <f t="shared" si="22"/>
        <v>761828.63043885329</v>
      </c>
      <c r="F45" s="1227">
        <f t="shared" si="22"/>
        <v>885889.84541072126</v>
      </c>
      <c r="G45" s="1227">
        <f t="shared" si="22"/>
        <v>987003.66554251267</v>
      </c>
      <c r="H45" s="1227">
        <f t="shared" si="22"/>
        <v>1220121.0164578506</v>
      </c>
      <c r="I45" s="1227">
        <f t="shared" si="22"/>
        <v>1229280.8692829162</v>
      </c>
      <c r="J45" s="1227">
        <f t="shared" si="22"/>
        <v>1818859.3253650826</v>
      </c>
      <c r="K45" s="1227">
        <f t="shared" si="22"/>
        <v>1911926.8464422009</v>
      </c>
      <c r="L45" s="1227">
        <f t="shared" si="22"/>
        <v>1988781.7706556709</v>
      </c>
      <c r="M45" s="1227">
        <f t="shared" si="22"/>
        <v>2162351.7356310994</v>
      </c>
      <c r="N45" s="1227">
        <f t="shared" si="22"/>
        <v>2428923.3020339995</v>
      </c>
      <c r="O45" s="1227">
        <f t="shared" si="22"/>
        <v>2445029.2234380427</v>
      </c>
      <c r="P45" s="1227">
        <f t="shared" si="22"/>
        <v>2450117.0468606558</v>
      </c>
      <c r="Q45" s="1227">
        <f t="shared" si="22"/>
        <v>2455416.9383567628</v>
      </c>
      <c r="R45" s="1227">
        <f t="shared" si="22"/>
        <v>2460353.9903521566</v>
      </c>
      <c r="S45" s="1227">
        <f t="shared" si="22"/>
        <v>2464835.4468281525</v>
      </c>
      <c r="T45" s="1227">
        <f t="shared" si="22"/>
        <v>2469266.9685965423</v>
      </c>
      <c r="U45" s="1227">
        <f t="shared" si="22"/>
        <v>2473600.011557837</v>
      </c>
      <c r="V45" s="1227">
        <f t="shared" si="22"/>
        <v>2477551.3063256904</v>
      </c>
      <c r="W45" s="1227">
        <f t="shared" si="22"/>
        <v>2482315.8954926725</v>
      </c>
      <c r="X45" s="1227">
        <f t="shared" si="22"/>
        <v>2487307.6557636443</v>
      </c>
      <c r="Y45" s="1227">
        <f t="shared" si="22"/>
        <v>2490900.5134754959</v>
      </c>
      <c r="Z45" s="1227">
        <f t="shared" si="22"/>
        <v>2494407.9842009894</v>
      </c>
      <c r="AA45" s="1227">
        <f t="shared" si="22"/>
        <v>2497915.0624278891</v>
      </c>
      <c r="AB45" s="1227">
        <f t="shared" si="22"/>
        <v>2502128.1661275784</v>
      </c>
      <c r="AC45" s="1227">
        <f t="shared" si="22"/>
        <v>2506638.1683237758</v>
      </c>
      <c r="AD45" s="1227">
        <f t="shared" si="22"/>
        <v>2510642.662858624</v>
      </c>
      <c r="AE45" s="1227">
        <f t="shared" si="22"/>
        <v>2515070.4102012119</v>
      </c>
      <c r="AF45" s="1227">
        <f t="shared" si="22"/>
        <v>2518323.2995366817</v>
      </c>
      <c r="AG45" s="1229">
        <f>SUM(C45:AF45)</f>
        <v>61166597.071005255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5" si="23">SUM(C46:AF46)</f>
        <v>0</v>
      </c>
    </row>
    <row r="47" spans="2:34" s="205" customFormat="1" ht="21" customHeight="1">
      <c r="B47" s="468" t="s">
        <v>229</v>
      </c>
      <c r="C47" s="1212">
        <f t="shared" ref="C47:AF47" si="24">C48+C52</f>
        <v>-563262.22957299976</v>
      </c>
      <c r="D47" s="1212">
        <f t="shared" si="24"/>
        <v>-561656.73038045038</v>
      </c>
      <c r="E47" s="1212">
        <f t="shared" si="24"/>
        <v>-526558.43434490811</v>
      </c>
      <c r="F47" s="1212">
        <f t="shared" si="24"/>
        <v>-1656331.7371514337</v>
      </c>
      <c r="G47" s="1212">
        <f t="shared" si="24"/>
        <v>-5488637.5529870847</v>
      </c>
      <c r="H47" s="1212">
        <f t="shared" si="24"/>
        <v>-1015051.1527091707</v>
      </c>
      <c r="I47" s="1212">
        <f t="shared" si="24"/>
        <v>-1993060.8048898387</v>
      </c>
      <c r="J47" s="1212">
        <f t="shared" si="24"/>
        <v>-1646829.6102130874</v>
      </c>
      <c r="K47" s="1212">
        <f t="shared" si="24"/>
        <v>-2392478.8325312673</v>
      </c>
      <c r="L47" s="1212">
        <f t="shared" si="24"/>
        <v>-1463068.4959889413</v>
      </c>
      <c r="M47" s="1212">
        <f t="shared" si="24"/>
        <v>-3158813.4659429761</v>
      </c>
      <c r="N47" s="1212">
        <f t="shared" si="24"/>
        <v>-2901468.742122577</v>
      </c>
      <c r="O47" s="1212">
        <f t="shared" si="24"/>
        <v>-577875.55533494893</v>
      </c>
      <c r="P47" s="1212">
        <f t="shared" si="24"/>
        <v>-578237.68022359465</v>
      </c>
      <c r="Q47" s="1212">
        <f t="shared" si="24"/>
        <v>-578586.4248150381</v>
      </c>
      <c r="R47" s="1212">
        <f t="shared" si="24"/>
        <v>-573426.92274175701</v>
      </c>
      <c r="S47" s="1212">
        <f t="shared" si="24"/>
        <v>-573418.21963818651</v>
      </c>
      <c r="T47" s="1212">
        <f t="shared" si="24"/>
        <v>-573274.6619413062</v>
      </c>
      <c r="U47" s="1212">
        <f t="shared" si="24"/>
        <v>-572960.09852516919</v>
      </c>
      <c r="V47" s="1212">
        <f t="shared" si="24"/>
        <v>-572353.21363026428</v>
      </c>
      <c r="W47" s="1212">
        <f t="shared" si="24"/>
        <v>-577522.81631946552</v>
      </c>
      <c r="X47" s="1212">
        <f t="shared" si="24"/>
        <v>-567266.13966984849</v>
      </c>
      <c r="Y47" s="1212">
        <f t="shared" si="24"/>
        <v>-565961.56425741222</v>
      </c>
      <c r="Z47" s="1212">
        <f t="shared" si="24"/>
        <v>-564267.07912183343</v>
      </c>
      <c r="AA47" s="1212">
        <f t="shared" si="24"/>
        <v>-562091.28967302479</v>
      </c>
      <c r="AB47" s="1212">
        <f t="shared" si="24"/>
        <v>-568836.90967577393</v>
      </c>
      <c r="AC47" s="1212">
        <f t="shared" si="24"/>
        <v>-555981.84135354951</v>
      </c>
      <c r="AD47" s="1212">
        <f t="shared" si="24"/>
        <v>-551328.72407015576</v>
      </c>
      <c r="AE47" s="1212">
        <f t="shared" si="24"/>
        <v>-543670.81002877234</v>
      </c>
      <c r="AF47" s="1228">
        <f t="shared" si="24"/>
        <v>-500550.40605281288</v>
      </c>
      <c r="AG47" s="1231">
        <f t="shared" si="23"/>
        <v>-33524828.14590764</v>
      </c>
    </row>
    <row r="48" spans="2:34" s="206" customFormat="1" ht="21" customHeight="1">
      <c r="B48" s="468" t="s">
        <v>230</v>
      </c>
      <c r="C48" s="1212">
        <f t="shared" ref="C48:AF48" si="25">SUM(C49:C51)</f>
        <v>-563262.22957299976</v>
      </c>
      <c r="D48" s="1212">
        <f t="shared" si="25"/>
        <v>-345639.16425320646</v>
      </c>
      <c r="E48" s="1212">
        <f t="shared" si="25"/>
        <v>-302337.51106105704</v>
      </c>
      <c r="F48" s="1212">
        <f t="shared" si="25"/>
        <v>-1393737.2138793978</v>
      </c>
      <c r="G48" s="1212">
        <f t="shared" si="25"/>
        <v>-5209890.1252055857</v>
      </c>
      <c r="H48" s="1212">
        <f t="shared" si="25"/>
        <v>-727898.33131925284</v>
      </c>
      <c r="I48" s="1212">
        <f t="shared" si="25"/>
        <v>-1713105.5265664214</v>
      </c>
      <c r="J48" s="1212">
        <f t="shared" si="25"/>
        <v>-1191741.8254753242</v>
      </c>
      <c r="K48" s="1212">
        <f t="shared" si="25"/>
        <v>-1924165.9188391753</v>
      </c>
      <c r="L48" s="1212">
        <f t="shared" si="25"/>
        <v>-999778.07055976056</v>
      </c>
      <c r="M48" s="1212">
        <f t="shared" si="25"/>
        <v>-2653505.4796216656</v>
      </c>
      <c r="N48" s="1212">
        <f t="shared" si="25"/>
        <v>-2353010.2054911945</v>
      </c>
      <c r="O48" s="1212">
        <f t="shared" si="25"/>
        <v>-68386.753752136574</v>
      </c>
      <c r="P48" s="1212">
        <f t="shared" si="25"/>
        <v>-68386.753752136574</v>
      </c>
      <c r="Q48" s="1212">
        <f t="shared" si="25"/>
        <v>-68386.753752136574</v>
      </c>
      <c r="R48" s="1212">
        <f t="shared" si="25"/>
        <v>-63098.753752136574</v>
      </c>
      <c r="S48" s="1212">
        <f t="shared" si="25"/>
        <v>-63098.753752136574</v>
      </c>
      <c r="T48" s="1212">
        <f t="shared" si="25"/>
        <v>-63098.753752136574</v>
      </c>
      <c r="U48" s="1212">
        <f t="shared" si="25"/>
        <v>-63098.753752136574</v>
      </c>
      <c r="V48" s="1212">
        <f t="shared" si="25"/>
        <v>-63098.753752136574</v>
      </c>
      <c r="W48" s="1212">
        <f t="shared" si="25"/>
        <v>-68793.753752136574</v>
      </c>
      <c r="X48" s="1212">
        <f t="shared" si="25"/>
        <v>-59438.753752136574</v>
      </c>
      <c r="Y48" s="1212">
        <f t="shared" si="25"/>
        <v>-59438.753752136574</v>
      </c>
      <c r="Z48" s="1212">
        <f t="shared" si="25"/>
        <v>-59438.753752136574</v>
      </c>
      <c r="AA48" s="1212">
        <f t="shared" si="25"/>
        <v>-59438.753752136574</v>
      </c>
      <c r="AB48" s="1212">
        <f t="shared" si="25"/>
        <v>-68793.753752136574</v>
      </c>
      <c r="AC48" s="1212">
        <f t="shared" si="25"/>
        <v>-60252.753752136574</v>
      </c>
      <c r="AD48" s="1212">
        <f t="shared" si="25"/>
        <v>-61066.753752136574</v>
      </c>
      <c r="AE48" s="1212">
        <f t="shared" si="25"/>
        <v>-62284.753752136574</v>
      </c>
      <c r="AF48" s="1212">
        <f t="shared" si="25"/>
        <v>-59447.247996732927</v>
      </c>
      <c r="AG48" s="1231">
        <f t="shared" si="23"/>
        <v>-20517119.663628064</v>
      </c>
      <c r="AH48" s="207"/>
    </row>
    <row r="49" spans="2:34" s="206" customFormat="1" ht="21" customHeight="1">
      <c r="B49" s="1449" t="s">
        <v>231</v>
      </c>
      <c r="C49" s="1214">
        <f>'R1 FC'!C8</f>
        <v>-408428.3754822117</v>
      </c>
      <c r="D49" s="1214">
        <f>'R1 FC'!D8</f>
        <v>-329783.01199834509</v>
      </c>
      <c r="E49" s="1214">
        <f>'R1 FC'!E8</f>
        <v>-226602.31678867349</v>
      </c>
      <c r="F49" s="1214">
        <f>'R1 FC'!F8</f>
        <v>-1359859.3479073208</v>
      </c>
      <c r="G49" s="1214">
        <f>'R1 FC'!G8</f>
        <v>-423362.0777800596</v>
      </c>
      <c r="H49" s="1214">
        <f>'R1 FC'!H8</f>
        <v>-99278.617780059591</v>
      </c>
      <c r="I49" s="1214">
        <f>'R1 FC'!I8</f>
        <v>-14581.887780059598</v>
      </c>
      <c r="J49" s="1214">
        <f>'R1 FC'!J8</f>
        <v>-14581.887780059598</v>
      </c>
      <c r="K49" s="1214">
        <f>'R1 FC'!K8</f>
        <v>-14581.887780059598</v>
      </c>
      <c r="L49" s="1214">
        <f>'R1 FC'!L8</f>
        <v>-15189.887780059598</v>
      </c>
      <c r="M49" s="1214">
        <f>'R1 FC'!M8</f>
        <v>-14785.887780059598</v>
      </c>
      <c r="N49" s="1214">
        <f>'R1 FC'!N8</f>
        <v>-14275.887780059598</v>
      </c>
      <c r="O49" s="1214">
        <f>'R1 FC'!O8</f>
        <v>-14275.887780059598</v>
      </c>
      <c r="P49" s="1214">
        <f>'R1 FC'!P8</f>
        <v>-14275.887780059598</v>
      </c>
      <c r="Q49" s="1214">
        <f>'R1 FC'!Q8</f>
        <v>-14275.887780059598</v>
      </c>
      <c r="R49" s="1214">
        <f>'R1 FC'!R8</f>
        <v>-12851.887780059598</v>
      </c>
      <c r="S49" s="1214">
        <f>'R1 FC'!S8</f>
        <v>-12851.887780059598</v>
      </c>
      <c r="T49" s="1214">
        <f>'R1 FC'!T8</f>
        <v>-12851.887780059598</v>
      </c>
      <c r="U49" s="1214">
        <f>'R1 FC'!U8</f>
        <v>-12851.887780059598</v>
      </c>
      <c r="V49" s="1214">
        <f>'R1 FC'!V8</f>
        <v>-12851.887780059598</v>
      </c>
      <c r="W49" s="1214">
        <f>'R1 FC'!W8</f>
        <v>-14377.887780059598</v>
      </c>
      <c r="X49" s="1214">
        <f>'R1 FC'!X8</f>
        <v>-11835.887780059598</v>
      </c>
      <c r="Y49" s="1214">
        <f>'R1 FC'!Y8</f>
        <v>-11835.887780059598</v>
      </c>
      <c r="Z49" s="1214">
        <f>'R1 FC'!Z8</f>
        <v>-11835.887780059598</v>
      </c>
      <c r="AA49" s="1214">
        <f>'R1 FC'!AA8</f>
        <v>-11835.887780059598</v>
      </c>
      <c r="AB49" s="1214">
        <f>'R1 FC'!AB8</f>
        <v>-14377.887780059598</v>
      </c>
      <c r="AC49" s="1214">
        <f>'R1 FC'!AC8</f>
        <v>-12039.887780059598</v>
      </c>
      <c r="AD49" s="1214">
        <f>'R1 FC'!AD8</f>
        <v>-12243.887780059598</v>
      </c>
      <c r="AE49" s="1214">
        <f>'R1 FC'!AE8</f>
        <v>-12647.887780059598</v>
      </c>
      <c r="AF49" s="1214">
        <f>'R1 FC'!AF8</f>
        <v>-9773.2620246559418</v>
      </c>
      <c r="AG49" s="1231">
        <f t="shared" si="23"/>
        <v>-3165202.4287026967</v>
      </c>
    </row>
    <row r="50" spans="2:34" s="206" customFormat="1" ht="21" customHeight="1">
      <c r="B50" s="1449" t="s">
        <v>232</v>
      </c>
      <c r="C50" s="1214">
        <f>'R1 FC'!C9</f>
        <v>-37879.125589369905</v>
      </c>
      <c r="D50" s="1214">
        <f>'R1 FC'!D9</f>
        <v>-571.94869673148537</v>
      </c>
      <c r="E50" s="1214">
        <f>'R1 FC'!E9</f>
        <v>-9420.8028316306008</v>
      </c>
      <c r="F50" s="1214">
        <f>'R1 FC'!F9</f>
        <v>-816</v>
      </c>
      <c r="G50" s="1214">
        <f>'R1 FC'!G9</f>
        <v>-4753466.1814534497</v>
      </c>
      <c r="H50" s="1214">
        <f>'R1 FC'!H9</f>
        <v>-595557.84756711626</v>
      </c>
      <c r="I50" s="1214">
        <f>'R1 FC'!I9</f>
        <v>-1665461.7728142848</v>
      </c>
      <c r="J50" s="1214">
        <f>'R1 FC'!J9</f>
        <v>-1144098.0717231876</v>
      </c>
      <c r="K50" s="1214">
        <f>'R1 FC'!K9</f>
        <v>-1876522.1650870387</v>
      </c>
      <c r="L50" s="1214">
        <f>'R1 FC'!L9</f>
        <v>-951526.31680762395</v>
      </c>
      <c r="M50" s="1214">
        <f>'R1 FC'!M9</f>
        <v>-2605657.7258695289</v>
      </c>
      <c r="N50" s="1214">
        <f>'R1 FC'!N9</f>
        <v>-2305672.4517390579</v>
      </c>
      <c r="O50" s="1214">
        <f>'R1 FC'!O9</f>
        <v>-21049</v>
      </c>
      <c r="P50" s="1214">
        <f>'R1 FC'!P9</f>
        <v>-21049</v>
      </c>
      <c r="Q50" s="1214">
        <f>'R1 FC'!Q9</f>
        <v>-21049</v>
      </c>
      <c r="R50" s="1214">
        <f>'R1 FC'!R9</f>
        <v>-17185</v>
      </c>
      <c r="S50" s="1214">
        <f>'R1 FC'!S9</f>
        <v>-17185</v>
      </c>
      <c r="T50" s="1214">
        <f>'R1 FC'!T9</f>
        <v>-17185</v>
      </c>
      <c r="U50" s="1214">
        <f>'R1 FC'!U9</f>
        <v>-17185</v>
      </c>
      <c r="V50" s="1214">
        <f>'R1 FC'!V9</f>
        <v>-17185</v>
      </c>
      <c r="W50" s="1214">
        <f>'R1 FC'!W9</f>
        <v>-21354</v>
      </c>
      <c r="X50" s="1214">
        <f>'R1 FC'!X9</f>
        <v>-14541</v>
      </c>
      <c r="Y50" s="1214">
        <f>'R1 FC'!Y9</f>
        <v>-14541</v>
      </c>
      <c r="Z50" s="1214">
        <f>'R1 FC'!Z9</f>
        <v>-14541</v>
      </c>
      <c r="AA50" s="1214">
        <f>'R1 FC'!AA9</f>
        <v>-14541</v>
      </c>
      <c r="AB50" s="1214">
        <f>'R1 FC'!AB9</f>
        <v>-21354</v>
      </c>
      <c r="AC50" s="1214">
        <f>'R1 FC'!AC9</f>
        <v>-15151</v>
      </c>
      <c r="AD50" s="1214">
        <f>'R1 FC'!AD9</f>
        <v>-15761</v>
      </c>
      <c r="AE50" s="1214">
        <f>'R1 FC'!AE9</f>
        <v>-16575</v>
      </c>
      <c r="AF50" s="1214">
        <f>'R1 FC'!AF9</f>
        <v>-16612.120000000003</v>
      </c>
      <c r="AG50" s="1231">
        <f t="shared" si="23"/>
        <v>-16260693.530179018</v>
      </c>
    </row>
    <row r="51" spans="2:34" s="206" customFormat="1" ht="21" customHeight="1">
      <c r="B51" s="1449" t="s">
        <v>233</v>
      </c>
      <c r="C51" s="1214">
        <f>'R1 FC'!C10</f>
        <v>-116954.72850141811</v>
      </c>
      <c r="D51" s="1214">
        <f>'R1 FC'!D10</f>
        <v>-15284.203558129915</v>
      </c>
      <c r="E51" s="1214">
        <f>'R1 FC'!E10</f>
        <v>-66314.391440752952</v>
      </c>
      <c r="F51" s="1214">
        <f>'R1 FC'!F10</f>
        <v>-33061.865972076979</v>
      </c>
      <c r="G51" s="1214">
        <f>'R1 FC'!G10</f>
        <v>-33061.865972076979</v>
      </c>
      <c r="H51" s="1214">
        <f>'R1 FC'!H10</f>
        <v>-33061.865972076979</v>
      </c>
      <c r="I51" s="1214">
        <f>'R1 FC'!I10</f>
        <v>-33061.865972076979</v>
      </c>
      <c r="J51" s="1214">
        <f>'R1 FC'!J10</f>
        <v>-33061.865972076979</v>
      </c>
      <c r="K51" s="1214">
        <f>'R1 FC'!K10</f>
        <v>-33061.865972076979</v>
      </c>
      <c r="L51" s="1214">
        <f>'R1 FC'!L10</f>
        <v>-33061.865972076979</v>
      </c>
      <c r="M51" s="1214">
        <f>'R1 FC'!M10</f>
        <v>-33061.865972076979</v>
      </c>
      <c r="N51" s="1214">
        <f>'R1 FC'!N10</f>
        <v>-33061.865972076979</v>
      </c>
      <c r="O51" s="1214">
        <f>'R1 FC'!O10</f>
        <v>-33061.865972076979</v>
      </c>
      <c r="P51" s="1214">
        <f>'R1 FC'!P10</f>
        <v>-33061.865972076979</v>
      </c>
      <c r="Q51" s="1214">
        <f>'R1 FC'!Q10</f>
        <v>-33061.865972076979</v>
      </c>
      <c r="R51" s="1214">
        <f>'R1 FC'!R10</f>
        <v>-33061.865972076979</v>
      </c>
      <c r="S51" s="1214">
        <f>'R1 FC'!S10</f>
        <v>-33061.865972076979</v>
      </c>
      <c r="T51" s="1214">
        <f>'R1 FC'!T10</f>
        <v>-33061.865972076979</v>
      </c>
      <c r="U51" s="1214">
        <f>'R1 FC'!U10</f>
        <v>-33061.865972076979</v>
      </c>
      <c r="V51" s="1214">
        <f>'R1 FC'!V10</f>
        <v>-33061.865972076979</v>
      </c>
      <c r="W51" s="1214">
        <f>'R1 FC'!W10</f>
        <v>-33061.865972076979</v>
      </c>
      <c r="X51" s="1214">
        <f>'R1 FC'!X10</f>
        <v>-33061.865972076979</v>
      </c>
      <c r="Y51" s="1214">
        <f>'R1 FC'!Y10</f>
        <v>-33061.865972076979</v>
      </c>
      <c r="Z51" s="1214">
        <f>'R1 FC'!Z10</f>
        <v>-33061.865972076979</v>
      </c>
      <c r="AA51" s="1214">
        <f>'R1 FC'!AA10</f>
        <v>-33061.865972076979</v>
      </c>
      <c r="AB51" s="1214">
        <f>'R1 FC'!AB10</f>
        <v>-33061.865972076979</v>
      </c>
      <c r="AC51" s="1214">
        <f>'R1 FC'!AC10</f>
        <v>-33061.865972076979</v>
      </c>
      <c r="AD51" s="1214">
        <f>'R1 FC'!AD10</f>
        <v>-33061.865972076979</v>
      </c>
      <c r="AE51" s="1214">
        <f>'R1 FC'!AE10</f>
        <v>-33061.865972076979</v>
      </c>
      <c r="AF51" s="1214">
        <f>'R1 FC'!AF10</f>
        <v>-33061.865972076979</v>
      </c>
      <c r="AG51" s="1231">
        <f t="shared" si="23"/>
        <v>-1091223.70474638</v>
      </c>
    </row>
    <row r="52" spans="2:34" s="206" customFormat="1" ht="21" customHeight="1">
      <c r="B52" s="468" t="s">
        <v>234</v>
      </c>
      <c r="C52" s="1212">
        <f>C53+C54</f>
        <v>0</v>
      </c>
      <c r="D52" s="1212">
        <f t="shared" ref="D52:AF52" si="26">D53+D54</f>
        <v>-216017.56612724392</v>
      </c>
      <c r="E52" s="1212">
        <f t="shared" si="26"/>
        <v>-224220.92328385104</v>
      </c>
      <c r="F52" s="1212">
        <f t="shared" si="26"/>
        <v>-262594.52327203582</v>
      </c>
      <c r="G52" s="1212">
        <f t="shared" si="26"/>
        <v>-278747.42778149887</v>
      </c>
      <c r="H52" s="1212">
        <f t="shared" si="26"/>
        <v>-287152.82138991781</v>
      </c>
      <c r="I52" s="1212">
        <f t="shared" si="26"/>
        <v>-279955.27832341741</v>
      </c>
      <c r="J52" s="1212">
        <f t="shared" si="26"/>
        <v>-455087.78473776334</v>
      </c>
      <c r="K52" s="1212">
        <f t="shared" si="26"/>
        <v>-468312.91369209223</v>
      </c>
      <c r="L52" s="1212">
        <f t="shared" si="26"/>
        <v>-463290.42542918061</v>
      </c>
      <c r="M52" s="1212">
        <f t="shared" si="26"/>
        <v>-505307.98632131045</v>
      </c>
      <c r="N52" s="1212">
        <f t="shared" si="26"/>
        <v>-548458.53663138242</v>
      </c>
      <c r="O52" s="1212">
        <f t="shared" si="26"/>
        <v>-509488.80158281233</v>
      </c>
      <c r="P52" s="1212">
        <f t="shared" si="26"/>
        <v>-509850.92647145805</v>
      </c>
      <c r="Q52" s="1212">
        <f t="shared" si="26"/>
        <v>-510199.6710629015</v>
      </c>
      <c r="R52" s="1212">
        <f t="shared" si="26"/>
        <v>-510328.1689896204</v>
      </c>
      <c r="S52" s="1212">
        <f t="shared" si="26"/>
        <v>-510319.4658860499</v>
      </c>
      <c r="T52" s="1212">
        <f t="shared" si="26"/>
        <v>-510175.9081891696</v>
      </c>
      <c r="U52" s="1212">
        <f t="shared" si="26"/>
        <v>-509861.34477303259</v>
      </c>
      <c r="V52" s="1212">
        <f t="shared" si="26"/>
        <v>-509254.45987812767</v>
      </c>
      <c r="W52" s="1212">
        <f t="shared" si="26"/>
        <v>-508729.06256732892</v>
      </c>
      <c r="X52" s="1212">
        <f t="shared" si="26"/>
        <v>-507827.38591771194</v>
      </c>
      <c r="Y52" s="1212">
        <f t="shared" si="26"/>
        <v>-506522.81050527561</v>
      </c>
      <c r="Z52" s="1212">
        <f t="shared" si="26"/>
        <v>-504828.32536969683</v>
      </c>
      <c r="AA52" s="1212">
        <f t="shared" si="26"/>
        <v>-502652.53592088824</v>
      </c>
      <c r="AB52" s="1212">
        <f t="shared" si="26"/>
        <v>-500043.15592363733</v>
      </c>
      <c r="AC52" s="1212">
        <f t="shared" si="26"/>
        <v>-495729.0876014129</v>
      </c>
      <c r="AD52" s="1212">
        <f t="shared" si="26"/>
        <v>-490261.97031801916</v>
      </c>
      <c r="AE52" s="1212">
        <f t="shared" si="26"/>
        <v>-481386.05627663579</v>
      </c>
      <c r="AF52" s="1228">
        <f t="shared" si="26"/>
        <v>-441103.15805607993</v>
      </c>
      <c r="AG52" s="1231">
        <f t="shared" si="23"/>
        <v>-13007708.48227955</v>
      </c>
    </row>
    <row r="53" spans="2:34" s="206" customFormat="1" ht="21" customHeight="1">
      <c r="B53" s="469" t="s">
        <v>235</v>
      </c>
      <c r="C53" s="1214">
        <f>C31</f>
        <v>0</v>
      </c>
      <c r="D53" s="1214">
        <f t="shared" ref="D53:AF54" si="27">D31</f>
        <v>-152483.50450532642</v>
      </c>
      <c r="E53" s="1214">
        <f t="shared" si="27"/>
        <v>-158515.38476753753</v>
      </c>
      <c r="F53" s="1214">
        <f t="shared" si="27"/>
        <v>-186731.26711179104</v>
      </c>
      <c r="G53" s="1214">
        <f t="shared" si="27"/>
        <v>-198608.40278051386</v>
      </c>
      <c r="H53" s="1214">
        <f t="shared" si="27"/>
        <v>-204788.83925729251</v>
      </c>
      <c r="I53" s="1214">
        <f t="shared" si="27"/>
        <v>-199496.52817898337</v>
      </c>
      <c r="J53" s="1214">
        <f t="shared" si="27"/>
        <v>-328270.42995423777</v>
      </c>
      <c r="K53" s="1214">
        <f t="shared" si="27"/>
        <v>-337994.7894794796</v>
      </c>
      <c r="L53" s="1214">
        <f t="shared" si="27"/>
        <v>-334301.7834038093</v>
      </c>
      <c r="M53" s="1214">
        <f t="shared" si="27"/>
        <v>-365197.04876566946</v>
      </c>
      <c r="N53" s="1214">
        <f t="shared" si="27"/>
        <v>-396925.39458189881</v>
      </c>
      <c r="O53" s="1214">
        <f t="shared" si="27"/>
        <v>-368271.1776344208</v>
      </c>
      <c r="P53" s="1214">
        <f t="shared" si="27"/>
        <v>-368537.44593489566</v>
      </c>
      <c r="Q53" s="1214">
        <f t="shared" si="27"/>
        <v>-368793.87578154524</v>
      </c>
      <c r="R53" s="1214">
        <f t="shared" si="27"/>
        <v>-368888.35955119145</v>
      </c>
      <c r="S53" s="1214">
        <f t="shared" si="27"/>
        <v>-368881.96021033078</v>
      </c>
      <c r="T53" s="1214">
        <f t="shared" si="27"/>
        <v>-368776.40308027179</v>
      </c>
      <c r="U53" s="1214">
        <f t="shared" si="27"/>
        <v>-368545.10645075928</v>
      </c>
      <c r="V53" s="1214">
        <f t="shared" si="27"/>
        <v>-368098.86755744682</v>
      </c>
      <c r="W53" s="1214">
        <f t="shared" si="27"/>
        <v>-367712.5460053889</v>
      </c>
      <c r="X53" s="1214">
        <f t="shared" si="27"/>
        <v>-367049.54846890585</v>
      </c>
      <c r="Y53" s="1214">
        <f t="shared" si="27"/>
        <v>-366090.30184211442</v>
      </c>
      <c r="Z53" s="1214">
        <f t="shared" si="27"/>
        <v>-364844.35688948294</v>
      </c>
      <c r="AA53" s="1214">
        <f t="shared" si="27"/>
        <v>-363244.51170653547</v>
      </c>
      <c r="AB53" s="1214">
        <f t="shared" si="27"/>
        <v>-361325.849943851</v>
      </c>
      <c r="AC53" s="1214">
        <f t="shared" si="27"/>
        <v>-358153.74088339182</v>
      </c>
      <c r="AD53" s="1214">
        <f t="shared" si="27"/>
        <v>-354133.80170442583</v>
      </c>
      <c r="AE53" s="1214">
        <f t="shared" si="27"/>
        <v>-347607.39432105573</v>
      </c>
      <c r="AF53" s="1214">
        <f t="shared" si="27"/>
        <v>-317987.61621770583</v>
      </c>
      <c r="AG53" s="1231">
        <f t="shared" si="23"/>
        <v>-9380256.236970257</v>
      </c>
    </row>
    <row r="54" spans="2:34" s="206" customFormat="1" ht="21" customHeight="1" thickBot="1">
      <c r="B54" s="476" t="s">
        <v>236</v>
      </c>
      <c r="C54" s="1214">
        <f>C32</f>
        <v>0</v>
      </c>
      <c r="D54" s="1214">
        <f t="shared" si="27"/>
        <v>-63534.061621917506</v>
      </c>
      <c r="E54" s="1214">
        <f t="shared" si="27"/>
        <v>-65705.538516313507</v>
      </c>
      <c r="F54" s="1214">
        <f t="shared" si="27"/>
        <v>-75863.256160244768</v>
      </c>
      <c r="G54" s="1214">
        <f t="shared" si="27"/>
        <v>-80139.025000984999</v>
      </c>
      <c r="H54" s="1214">
        <f t="shared" si="27"/>
        <v>-82363.9821326253</v>
      </c>
      <c r="I54" s="1214">
        <f t="shared" si="27"/>
        <v>-80458.750144434016</v>
      </c>
      <c r="J54" s="1214">
        <f t="shared" si="27"/>
        <v>-126817.35478352559</v>
      </c>
      <c r="K54" s="1214">
        <f t="shared" si="27"/>
        <v>-130318.12421261265</v>
      </c>
      <c r="L54" s="1214">
        <f t="shared" si="27"/>
        <v>-128988.64202537134</v>
      </c>
      <c r="M54" s="1214">
        <f t="shared" si="27"/>
        <v>-140110.93755564099</v>
      </c>
      <c r="N54" s="1214">
        <f t="shared" si="27"/>
        <v>-151533.14204948358</v>
      </c>
      <c r="O54" s="1214">
        <f t="shared" si="27"/>
        <v>-141217.6239483915</v>
      </c>
      <c r="P54" s="1214">
        <f t="shared" si="27"/>
        <v>-141313.48053656242</v>
      </c>
      <c r="Q54" s="1214">
        <f t="shared" si="27"/>
        <v>-141405.79528135629</v>
      </c>
      <c r="R54" s="1214">
        <f t="shared" si="27"/>
        <v>-141439.80943842893</v>
      </c>
      <c r="S54" s="1214">
        <f t="shared" si="27"/>
        <v>-141437.50567571909</v>
      </c>
      <c r="T54" s="1214">
        <f t="shared" si="27"/>
        <v>-141399.50510889784</v>
      </c>
      <c r="U54" s="1214">
        <f t="shared" si="27"/>
        <v>-141316.23832227333</v>
      </c>
      <c r="V54" s="1214">
        <f t="shared" si="27"/>
        <v>-141155.59232068085</v>
      </c>
      <c r="W54" s="1214">
        <f t="shared" si="27"/>
        <v>-141016.51656193999</v>
      </c>
      <c r="X54" s="1214">
        <f t="shared" si="27"/>
        <v>-140777.83744880609</v>
      </c>
      <c r="Y54" s="1214">
        <f t="shared" si="27"/>
        <v>-140432.50866316119</v>
      </c>
      <c r="Z54" s="1214">
        <f t="shared" si="27"/>
        <v>-139983.96848021387</v>
      </c>
      <c r="AA54" s="1214">
        <f t="shared" si="27"/>
        <v>-139408.02421435277</v>
      </c>
      <c r="AB54" s="1214">
        <f t="shared" si="27"/>
        <v>-138717.30597978635</v>
      </c>
      <c r="AC54" s="1214">
        <f t="shared" si="27"/>
        <v>-137575.34671802106</v>
      </c>
      <c r="AD54" s="1214">
        <f t="shared" si="27"/>
        <v>-136128.1686135933</v>
      </c>
      <c r="AE54" s="1214">
        <f t="shared" si="27"/>
        <v>-133778.66195558006</v>
      </c>
      <c r="AF54" s="1214">
        <f t="shared" si="27"/>
        <v>-123115.54183837409</v>
      </c>
      <c r="AG54" s="1232">
        <f t="shared" si="23"/>
        <v>-3627452.2453092933</v>
      </c>
    </row>
    <row r="55" spans="2:34" s="206" customFormat="1" ht="21" customHeight="1" thickBot="1">
      <c r="B55" s="472" t="s">
        <v>237</v>
      </c>
      <c r="C55" s="1233">
        <f>C45+C47</f>
        <v>-218809.77007688157</v>
      </c>
      <c r="D55" s="1233">
        <f t="shared" ref="D55:AF55" si="28">D45+D47</f>
        <v>163700.12314337248</v>
      </c>
      <c r="E55" s="1233">
        <f t="shared" si="28"/>
        <v>235270.19609394518</v>
      </c>
      <c r="F55" s="1233">
        <f t="shared" si="28"/>
        <v>-770441.89174071245</v>
      </c>
      <c r="G55" s="1233">
        <f t="shared" si="28"/>
        <v>-4501633.8874445725</v>
      </c>
      <c r="H55" s="1233">
        <f t="shared" si="28"/>
        <v>205069.86374867987</v>
      </c>
      <c r="I55" s="1233">
        <f t="shared" si="28"/>
        <v>-763779.93560692249</v>
      </c>
      <c r="J55" s="1233">
        <f t="shared" si="28"/>
        <v>172029.71515199519</v>
      </c>
      <c r="K55" s="1233">
        <f t="shared" si="28"/>
        <v>-480551.98608906637</v>
      </c>
      <c r="L55" s="1233">
        <f t="shared" si="28"/>
        <v>525713.27466672962</v>
      </c>
      <c r="M55" s="1233">
        <f t="shared" si="28"/>
        <v>-996461.73031187663</v>
      </c>
      <c r="N55" s="1233">
        <f t="shared" si="28"/>
        <v>-472545.44008857757</v>
      </c>
      <c r="O55" s="1233">
        <f t="shared" si="28"/>
        <v>1867153.6681030937</v>
      </c>
      <c r="P55" s="1233">
        <f t="shared" si="28"/>
        <v>1871879.3666370611</v>
      </c>
      <c r="Q55" s="1233">
        <f t="shared" si="28"/>
        <v>1876830.5135417245</v>
      </c>
      <c r="R55" s="1233">
        <f t="shared" si="28"/>
        <v>1886927.0676103996</v>
      </c>
      <c r="S55" s="1233">
        <f t="shared" si="28"/>
        <v>1891417.227189966</v>
      </c>
      <c r="T55" s="1233">
        <f t="shared" si="28"/>
        <v>1895992.3066552361</v>
      </c>
      <c r="U55" s="1233">
        <f t="shared" si="28"/>
        <v>1900639.9130326677</v>
      </c>
      <c r="V55" s="1233">
        <f t="shared" si="28"/>
        <v>1905198.0926954262</v>
      </c>
      <c r="W55" s="1233">
        <f t="shared" si="28"/>
        <v>1904793.0791732068</v>
      </c>
      <c r="X55" s="1233">
        <f t="shared" si="28"/>
        <v>1920041.5160937957</v>
      </c>
      <c r="Y55" s="1233">
        <f t="shared" si="28"/>
        <v>1924938.9492180836</v>
      </c>
      <c r="Z55" s="1233">
        <f t="shared" si="28"/>
        <v>1930140.9050791559</v>
      </c>
      <c r="AA55" s="1233">
        <f t="shared" si="28"/>
        <v>1935823.7727548643</v>
      </c>
      <c r="AB55" s="1233">
        <f t="shared" si="28"/>
        <v>1933291.2564518044</v>
      </c>
      <c r="AC55" s="1233">
        <f t="shared" si="28"/>
        <v>1950656.3269702261</v>
      </c>
      <c r="AD55" s="1233">
        <f t="shared" si="28"/>
        <v>1959313.9387884683</v>
      </c>
      <c r="AE55" s="1233">
        <f t="shared" si="28"/>
        <v>1971399.6001724396</v>
      </c>
      <c r="AF55" s="1234">
        <f t="shared" si="28"/>
        <v>2017772.8934838688</v>
      </c>
      <c r="AG55" s="1235">
        <f t="shared" si="23"/>
        <v>27641768.925097607</v>
      </c>
      <c r="AH55" s="207"/>
    </row>
    <row r="56" spans="2:34" s="206" customFormat="1" ht="21" customHeight="1" thickBot="1">
      <c r="B56" s="472" t="s">
        <v>238</v>
      </c>
      <c r="C56" s="886">
        <f>IRR(C55:AF55)</f>
        <v>0.12025949671957492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714</v>
      </c>
      <c r="C58" s="886">
        <v>0.1203</v>
      </c>
    </row>
    <row r="59" spans="2:34" ht="15" thickBot="1"/>
    <row r="60" spans="2:34" ht="15.75" thickBot="1">
      <c r="B60" s="472" t="s">
        <v>659</v>
      </c>
      <c r="C60" s="886">
        <f>C56-C58</f>
        <v>-4.0503280425083221E-5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10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4C9F9-B852-41B1-AC6A-D3673E9CBF41}">
  <sheetPr>
    <tabColor rgb="FF00FF00"/>
  </sheetPr>
  <dimension ref="A1:K77"/>
  <sheetViews>
    <sheetView showGridLines="0" zoomScaleNormal="100" workbookViewId="0">
      <selection activeCell="B51" sqref="B51:B63"/>
    </sheetView>
  </sheetViews>
  <sheetFormatPr defaultRowHeight="12.75"/>
  <cols>
    <col min="1" max="1" width="40.28515625" customWidth="1"/>
    <col min="2" max="22" width="15.7109375" customWidth="1"/>
    <col min="23" max="23" width="11.7109375" bestFit="1" customWidth="1"/>
  </cols>
  <sheetData>
    <row r="1" spans="1:9" ht="23.25">
      <c r="A1" s="1236" t="s">
        <v>887</v>
      </c>
    </row>
    <row r="2" spans="1:9" ht="23.25">
      <c r="A2" s="1236" t="s">
        <v>934</v>
      </c>
      <c r="B2" s="1192"/>
    </row>
    <row r="3" spans="1:9">
      <c r="B3" s="1192"/>
    </row>
    <row r="4" spans="1:9">
      <c r="A4" s="1248" t="s">
        <v>664</v>
      </c>
      <c r="B4" s="1249"/>
      <c r="C4" s="1250"/>
    </row>
    <row r="5" spans="1:9">
      <c r="A5" s="1194" t="s">
        <v>786</v>
      </c>
      <c r="B5" s="1013">
        <v>41944</v>
      </c>
      <c r="C5" s="1015">
        <v>4028.44</v>
      </c>
    </row>
    <row r="6" spans="1:9">
      <c r="B6" s="1013">
        <v>43556</v>
      </c>
      <c r="C6" s="1015">
        <v>5206.9799999999996</v>
      </c>
    </row>
    <row r="7" spans="1:9">
      <c r="B7" s="1013">
        <v>45108</v>
      </c>
      <c r="C7" s="1015">
        <v>6667.94</v>
      </c>
    </row>
    <row r="8" spans="1:9">
      <c r="C8" s="1245"/>
      <c r="D8" s="1192"/>
      <c r="E8" s="1245"/>
      <c r="F8" s="1245"/>
    </row>
    <row r="9" spans="1:9" ht="38.25">
      <c r="A9" s="1202" t="s">
        <v>911</v>
      </c>
      <c r="B9" s="1202" t="s">
        <v>718</v>
      </c>
      <c r="C9" s="1251" t="s">
        <v>719</v>
      </c>
      <c r="D9" s="1252" t="s">
        <v>720</v>
      </c>
      <c r="E9" s="1253" t="s">
        <v>721</v>
      </c>
      <c r="F9" s="1253" t="s">
        <v>919</v>
      </c>
      <c r="G9" s="1203" t="s">
        <v>917</v>
      </c>
      <c r="H9" s="1203" t="s">
        <v>918</v>
      </c>
      <c r="I9" s="1203" t="s">
        <v>938</v>
      </c>
    </row>
    <row r="10" spans="1:9">
      <c r="A10" s="1197" t="s">
        <v>913</v>
      </c>
      <c r="B10" s="1197" t="s">
        <v>726</v>
      </c>
      <c r="C10" s="1195">
        <v>1800000</v>
      </c>
      <c r="D10" s="1013">
        <v>45108</v>
      </c>
      <c r="E10" s="1195">
        <f>C10/($C$7/$C$5)</f>
        <v>1087471.0930212331</v>
      </c>
      <c r="F10" s="1195">
        <v>1800000</v>
      </c>
      <c r="G10" s="1021">
        <v>9</v>
      </c>
      <c r="H10" s="1021">
        <v>17</v>
      </c>
      <c r="I10" s="1533">
        <v>1050</v>
      </c>
    </row>
    <row r="11" spans="1:9">
      <c r="A11" s="1197" t="s">
        <v>914</v>
      </c>
      <c r="B11" s="1197" t="s">
        <v>726</v>
      </c>
      <c r="C11" s="1195">
        <v>1995632</v>
      </c>
      <c r="D11" s="1013">
        <v>45108</v>
      </c>
      <c r="E11" s="1195">
        <f t="shared" ref="E11:E14" si="0">C11/($C$7/$C$5)</f>
        <v>1205662.2846156384</v>
      </c>
      <c r="F11" s="1195">
        <v>1995632</v>
      </c>
      <c r="G11" s="1021">
        <v>12</v>
      </c>
      <c r="H11" s="1021">
        <v>16</v>
      </c>
      <c r="I11" s="1533">
        <v>2570</v>
      </c>
    </row>
    <row r="12" spans="1:9">
      <c r="A12" s="1197" t="s">
        <v>915</v>
      </c>
      <c r="B12" s="1197" t="s">
        <v>726</v>
      </c>
      <c r="C12" s="1195">
        <v>1995632</v>
      </c>
      <c r="D12" s="1013">
        <v>45108</v>
      </c>
      <c r="E12" s="1195">
        <f t="shared" si="0"/>
        <v>1205662.2846156384</v>
      </c>
      <c r="F12" s="1195">
        <v>1995632</v>
      </c>
      <c r="G12" s="1021">
        <v>10</v>
      </c>
      <c r="H12" s="1021">
        <v>15</v>
      </c>
      <c r="I12" s="1533">
        <v>2006</v>
      </c>
    </row>
    <row r="13" spans="1:9">
      <c r="A13" s="1197" t="s">
        <v>916</v>
      </c>
      <c r="B13" s="1197" t="s">
        <v>726</v>
      </c>
      <c r="C13" s="1195">
        <v>1995632</v>
      </c>
      <c r="D13" s="1013">
        <v>45108</v>
      </c>
      <c r="E13" s="1195">
        <f t="shared" si="0"/>
        <v>1205662.2846156384</v>
      </c>
      <c r="F13" s="1195">
        <v>1995632</v>
      </c>
      <c r="G13" s="1021">
        <v>12</v>
      </c>
      <c r="H13" s="1021">
        <v>15</v>
      </c>
      <c r="I13" s="1533">
        <v>3490</v>
      </c>
    </row>
    <row r="14" spans="1:9">
      <c r="A14" s="1197" t="s">
        <v>912</v>
      </c>
      <c r="B14" s="1197" t="s">
        <v>726</v>
      </c>
      <c r="C14" s="1195">
        <v>2221552</v>
      </c>
      <c r="D14" s="1013">
        <v>45108</v>
      </c>
      <c r="E14" s="1195">
        <f t="shared" si="0"/>
        <v>1342151.989801948</v>
      </c>
      <c r="F14" s="1195">
        <v>2221552</v>
      </c>
      <c r="G14" s="1021">
        <v>11</v>
      </c>
      <c r="H14" s="1021">
        <v>14</v>
      </c>
      <c r="I14" s="1533">
        <f>2195+1184</f>
        <v>3379</v>
      </c>
    </row>
    <row r="15" spans="1:9">
      <c r="C15" s="1245"/>
      <c r="D15" s="1192"/>
      <c r="E15" s="1245"/>
      <c r="F15" s="1245"/>
      <c r="G15" s="10"/>
    </row>
    <row r="16" spans="1:9">
      <c r="C16" s="1245"/>
      <c r="D16" s="1192"/>
      <c r="E16" s="1245"/>
      <c r="F16" s="1245"/>
      <c r="G16" s="10"/>
    </row>
    <row r="18" spans="1:9">
      <c r="A18" s="1248" t="s">
        <v>663</v>
      </c>
      <c r="B18" s="1250"/>
    </row>
    <row r="19" spans="1:9" ht="25.5">
      <c r="A19" s="1248"/>
      <c r="B19" s="1250"/>
      <c r="C19" s="1261" t="s">
        <v>212</v>
      </c>
      <c r="D19" s="1261" t="s">
        <v>213</v>
      </c>
      <c r="E19" s="1261" t="s">
        <v>215</v>
      </c>
      <c r="F19" s="1261" t="s">
        <v>216</v>
      </c>
      <c r="G19" s="1190" t="s">
        <v>217</v>
      </c>
      <c r="H19" s="1261" t="s">
        <v>218</v>
      </c>
    </row>
    <row r="20" spans="1:9">
      <c r="A20" s="1197" t="s">
        <v>739</v>
      </c>
      <c r="B20" s="1260" t="s">
        <v>730</v>
      </c>
      <c r="C20" s="1195">
        <f>SUM('16 R1 OPEX'!H14:H34)</f>
        <v>4681309.5</v>
      </c>
      <c r="D20" s="1195">
        <f>SUM('16 R1 OPEX'!I14:I34)</f>
        <v>2938018.94803529</v>
      </c>
      <c r="E20" s="1195">
        <f>SUM('16 R1 OPEX'!D14:D34)</f>
        <v>10410775.243503092</v>
      </c>
      <c r="F20" s="1195">
        <f>SUM('16 R1 OPEX'!E14:E34)</f>
        <v>339853.94964334345</v>
      </c>
      <c r="G20" s="1195">
        <f>SUM('16 R1 OPEX'!C14:C34)</f>
        <v>11618289.900000004</v>
      </c>
      <c r="H20" s="1195">
        <f>SUM('16 R1 OPEX'!F14:F34)</f>
        <v>8448253.3689758647</v>
      </c>
    </row>
    <row r="21" spans="1:9">
      <c r="A21" s="1197" t="s">
        <v>740</v>
      </c>
      <c r="B21" s="1260" t="s">
        <v>731</v>
      </c>
      <c r="C21" s="1254">
        <f>SUM('3 Vol'!E13:E33)</f>
        <v>13506830.561639184</v>
      </c>
      <c r="D21" s="1254">
        <f>C21</f>
        <v>13506830.561639184</v>
      </c>
      <c r="E21" s="1254">
        <f t="shared" ref="E21:H21" si="1">D21</f>
        <v>13506830.561639184</v>
      </c>
      <c r="F21" s="1254">
        <f t="shared" si="1"/>
        <v>13506830.561639184</v>
      </c>
      <c r="G21" s="1254">
        <f t="shared" si="1"/>
        <v>13506830.561639184</v>
      </c>
      <c r="H21" s="1254">
        <f t="shared" si="1"/>
        <v>13506830.561639184</v>
      </c>
    </row>
    <row r="22" spans="1:9">
      <c r="A22" s="1197" t="s">
        <v>729</v>
      </c>
      <c r="B22" s="1260" t="s">
        <v>732</v>
      </c>
      <c r="C22" s="1023">
        <f>ROUND(C20/C21,2)</f>
        <v>0.35</v>
      </c>
      <c r="D22" s="1023">
        <f t="shared" ref="D22:H22" si="2">ROUND(D20/D21,2)</f>
        <v>0.22</v>
      </c>
      <c r="E22" s="1023">
        <f t="shared" si="2"/>
        <v>0.77</v>
      </c>
      <c r="F22" s="1023">
        <f t="shared" si="2"/>
        <v>0.03</v>
      </c>
      <c r="G22" s="1023">
        <f t="shared" si="2"/>
        <v>0.86</v>
      </c>
      <c r="H22" s="1023">
        <f t="shared" si="2"/>
        <v>0.63</v>
      </c>
      <c r="I22" s="1262"/>
    </row>
    <row r="23" spans="1:9">
      <c r="F23" s="1187"/>
    </row>
    <row r="24" spans="1:9">
      <c r="A24" s="1248" t="s">
        <v>742</v>
      </c>
      <c r="B24" s="1248"/>
      <c r="C24" s="1248"/>
    </row>
    <row r="25" spans="1:9">
      <c r="A25" s="1197" t="s">
        <v>738</v>
      </c>
      <c r="B25" s="1197" t="s">
        <v>730</v>
      </c>
      <c r="C25" s="1195"/>
    </row>
    <row r="26" spans="1:9">
      <c r="A26" s="1197" t="s">
        <v>740</v>
      </c>
      <c r="B26" s="1197" t="s">
        <v>731</v>
      </c>
      <c r="C26" s="1254"/>
    </row>
    <row r="27" spans="1:9">
      <c r="A27" s="1197" t="s">
        <v>741</v>
      </c>
      <c r="B27" s="1197" t="s">
        <v>732</v>
      </c>
      <c r="C27" s="1023"/>
    </row>
    <row r="28" spans="1:9">
      <c r="A28" s="1187"/>
      <c r="B28" s="1187"/>
      <c r="C28" s="1257"/>
    </row>
    <row r="29" spans="1:9">
      <c r="A29" s="1248" t="s">
        <v>857</v>
      </c>
      <c r="B29" s="1248"/>
      <c r="C29" s="1248"/>
    </row>
    <row r="30" spans="1:9">
      <c r="A30" s="1197" t="s">
        <v>744</v>
      </c>
      <c r="B30" s="1197" t="s">
        <v>730</v>
      </c>
      <c r="C30" s="1195">
        <f>SUM('14 R1 FAT 2'!D14:D34)</f>
        <v>49815672.083938502</v>
      </c>
    </row>
    <row r="31" spans="1:9">
      <c r="A31" s="1197" t="s">
        <v>740</v>
      </c>
      <c r="B31" s="1197" t="s">
        <v>731</v>
      </c>
      <c r="C31" s="1254">
        <f>SUM('3 Vol'!E13:E33)</f>
        <v>13506830.561639184</v>
      </c>
    </row>
    <row r="32" spans="1:9">
      <c r="A32" s="1197" t="s">
        <v>745</v>
      </c>
      <c r="B32" s="1197" t="s">
        <v>732</v>
      </c>
      <c r="C32" s="1023">
        <f>ROUND(C30/C31,2)</f>
        <v>3.69</v>
      </c>
    </row>
    <row r="33" spans="1:11">
      <c r="A33" s="1187"/>
      <c r="B33" s="1187"/>
      <c r="C33" s="1257"/>
    </row>
    <row r="34" spans="1:11">
      <c r="A34" s="1187"/>
      <c r="B34" s="1187"/>
      <c r="C34" s="1257"/>
    </row>
    <row r="35" spans="1:11">
      <c r="A35" s="1194" t="s">
        <v>743</v>
      </c>
      <c r="B35" s="1187"/>
      <c r="C35" s="1257"/>
    </row>
    <row r="37" spans="1:11">
      <c r="A37" s="1573" t="s">
        <v>856</v>
      </c>
      <c r="B37" s="1247" t="s">
        <v>369</v>
      </c>
      <c r="C37" s="1247" t="s">
        <v>370</v>
      </c>
      <c r="D37" s="1247" t="s">
        <v>371</v>
      </c>
      <c r="E37" s="1247" t="s">
        <v>372</v>
      </c>
      <c r="F37" s="1247" t="s">
        <v>373</v>
      </c>
      <c r="G37" s="1247" t="s">
        <v>374</v>
      </c>
      <c r="H37" s="1247" t="s">
        <v>375</v>
      </c>
      <c r="I37" s="1247" t="s">
        <v>376</v>
      </c>
    </row>
    <row r="38" spans="1:11">
      <c r="A38" s="1574"/>
      <c r="B38" s="1255">
        <v>2024</v>
      </c>
      <c r="C38" s="1255">
        <v>2025</v>
      </c>
      <c r="D38" s="1255">
        <v>2026</v>
      </c>
      <c r="E38" s="1255">
        <v>2027</v>
      </c>
      <c r="F38" s="1255">
        <v>2028</v>
      </c>
      <c r="G38" s="1255">
        <v>2029</v>
      </c>
      <c r="H38" s="1255">
        <v>2030</v>
      </c>
      <c r="I38" s="1255">
        <v>2031</v>
      </c>
    </row>
    <row r="39" spans="1:11" ht="63.75">
      <c r="A39" s="1472" t="s">
        <v>930</v>
      </c>
      <c r="B39" s="1529" t="s">
        <v>931</v>
      </c>
      <c r="C39" s="1529" t="s">
        <v>944</v>
      </c>
      <c r="D39" s="1529" t="s">
        <v>945</v>
      </c>
      <c r="E39" s="1529" t="s">
        <v>946</v>
      </c>
      <c r="F39" s="1529" t="s">
        <v>947</v>
      </c>
      <c r="G39" s="1530"/>
      <c r="H39" s="1530" t="s">
        <v>933</v>
      </c>
      <c r="I39" s="1530" t="s">
        <v>943</v>
      </c>
    </row>
    <row r="40" spans="1:11">
      <c r="A40" s="1197" t="s">
        <v>920</v>
      </c>
      <c r="B40" s="1195">
        <f>-12*I10</f>
        <v>-12600</v>
      </c>
      <c r="C40" s="1195">
        <f>-12*I12*50%</f>
        <v>-12036</v>
      </c>
      <c r="D40" s="1195">
        <f>-12*I14-12*I12*50%</f>
        <v>-52584</v>
      </c>
      <c r="E40" s="1195">
        <f>-12*I11-12*I13*95%</f>
        <v>-70626</v>
      </c>
      <c r="F40" s="1195">
        <f>-12*I13*5%</f>
        <v>-2094</v>
      </c>
      <c r="G40" s="1195">
        <v>0</v>
      </c>
      <c r="H40" s="1195">
        <f>12*(I12+I13)</f>
        <v>65952</v>
      </c>
      <c r="I40" s="1195">
        <f>12*I11+12*I14</f>
        <v>71388</v>
      </c>
      <c r="K40" s="1245"/>
    </row>
    <row r="41" spans="1:11" s="1194" customFormat="1">
      <c r="A41" s="1199" t="s">
        <v>929</v>
      </c>
      <c r="B41" s="1527">
        <f>-E10</f>
        <v>-1087471.0930212331</v>
      </c>
      <c r="C41" s="1527">
        <f>-E12*50%</f>
        <v>-602831.14230781922</v>
      </c>
      <c r="D41" s="1527">
        <f>-E14-E12*50%</f>
        <v>-1944983.1321097673</v>
      </c>
      <c r="E41" s="1527">
        <f>-E11-E13*95%</f>
        <v>-2351041.4550004946</v>
      </c>
      <c r="F41" s="1527">
        <f>-E13*5%</f>
        <v>-60283.114230781925</v>
      </c>
      <c r="G41" s="1536">
        <v>0</v>
      </c>
      <c r="H41" s="1528">
        <f>+E12+E13</f>
        <v>2411324.5692312769</v>
      </c>
      <c r="I41" s="1528">
        <f>+E11+E14</f>
        <v>2547814.2744175866</v>
      </c>
      <c r="K41" s="1245"/>
    </row>
    <row r="42" spans="1:11" s="1194" customFormat="1">
      <c r="A42" s="1199" t="s">
        <v>921</v>
      </c>
      <c r="B42" s="1246">
        <f>ROUND($C$22*B$40,2)</f>
        <v>-4410</v>
      </c>
      <c r="C42" s="1246">
        <f>ROUND($C$22*C$40,2)</f>
        <v>-4212.6000000000004</v>
      </c>
      <c r="D42" s="1246">
        <f t="shared" ref="D42:G42" si="3">ROUND($C$22*D40,2)</f>
        <v>-18404.400000000001</v>
      </c>
      <c r="E42" s="1246">
        <f t="shared" si="3"/>
        <v>-24719.1</v>
      </c>
      <c r="F42" s="1246">
        <f t="shared" si="3"/>
        <v>-732.9</v>
      </c>
      <c r="G42" s="1246">
        <f t="shared" si="3"/>
        <v>0</v>
      </c>
      <c r="H42" s="1246">
        <f t="shared" ref="H42:I42" si="4">ROUND($C$22*H40,2)</f>
        <v>23083.200000000001</v>
      </c>
      <c r="I42" s="1246">
        <f t="shared" si="4"/>
        <v>24985.8</v>
      </c>
      <c r="K42" s="1245"/>
    </row>
    <row r="43" spans="1:11" s="1194" customFormat="1">
      <c r="A43" s="1199" t="s">
        <v>922</v>
      </c>
      <c r="B43" s="1246">
        <f t="shared" ref="B43:G43" si="5">ROUND($D$22*B$40,2)</f>
        <v>-2772</v>
      </c>
      <c r="C43" s="1246">
        <f t="shared" si="5"/>
        <v>-2647.92</v>
      </c>
      <c r="D43" s="1246">
        <f t="shared" si="5"/>
        <v>-11568.48</v>
      </c>
      <c r="E43" s="1246">
        <f t="shared" si="5"/>
        <v>-15537.72</v>
      </c>
      <c r="F43" s="1246">
        <f t="shared" si="5"/>
        <v>-460.68</v>
      </c>
      <c r="G43" s="1246">
        <f t="shared" si="5"/>
        <v>0</v>
      </c>
      <c r="H43" s="1246">
        <f t="shared" ref="H43:I43" si="6">ROUND($D$22*H$40,2)</f>
        <v>14509.44</v>
      </c>
      <c r="I43" s="1246">
        <f t="shared" si="6"/>
        <v>15705.36</v>
      </c>
      <c r="K43" s="1245"/>
    </row>
    <row r="44" spans="1:11" s="1194" customFormat="1">
      <c r="A44" s="1199" t="s">
        <v>923</v>
      </c>
      <c r="B44" s="1246">
        <f t="shared" ref="B44:G44" si="7">ROUND($E$22*B$40,2)</f>
        <v>-9702</v>
      </c>
      <c r="C44" s="1246">
        <f t="shared" si="7"/>
        <v>-9267.7199999999993</v>
      </c>
      <c r="D44" s="1246">
        <f t="shared" si="7"/>
        <v>-40489.68</v>
      </c>
      <c r="E44" s="1246">
        <f t="shared" si="7"/>
        <v>-54382.02</v>
      </c>
      <c r="F44" s="1246">
        <f t="shared" si="7"/>
        <v>-1612.38</v>
      </c>
      <c r="G44" s="1246">
        <f t="shared" si="7"/>
        <v>0</v>
      </c>
      <c r="H44" s="1246">
        <f t="shared" ref="H44:I44" si="8">ROUND($E$22*H$40,2)</f>
        <v>50783.040000000001</v>
      </c>
      <c r="I44" s="1246">
        <f t="shared" si="8"/>
        <v>54968.76</v>
      </c>
      <c r="K44" s="1245"/>
    </row>
    <row r="45" spans="1:11" s="1194" customFormat="1">
      <c r="A45" s="1199" t="s">
        <v>924</v>
      </c>
      <c r="B45" s="1246">
        <f t="shared" ref="B45:G45" si="9">ROUND($F$22*B$40,2)</f>
        <v>-378</v>
      </c>
      <c r="C45" s="1246">
        <f t="shared" si="9"/>
        <v>-361.08</v>
      </c>
      <c r="D45" s="1246">
        <f t="shared" si="9"/>
        <v>-1577.52</v>
      </c>
      <c r="E45" s="1246">
        <f t="shared" si="9"/>
        <v>-2118.7800000000002</v>
      </c>
      <c r="F45" s="1246">
        <f t="shared" si="9"/>
        <v>-62.82</v>
      </c>
      <c r="G45" s="1246">
        <f t="shared" si="9"/>
        <v>0</v>
      </c>
      <c r="H45" s="1246">
        <f t="shared" ref="H45:I45" si="10">ROUND($F$22*H$40,2)</f>
        <v>1978.56</v>
      </c>
      <c r="I45" s="1246">
        <f t="shared" si="10"/>
        <v>2141.64</v>
      </c>
      <c r="K45" s="1245"/>
    </row>
    <row r="46" spans="1:11" s="1194" customFormat="1">
      <c r="A46" s="1199" t="s">
        <v>925</v>
      </c>
      <c r="B46" s="1246">
        <f t="shared" ref="B46:G46" si="11">ROUND($G$22*B$40,2)</f>
        <v>-10836</v>
      </c>
      <c r="C46" s="1246">
        <f t="shared" si="11"/>
        <v>-10350.959999999999</v>
      </c>
      <c r="D46" s="1246">
        <f t="shared" si="11"/>
        <v>-45222.239999999998</v>
      </c>
      <c r="E46" s="1246">
        <f t="shared" si="11"/>
        <v>-60738.36</v>
      </c>
      <c r="F46" s="1246">
        <f t="shared" si="11"/>
        <v>-1800.84</v>
      </c>
      <c r="G46" s="1246">
        <f t="shared" si="11"/>
        <v>0</v>
      </c>
      <c r="H46" s="1246">
        <f t="shared" ref="H46:I46" si="12">ROUND($G$22*H$40,2)</f>
        <v>56718.720000000001</v>
      </c>
      <c r="I46" s="1246">
        <f t="shared" si="12"/>
        <v>61393.68</v>
      </c>
      <c r="K46" s="1245"/>
    </row>
    <row r="47" spans="1:11" s="1194" customFormat="1">
      <c r="A47" s="1199" t="s">
        <v>926</v>
      </c>
      <c r="B47" s="1246">
        <f t="shared" ref="B47:G47" si="13">ROUND($H$22*B$40,2)</f>
        <v>-7938</v>
      </c>
      <c r="C47" s="1246">
        <f t="shared" si="13"/>
        <v>-7582.68</v>
      </c>
      <c r="D47" s="1246">
        <f t="shared" si="13"/>
        <v>-33127.919999999998</v>
      </c>
      <c r="E47" s="1246">
        <f t="shared" si="13"/>
        <v>-44494.38</v>
      </c>
      <c r="F47" s="1246">
        <f t="shared" si="13"/>
        <v>-1319.22</v>
      </c>
      <c r="G47" s="1246">
        <f t="shared" si="13"/>
        <v>0</v>
      </c>
      <c r="H47" s="1246">
        <f t="shared" ref="H47:I47" si="14">ROUND($H$22*H$40,2)</f>
        <v>41549.760000000002</v>
      </c>
      <c r="I47" s="1246">
        <f t="shared" si="14"/>
        <v>44974.44</v>
      </c>
      <c r="K47" s="1245"/>
    </row>
    <row r="48" spans="1:11" s="1194" customFormat="1">
      <c r="A48" s="1199" t="s">
        <v>927</v>
      </c>
      <c r="B48" s="1246">
        <f t="shared" ref="B48:G48" si="15">ROUND($C$27*B40,2)</f>
        <v>0</v>
      </c>
      <c r="C48" s="1246">
        <f t="shared" si="15"/>
        <v>0</v>
      </c>
      <c r="D48" s="1246">
        <f t="shared" si="15"/>
        <v>0</v>
      </c>
      <c r="E48" s="1246">
        <f t="shared" si="15"/>
        <v>0</v>
      </c>
      <c r="F48" s="1246">
        <f t="shared" si="15"/>
        <v>0</v>
      </c>
      <c r="G48" s="1246">
        <f t="shared" si="15"/>
        <v>0</v>
      </c>
      <c r="H48" s="1246">
        <f t="shared" ref="H48:I48" si="16">ROUND($C$27*H40,2)</f>
        <v>0</v>
      </c>
      <c r="I48" s="1246">
        <f t="shared" si="16"/>
        <v>0</v>
      </c>
      <c r="K48" s="1245"/>
    </row>
    <row r="49" spans="1:11" s="1194" customFormat="1">
      <c r="A49" s="1199" t="s">
        <v>928</v>
      </c>
      <c r="B49" s="1246">
        <f>ROUND($C$32*B40,2)</f>
        <v>-46494</v>
      </c>
      <c r="C49" s="1246">
        <f t="shared" ref="C49:G49" si="17">ROUND($C$32*C40,2)</f>
        <v>-44412.84</v>
      </c>
      <c r="D49" s="1246">
        <f t="shared" si="17"/>
        <v>-194034.96</v>
      </c>
      <c r="E49" s="1246">
        <f t="shared" si="17"/>
        <v>-260609.94</v>
      </c>
      <c r="F49" s="1246">
        <f t="shared" si="17"/>
        <v>-7726.86</v>
      </c>
      <c r="G49" s="1246">
        <f t="shared" si="17"/>
        <v>0</v>
      </c>
      <c r="H49" s="1246">
        <f t="shared" ref="H49:I49" si="18">ROUND($C$32*H40,2)</f>
        <v>243362.88</v>
      </c>
      <c r="I49" s="1246">
        <f t="shared" si="18"/>
        <v>263421.71999999997</v>
      </c>
      <c r="K49" s="1245"/>
    </row>
    <row r="51" spans="1:11">
      <c r="A51" s="1573" t="s">
        <v>856</v>
      </c>
      <c r="B51" s="1247" t="s">
        <v>377</v>
      </c>
      <c r="C51" s="1247" t="s">
        <v>378</v>
      </c>
      <c r="D51" s="1247" t="s">
        <v>379</v>
      </c>
      <c r="E51" s="1247" t="s">
        <v>380</v>
      </c>
      <c r="F51" s="1247" t="s">
        <v>381</v>
      </c>
      <c r="G51" s="1247" t="s">
        <v>382</v>
      </c>
      <c r="H51" s="1247" t="s">
        <v>383</v>
      </c>
      <c r="I51" s="1247" t="s">
        <v>384</v>
      </c>
    </row>
    <row r="52" spans="1:11">
      <c r="A52" s="1574"/>
      <c r="B52" s="1255">
        <v>2032</v>
      </c>
      <c r="C52" s="1255">
        <v>2033</v>
      </c>
      <c r="D52" s="1255">
        <v>2034</v>
      </c>
      <c r="E52" s="1255">
        <v>2035</v>
      </c>
      <c r="F52" s="1255">
        <v>2036</v>
      </c>
      <c r="G52" s="1255">
        <v>2037</v>
      </c>
      <c r="H52" s="1255">
        <v>2038</v>
      </c>
      <c r="I52" s="1255">
        <v>2039</v>
      </c>
    </row>
    <row r="53" spans="1:11" ht="25.5">
      <c r="A53" s="1472" t="s">
        <v>930</v>
      </c>
      <c r="B53" s="1530" t="s">
        <v>932</v>
      </c>
      <c r="C53" s="1255"/>
      <c r="D53" s="1255"/>
      <c r="E53" s="1255"/>
      <c r="F53" s="1255"/>
      <c r="G53" s="1255"/>
      <c r="H53" s="1255"/>
      <c r="I53" s="1255"/>
    </row>
    <row r="54" spans="1:11">
      <c r="A54" s="1197" t="s">
        <v>920</v>
      </c>
      <c r="B54" s="1195">
        <f>I10*12</f>
        <v>12600</v>
      </c>
      <c r="C54" s="1195">
        <v>0</v>
      </c>
      <c r="D54" s="1195">
        <v>0</v>
      </c>
      <c r="E54" s="1195">
        <v>0</v>
      </c>
      <c r="F54" s="1195">
        <v>0</v>
      </c>
      <c r="G54" s="1195">
        <v>0</v>
      </c>
      <c r="H54" s="1195">
        <v>0</v>
      </c>
      <c r="I54" s="1195">
        <v>0</v>
      </c>
      <c r="K54" s="1245"/>
    </row>
    <row r="55" spans="1:11">
      <c r="A55" s="1199" t="s">
        <v>929</v>
      </c>
      <c r="B55" s="1528">
        <f>E10</f>
        <v>1087471.0930212331</v>
      </c>
      <c r="C55" s="1199"/>
      <c r="D55" s="1199"/>
      <c r="E55" s="1199"/>
      <c r="F55" s="1199"/>
      <c r="G55" s="1199"/>
      <c r="H55" s="1199"/>
      <c r="I55" s="1199"/>
      <c r="K55" s="1245"/>
    </row>
    <row r="56" spans="1:11">
      <c r="A56" s="1199" t="s">
        <v>921</v>
      </c>
      <c r="B56" s="1246">
        <f t="shared" ref="B56:I56" si="19">ROUND($C$22*B54,2)</f>
        <v>4410</v>
      </c>
      <c r="C56" s="1246">
        <f t="shared" si="19"/>
        <v>0</v>
      </c>
      <c r="D56" s="1246">
        <f t="shared" si="19"/>
        <v>0</v>
      </c>
      <c r="E56" s="1246">
        <f t="shared" si="19"/>
        <v>0</v>
      </c>
      <c r="F56" s="1246">
        <f t="shared" si="19"/>
        <v>0</v>
      </c>
      <c r="G56" s="1246">
        <f t="shared" si="19"/>
        <v>0</v>
      </c>
      <c r="H56" s="1246">
        <f t="shared" si="19"/>
        <v>0</v>
      </c>
      <c r="I56" s="1246">
        <f t="shared" si="19"/>
        <v>0</v>
      </c>
      <c r="K56" s="1245"/>
    </row>
    <row r="57" spans="1:11">
      <c r="A57" s="1199" t="s">
        <v>922</v>
      </c>
      <c r="B57" s="1246">
        <f t="shared" ref="B57:I57" si="20">ROUND($D$22*B$54,2)</f>
        <v>2772</v>
      </c>
      <c r="C57" s="1246">
        <f t="shared" si="20"/>
        <v>0</v>
      </c>
      <c r="D57" s="1246">
        <f t="shared" si="20"/>
        <v>0</v>
      </c>
      <c r="E57" s="1246">
        <f t="shared" si="20"/>
        <v>0</v>
      </c>
      <c r="F57" s="1246">
        <f t="shared" si="20"/>
        <v>0</v>
      </c>
      <c r="G57" s="1246">
        <f t="shared" si="20"/>
        <v>0</v>
      </c>
      <c r="H57" s="1246">
        <f t="shared" si="20"/>
        <v>0</v>
      </c>
      <c r="I57" s="1246">
        <f t="shared" si="20"/>
        <v>0</v>
      </c>
      <c r="K57" s="1245"/>
    </row>
    <row r="58" spans="1:11">
      <c r="A58" s="1199" t="s">
        <v>923</v>
      </c>
      <c r="B58" s="1246">
        <f t="shared" ref="B58:I58" si="21">ROUND($E$22*B$54,2)</f>
        <v>9702</v>
      </c>
      <c r="C58" s="1246">
        <f t="shared" si="21"/>
        <v>0</v>
      </c>
      <c r="D58" s="1246">
        <f t="shared" si="21"/>
        <v>0</v>
      </c>
      <c r="E58" s="1246">
        <f t="shared" si="21"/>
        <v>0</v>
      </c>
      <c r="F58" s="1246">
        <f t="shared" si="21"/>
        <v>0</v>
      </c>
      <c r="G58" s="1246">
        <f t="shared" si="21"/>
        <v>0</v>
      </c>
      <c r="H58" s="1246">
        <f t="shared" si="21"/>
        <v>0</v>
      </c>
      <c r="I58" s="1246">
        <f t="shared" si="21"/>
        <v>0</v>
      </c>
      <c r="K58" s="1245"/>
    </row>
    <row r="59" spans="1:11">
      <c r="A59" s="1199" t="s">
        <v>924</v>
      </c>
      <c r="B59" s="1246">
        <f t="shared" ref="B59:I59" si="22">ROUND($F$22*B$54,2)</f>
        <v>378</v>
      </c>
      <c r="C59" s="1246">
        <f t="shared" si="22"/>
        <v>0</v>
      </c>
      <c r="D59" s="1246">
        <f t="shared" si="22"/>
        <v>0</v>
      </c>
      <c r="E59" s="1246">
        <f t="shared" si="22"/>
        <v>0</v>
      </c>
      <c r="F59" s="1246">
        <f t="shared" si="22"/>
        <v>0</v>
      </c>
      <c r="G59" s="1246">
        <f t="shared" si="22"/>
        <v>0</v>
      </c>
      <c r="H59" s="1246">
        <f t="shared" si="22"/>
        <v>0</v>
      </c>
      <c r="I59" s="1246">
        <f t="shared" si="22"/>
        <v>0</v>
      </c>
      <c r="K59" s="1245"/>
    </row>
    <row r="60" spans="1:11">
      <c r="A60" s="1199" t="s">
        <v>925</v>
      </c>
      <c r="B60" s="1246">
        <f t="shared" ref="B60:I60" si="23">ROUND($G$22*B$54,2)</f>
        <v>10836</v>
      </c>
      <c r="C60" s="1246">
        <f t="shared" si="23"/>
        <v>0</v>
      </c>
      <c r="D60" s="1246">
        <f t="shared" si="23"/>
        <v>0</v>
      </c>
      <c r="E60" s="1246">
        <f t="shared" si="23"/>
        <v>0</v>
      </c>
      <c r="F60" s="1246">
        <f t="shared" si="23"/>
        <v>0</v>
      </c>
      <c r="G60" s="1246">
        <f t="shared" si="23"/>
        <v>0</v>
      </c>
      <c r="H60" s="1246">
        <f t="shared" si="23"/>
        <v>0</v>
      </c>
      <c r="I60" s="1246">
        <f t="shared" si="23"/>
        <v>0</v>
      </c>
      <c r="K60" s="1245"/>
    </row>
    <row r="61" spans="1:11">
      <c r="A61" s="1199" t="s">
        <v>926</v>
      </c>
      <c r="B61" s="1246">
        <f t="shared" ref="B61:I61" si="24">ROUND($H$22*B$54,2)</f>
        <v>7938</v>
      </c>
      <c r="C61" s="1246">
        <f t="shared" si="24"/>
        <v>0</v>
      </c>
      <c r="D61" s="1246">
        <f t="shared" si="24"/>
        <v>0</v>
      </c>
      <c r="E61" s="1246">
        <f t="shared" si="24"/>
        <v>0</v>
      </c>
      <c r="F61" s="1246">
        <f t="shared" si="24"/>
        <v>0</v>
      </c>
      <c r="G61" s="1246">
        <f t="shared" si="24"/>
        <v>0</v>
      </c>
      <c r="H61" s="1246">
        <f t="shared" si="24"/>
        <v>0</v>
      </c>
      <c r="I61" s="1246">
        <f t="shared" si="24"/>
        <v>0</v>
      </c>
      <c r="K61" s="1245"/>
    </row>
    <row r="62" spans="1:11">
      <c r="A62" s="1199" t="s">
        <v>927</v>
      </c>
      <c r="B62" s="1246">
        <f t="shared" ref="B62:I62" si="25">ROUND($C$27*B54,2)</f>
        <v>0</v>
      </c>
      <c r="C62" s="1246">
        <f t="shared" si="25"/>
        <v>0</v>
      </c>
      <c r="D62" s="1246">
        <f t="shared" si="25"/>
        <v>0</v>
      </c>
      <c r="E62" s="1246">
        <f t="shared" si="25"/>
        <v>0</v>
      </c>
      <c r="F62" s="1246">
        <f t="shared" si="25"/>
        <v>0</v>
      </c>
      <c r="G62" s="1246">
        <f t="shared" si="25"/>
        <v>0</v>
      </c>
      <c r="H62" s="1246">
        <f t="shared" si="25"/>
        <v>0</v>
      </c>
      <c r="I62" s="1246">
        <f t="shared" si="25"/>
        <v>0</v>
      </c>
      <c r="K62" s="1245"/>
    </row>
    <row r="63" spans="1:11">
      <c r="A63" s="1199" t="s">
        <v>928</v>
      </c>
      <c r="B63" s="1246">
        <f t="shared" ref="B63:I63" si="26">ROUND($C$32*B54,2)</f>
        <v>46494</v>
      </c>
      <c r="C63" s="1246">
        <f t="shared" si="26"/>
        <v>0</v>
      </c>
      <c r="D63" s="1246">
        <f t="shared" si="26"/>
        <v>0</v>
      </c>
      <c r="E63" s="1246">
        <f t="shared" si="26"/>
        <v>0</v>
      </c>
      <c r="F63" s="1246">
        <f t="shared" si="26"/>
        <v>0</v>
      </c>
      <c r="G63" s="1246">
        <f t="shared" si="26"/>
        <v>0</v>
      </c>
      <c r="H63" s="1246">
        <f t="shared" si="26"/>
        <v>0</v>
      </c>
      <c r="I63" s="1246">
        <f t="shared" si="26"/>
        <v>0</v>
      </c>
      <c r="K63" s="1245"/>
    </row>
    <row r="65" spans="1:8">
      <c r="A65" s="1573" t="s">
        <v>856</v>
      </c>
      <c r="B65" s="1247" t="s">
        <v>385</v>
      </c>
      <c r="C65" s="1247" t="s">
        <v>386</v>
      </c>
      <c r="D65" s="1247" t="s">
        <v>387</v>
      </c>
      <c r="E65" s="1247" t="s">
        <v>388</v>
      </c>
      <c r="F65" s="1247" t="s">
        <v>389</v>
      </c>
      <c r="G65" s="1247" t="s">
        <v>390</v>
      </c>
      <c r="H65" s="1575" t="s">
        <v>121</v>
      </c>
    </row>
    <row r="66" spans="1:8">
      <c r="A66" s="1574"/>
      <c r="B66" s="1255">
        <v>2040</v>
      </c>
      <c r="C66" s="1255">
        <v>2041</v>
      </c>
      <c r="D66" s="1255">
        <v>2042</v>
      </c>
      <c r="E66" s="1255">
        <v>2043</v>
      </c>
      <c r="F66" s="1255">
        <v>2044</v>
      </c>
      <c r="G66" s="1255">
        <v>2045</v>
      </c>
      <c r="H66" s="1575"/>
    </row>
    <row r="67" spans="1:8">
      <c r="A67" s="1472" t="s">
        <v>930</v>
      </c>
      <c r="B67" s="1255"/>
      <c r="C67" s="1255"/>
      <c r="D67" s="1255"/>
      <c r="E67" s="1255"/>
      <c r="F67" s="1255"/>
      <c r="G67" s="1255"/>
      <c r="H67" s="1252"/>
    </row>
    <row r="68" spans="1:8">
      <c r="A68" s="1197" t="s">
        <v>920</v>
      </c>
      <c r="B68" s="1195">
        <v>0</v>
      </c>
      <c r="C68" s="1195">
        <v>0</v>
      </c>
      <c r="D68" s="1195">
        <v>0</v>
      </c>
      <c r="E68" s="1195">
        <v>0</v>
      </c>
      <c r="F68" s="1195">
        <v>0</v>
      </c>
      <c r="G68" s="1195">
        <v>0</v>
      </c>
      <c r="H68" s="1246">
        <f t="shared" ref="H68:H77" si="27">SUM(B40:I40)+SUM(B54:I54)+SUM(B68:G68)</f>
        <v>0</v>
      </c>
    </row>
    <row r="69" spans="1:8">
      <c r="A69" s="1199" t="s">
        <v>929</v>
      </c>
      <c r="B69" s="1199"/>
      <c r="C69" s="1199"/>
      <c r="D69" s="1199"/>
      <c r="E69" s="1199"/>
      <c r="F69" s="1199"/>
      <c r="G69" s="1199"/>
      <c r="H69" s="1246">
        <f t="shared" si="27"/>
        <v>0</v>
      </c>
    </row>
    <row r="70" spans="1:8">
      <c r="A70" s="1199" t="s">
        <v>921</v>
      </c>
      <c r="B70" s="1246">
        <f t="shared" ref="B70:G70" si="28">ROUND($C$22*B68,2)</f>
        <v>0</v>
      </c>
      <c r="C70" s="1246">
        <f t="shared" si="28"/>
        <v>0</v>
      </c>
      <c r="D70" s="1246">
        <f t="shared" si="28"/>
        <v>0</v>
      </c>
      <c r="E70" s="1246">
        <f t="shared" si="28"/>
        <v>0</v>
      </c>
      <c r="F70" s="1246">
        <f t="shared" si="28"/>
        <v>0</v>
      </c>
      <c r="G70" s="1246">
        <f t="shared" si="28"/>
        <v>0</v>
      </c>
      <c r="H70" s="1246">
        <f t="shared" si="27"/>
        <v>0</v>
      </c>
    </row>
    <row r="71" spans="1:8">
      <c r="A71" s="1199" t="s">
        <v>922</v>
      </c>
      <c r="B71" s="1246">
        <f t="shared" ref="B71:G71" si="29">ROUND($D$22*B$68,2)</f>
        <v>0</v>
      </c>
      <c r="C71" s="1246">
        <f t="shared" si="29"/>
        <v>0</v>
      </c>
      <c r="D71" s="1246">
        <f t="shared" si="29"/>
        <v>0</v>
      </c>
      <c r="E71" s="1246">
        <f t="shared" si="29"/>
        <v>0</v>
      </c>
      <c r="F71" s="1246">
        <f t="shared" si="29"/>
        <v>0</v>
      </c>
      <c r="G71" s="1246">
        <f t="shared" si="29"/>
        <v>0</v>
      </c>
      <c r="H71" s="1246">
        <f t="shared" si="27"/>
        <v>0</v>
      </c>
    </row>
    <row r="72" spans="1:8">
      <c r="A72" s="1199" t="s">
        <v>923</v>
      </c>
      <c r="B72" s="1246">
        <f t="shared" ref="B72:G72" si="30">ROUND($E$22*B$68,2)</f>
        <v>0</v>
      </c>
      <c r="C72" s="1246">
        <f t="shared" si="30"/>
        <v>0</v>
      </c>
      <c r="D72" s="1246">
        <f t="shared" si="30"/>
        <v>0</v>
      </c>
      <c r="E72" s="1246">
        <f t="shared" si="30"/>
        <v>0</v>
      </c>
      <c r="F72" s="1246">
        <f t="shared" si="30"/>
        <v>0</v>
      </c>
      <c r="G72" s="1246">
        <f t="shared" si="30"/>
        <v>0</v>
      </c>
      <c r="H72" s="1246">
        <f t="shared" si="27"/>
        <v>0</v>
      </c>
    </row>
    <row r="73" spans="1:8">
      <c r="A73" s="1199" t="s">
        <v>924</v>
      </c>
      <c r="B73" s="1246">
        <f t="shared" ref="B73:G73" si="31">ROUND($F$22*B$68,2)</f>
        <v>0</v>
      </c>
      <c r="C73" s="1246">
        <f t="shared" si="31"/>
        <v>0</v>
      </c>
      <c r="D73" s="1246">
        <f t="shared" si="31"/>
        <v>0</v>
      </c>
      <c r="E73" s="1246">
        <f t="shared" si="31"/>
        <v>0</v>
      </c>
      <c r="F73" s="1246">
        <f t="shared" si="31"/>
        <v>0</v>
      </c>
      <c r="G73" s="1246">
        <f t="shared" si="31"/>
        <v>0</v>
      </c>
      <c r="H73" s="1246">
        <f t="shared" si="27"/>
        <v>0</v>
      </c>
    </row>
    <row r="74" spans="1:8">
      <c r="A74" s="1199" t="s">
        <v>925</v>
      </c>
      <c r="B74" s="1246">
        <f t="shared" ref="B74:G74" si="32">ROUND($G$22*B$68,2)</f>
        <v>0</v>
      </c>
      <c r="C74" s="1246">
        <f t="shared" si="32"/>
        <v>0</v>
      </c>
      <c r="D74" s="1246">
        <f t="shared" si="32"/>
        <v>0</v>
      </c>
      <c r="E74" s="1246">
        <f t="shared" si="32"/>
        <v>0</v>
      </c>
      <c r="F74" s="1246">
        <f t="shared" si="32"/>
        <v>0</v>
      </c>
      <c r="G74" s="1246">
        <f t="shared" si="32"/>
        <v>0</v>
      </c>
      <c r="H74" s="1246">
        <f t="shared" si="27"/>
        <v>7.2759576141834259E-12</v>
      </c>
    </row>
    <row r="75" spans="1:8">
      <c r="A75" s="1199" t="s">
        <v>926</v>
      </c>
      <c r="B75" s="1246">
        <f t="shared" ref="B75:G75" si="33">ROUND($H$22*B$68,2)</f>
        <v>0</v>
      </c>
      <c r="C75" s="1246">
        <f t="shared" si="33"/>
        <v>0</v>
      </c>
      <c r="D75" s="1246">
        <f t="shared" si="33"/>
        <v>0</v>
      </c>
      <c r="E75" s="1246">
        <f t="shared" si="33"/>
        <v>0</v>
      </c>
      <c r="F75" s="1246">
        <f t="shared" si="33"/>
        <v>0</v>
      </c>
      <c r="G75" s="1246">
        <f t="shared" si="33"/>
        <v>0</v>
      </c>
      <c r="H75" s="1246">
        <f t="shared" si="27"/>
        <v>7.2759576141834259E-12</v>
      </c>
    </row>
    <row r="76" spans="1:8">
      <c r="A76" s="1199" t="s">
        <v>927</v>
      </c>
      <c r="B76" s="1246">
        <f t="shared" ref="B76:G76" si="34">ROUND($C$27*B68,2)</f>
        <v>0</v>
      </c>
      <c r="C76" s="1246">
        <f t="shared" si="34"/>
        <v>0</v>
      </c>
      <c r="D76" s="1246">
        <f t="shared" si="34"/>
        <v>0</v>
      </c>
      <c r="E76" s="1246">
        <f t="shared" si="34"/>
        <v>0</v>
      </c>
      <c r="F76" s="1246">
        <f t="shared" si="34"/>
        <v>0</v>
      </c>
      <c r="G76" s="1246">
        <f t="shared" si="34"/>
        <v>0</v>
      </c>
      <c r="H76" s="1246">
        <f t="shared" si="27"/>
        <v>0</v>
      </c>
    </row>
    <row r="77" spans="1:8">
      <c r="A77" s="1199" t="s">
        <v>928</v>
      </c>
      <c r="B77" s="1246">
        <f>ROUND($C$32*B68,2)</f>
        <v>0</v>
      </c>
      <c r="C77" s="1246">
        <f t="shared" ref="C77:G77" si="35">ROUND($C$32*C68,2)</f>
        <v>0</v>
      </c>
      <c r="D77" s="1246">
        <f t="shared" si="35"/>
        <v>0</v>
      </c>
      <c r="E77" s="1246">
        <f t="shared" si="35"/>
        <v>0</v>
      </c>
      <c r="F77" s="1246">
        <f t="shared" si="35"/>
        <v>0</v>
      </c>
      <c r="G77" s="1246">
        <f t="shared" si="35"/>
        <v>0</v>
      </c>
      <c r="H77" s="1246">
        <f t="shared" si="27"/>
        <v>0</v>
      </c>
    </row>
  </sheetData>
  <mergeCells count="4">
    <mergeCell ref="A37:A38"/>
    <mergeCell ref="A51:A52"/>
    <mergeCell ref="A65:A66"/>
    <mergeCell ref="H65:H66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7162E-A1CA-46A2-98BF-A3369D9EF925}">
  <sheetPr>
    <tabColor rgb="FF00FF00"/>
    <pageSetUpPr fitToPage="1"/>
  </sheetPr>
  <dimension ref="A1:AL371"/>
  <sheetViews>
    <sheetView workbookViewId="0">
      <selection activeCell="C27" sqref="C27"/>
    </sheetView>
  </sheetViews>
  <sheetFormatPr defaultRowHeight="12.75"/>
  <cols>
    <col min="1" max="1" width="14" style="13" bestFit="1" customWidth="1"/>
    <col min="2" max="2" width="14.85546875" style="13" customWidth="1"/>
    <col min="3" max="3" width="9.140625" style="13"/>
    <col min="4" max="4" width="10.42578125" style="13" customWidth="1"/>
    <col min="5" max="5" width="9.140625" style="13" customWidth="1"/>
    <col min="6" max="33" width="9.140625" style="13"/>
    <col min="34" max="34" width="11" style="13" customWidth="1"/>
    <col min="35" max="256" width="9.140625" style="13"/>
    <col min="257" max="257" width="14" style="13" bestFit="1" customWidth="1"/>
    <col min="258" max="258" width="14.85546875" style="13" customWidth="1"/>
    <col min="259" max="260" width="9.140625" style="13"/>
    <col min="261" max="261" width="9.140625" style="13" customWidth="1"/>
    <col min="262" max="289" width="9.140625" style="13"/>
    <col min="290" max="290" width="11" style="13" customWidth="1"/>
    <col min="291" max="512" width="9.140625" style="13"/>
    <col min="513" max="513" width="14" style="13" bestFit="1" customWidth="1"/>
    <col min="514" max="514" width="14.85546875" style="13" customWidth="1"/>
    <col min="515" max="516" width="9.140625" style="13"/>
    <col min="517" max="517" width="9.140625" style="13" customWidth="1"/>
    <col min="518" max="545" width="9.140625" style="13"/>
    <col min="546" max="546" width="11" style="13" customWidth="1"/>
    <col min="547" max="768" width="9.140625" style="13"/>
    <col min="769" max="769" width="14" style="13" bestFit="1" customWidth="1"/>
    <col min="770" max="770" width="14.85546875" style="13" customWidth="1"/>
    <col min="771" max="772" width="9.140625" style="13"/>
    <col min="773" max="773" width="9.140625" style="13" customWidth="1"/>
    <col min="774" max="801" width="9.140625" style="13"/>
    <col min="802" max="802" width="11" style="13" customWidth="1"/>
    <col min="803" max="1024" width="9.140625" style="13"/>
    <col min="1025" max="1025" width="14" style="13" bestFit="1" customWidth="1"/>
    <col min="1026" max="1026" width="14.85546875" style="13" customWidth="1"/>
    <col min="1027" max="1028" width="9.140625" style="13"/>
    <col min="1029" max="1029" width="9.140625" style="13" customWidth="1"/>
    <col min="1030" max="1057" width="9.140625" style="13"/>
    <col min="1058" max="1058" width="11" style="13" customWidth="1"/>
    <col min="1059" max="1280" width="9.140625" style="13"/>
    <col min="1281" max="1281" width="14" style="13" bestFit="1" customWidth="1"/>
    <col min="1282" max="1282" width="14.85546875" style="13" customWidth="1"/>
    <col min="1283" max="1284" width="9.140625" style="13"/>
    <col min="1285" max="1285" width="9.140625" style="13" customWidth="1"/>
    <col min="1286" max="1313" width="9.140625" style="13"/>
    <col min="1314" max="1314" width="11" style="13" customWidth="1"/>
    <col min="1315" max="1536" width="9.140625" style="13"/>
    <col min="1537" max="1537" width="14" style="13" bestFit="1" customWidth="1"/>
    <col min="1538" max="1538" width="14.85546875" style="13" customWidth="1"/>
    <col min="1539" max="1540" width="9.140625" style="13"/>
    <col min="1541" max="1541" width="9.140625" style="13" customWidth="1"/>
    <col min="1542" max="1569" width="9.140625" style="13"/>
    <col min="1570" max="1570" width="11" style="13" customWidth="1"/>
    <col min="1571" max="1792" width="9.140625" style="13"/>
    <col min="1793" max="1793" width="14" style="13" bestFit="1" customWidth="1"/>
    <col min="1794" max="1794" width="14.85546875" style="13" customWidth="1"/>
    <col min="1795" max="1796" width="9.140625" style="13"/>
    <col min="1797" max="1797" width="9.140625" style="13" customWidth="1"/>
    <col min="1798" max="1825" width="9.140625" style="13"/>
    <col min="1826" max="1826" width="11" style="13" customWidth="1"/>
    <col min="1827" max="2048" width="9.140625" style="13"/>
    <col min="2049" max="2049" width="14" style="13" bestFit="1" customWidth="1"/>
    <col min="2050" max="2050" width="14.85546875" style="13" customWidth="1"/>
    <col min="2051" max="2052" width="9.140625" style="13"/>
    <col min="2053" max="2053" width="9.140625" style="13" customWidth="1"/>
    <col min="2054" max="2081" width="9.140625" style="13"/>
    <col min="2082" max="2082" width="11" style="13" customWidth="1"/>
    <col min="2083" max="2304" width="9.140625" style="13"/>
    <col min="2305" max="2305" width="14" style="13" bestFit="1" customWidth="1"/>
    <col min="2306" max="2306" width="14.85546875" style="13" customWidth="1"/>
    <col min="2307" max="2308" width="9.140625" style="13"/>
    <col min="2309" max="2309" width="9.140625" style="13" customWidth="1"/>
    <col min="2310" max="2337" width="9.140625" style="13"/>
    <col min="2338" max="2338" width="11" style="13" customWidth="1"/>
    <col min="2339" max="2560" width="9.140625" style="13"/>
    <col min="2561" max="2561" width="14" style="13" bestFit="1" customWidth="1"/>
    <col min="2562" max="2562" width="14.85546875" style="13" customWidth="1"/>
    <col min="2563" max="2564" width="9.140625" style="13"/>
    <col min="2565" max="2565" width="9.140625" style="13" customWidth="1"/>
    <col min="2566" max="2593" width="9.140625" style="13"/>
    <col min="2594" max="2594" width="11" style="13" customWidth="1"/>
    <col min="2595" max="2816" width="9.140625" style="13"/>
    <col min="2817" max="2817" width="14" style="13" bestFit="1" customWidth="1"/>
    <col min="2818" max="2818" width="14.85546875" style="13" customWidth="1"/>
    <col min="2819" max="2820" width="9.140625" style="13"/>
    <col min="2821" max="2821" width="9.140625" style="13" customWidth="1"/>
    <col min="2822" max="2849" width="9.140625" style="13"/>
    <col min="2850" max="2850" width="11" style="13" customWidth="1"/>
    <col min="2851" max="3072" width="9.140625" style="13"/>
    <col min="3073" max="3073" width="14" style="13" bestFit="1" customWidth="1"/>
    <col min="3074" max="3074" width="14.85546875" style="13" customWidth="1"/>
    <col min="3075" max="3076" width="9.140625" style="13"/>
    <col min="3077" max="3077" width="9.140625" style="13" customWidth="1"/>
    <col min="3078" max="3105" width="9.140625" style="13"/>
    <col min="3106" max="3106" width="11" style="13" customWidth="1"/>
    <col min="3107" max="3328" width="9.140625" style="13"/>
    <col min="3329" max="3329" width="14" style="13" bestFit="1" customWidth="1"/>
    <col min="3330" max="3330" width="14.85546875" style="13" customWidth="1"/>
    <col min="3331" max="3332" width="9.140625" style="13"/>
    <col min="3333" max="3333" width="9.140625" style="13" customWidth="1"/>
    <col min="3334" max="3361" width="9.140625" style="13"/>
    <col min="3362" max="3362" width="11" style="13" customWidth="1"/>
    <col min="3363" max="3584" width="9.140625" style="13"/>
    <col min="3585" max="3585" width="14" style="13" bestFit="1" customWidth="1"/>
    <col min="3586" max="3586" width="14.85546875" style="13" customWidth="1"/>
    <col min="3587" max="3588" width="9.140625" style="13"/>
    <col min="3589" max="3589" width="9.140625" style="13" customWidth="1"/>
    <col min="3590" max="3617" width="9.140625" style="13"/>
    <col min="3618" max="3618" width="11" style="13" customWidth="1"/>
    <col min="3619" max="3840" width="9.140625" style="13"/>
    <col min="3841" max="3841" width="14" style="13" bestFit="1" customWidth="1"/>
    <col min="3842" max="3842" width="14.85546875" style="13" customWidth="1"/>
    <col min="3843" max="3844" width="9.140625" style="13"/>
    <col min="3845" max="3845" width="9.140625" style="13" customWidth="1"/>
    <col min="3846" max="3873" width="9.140625" style="13"/>
    <col min="3874" max="3874" width="11" style="13" customWidth="1"/>
    <col min="3875" max="4096" width="9.140625" style="13"/>
    <col min="4097" max="4097" width="14" style="13" bestFit="1" customWidth="1"/>
    <col min="4098" max="4098" width="14.85546875" style="13" customWidth="1"/>
    <col min="4099" max="4100" width="9.140625" style="13"/>
    <col min="4101" max="4101" width="9.140625" style="13" customWidth="1"/>
    <col min="4102" max="4129" width="9.140625" style="13"/>
    <col min="4130" max="4130" width="11" style="13" customWidth="1"/>
    <col min="4131" max="4352" width="9.140625" style="13"/>
    <col min="4353" max="4353" width="14" style="13" bestFit="1" customWidth="1"/>
    <col min="4354" max="4354" width="14.85546875" style="13" customWidth="1"/>
    <col min="4355" max="4356" width="9.140625" style="13"/>
    <col min="4357" max="4357" width="9.140625" style="13" customWidth="1"/>
    <col min="4358" max="4385" width="9.140625" style="13"/>
    <col min="4386" max="4386" width="11" style="13" customWidth="1"/>
    <col min="4387" max="4608" width="9.140625" style="13"/>
    <col min="4609" max="4609" width="14" style="13" bestFit="1" customWidth="1"/>
    <col min="4610" max="4610" width="14.85546875" style="13" customWidth="1"/>
    <col min="4611" max="4612" width="9.140625" style="13"/>
    <col min="4613" max="4613" width="9.140625" style="13" customWidth="1"/>
    <col min="4614" max="4641" width="9.140625" style="13"/>
    <col min="4642" max="4642" width="11" style="13" customWidth="1"/>
    <col min="4643" max="4864" width="9.140625" style="13"/>
    <col min="4865" max="4865" width="14" style="13" bestFit="1" customWidth="1"/>
    <col min="4866" max="4866" width="14.85546875" style="13" customWidth="1"/>
    <col min="4867" max="4868" width="9.140625" style="13"/>
    <col min="4869" max="4869" width="9.140625" style="13" customWidth="1"/>
    <col min="4870" max="4897" width="9.140625" style="13"/>
    <col min="4898" max="4898" width="11" style="13" customWidth="1"/>
    <col min="4899" max="5120" width="9.140625" style="13"/>
    <col min="5121" max="5121" width="14" style="13" bestFit="1" customWidth="1"/>
    <col min="5122" max="5122" width="14.85546875" style="13" customWidth="1"/>
    <col min="5123" max="5124" width="9.140625" style="13"/>
    <col min="5125" max="5125" width="9.140625" style="13" customWidth="1"/>
    <col min="5126" max="5153" width="9.140625" style="13"/>
    <col min="5154" max="5154" width="11" style="13" customWidth="1"/>
    <col min="5155" max="5376" width="9.140625" style="13"/>
    <col min="5377" max="5377" width="14" style="13" bestFit="1" customWidth="1"/>
    <col min="5378" max="5378" width="14.85546875" style="13" customWidth="1"/>
    <col min="5379" max="5380" width="9.140625" style="13"/>
    <col min="5381" max="5381" width="9.140625" style="13" customWidth="1"/>
    <col min="5382" max="5409" width="9.140625" style="13"/>
    <col min="5410" max="5410" width="11" style="13" customWidth="1"/>
    <col min="5411" max="5632" width="9.140625" style="13"/>
    <col min="5633" max="5633" width="14" style="13" bestFit="1" customWidth="1"/>
    <col min="5634" max="5634" width="14.85546875" style="13" customWidth="1"/>
    <col min="5635" max="5636" width="9.140625" style="13"/>
    <col min="5637" max="5637" width="9.140625" style="13" customWidth="1"/>
    <col min="5638" max="5665" width="9.140625" style="13"/>
    <col min="5666" max="5666" width="11" style="13" customWidth="1"/>
    <col min="5667" max="5888" width="9.140625" style="13"/>
    <col min="5889" max="5889" width="14" style="13" bestFit="1" customWidth="1"/>
    <col min="5890" max="5890" width="14.85546875" style="13" customWidth="1"/>
    <col min="5891" max="5892" width="9.140625" style="13"/>
    <col min="5893" max="5893" width="9.140625" style="13" customWidth="1"/>
    <col min="5894" max="5921" width="9.140625" style="13"/>
    <col min="5922" max="5922" width="11" style="13" customWidth="1"/>
    <col min="5923" max="6144" width="9.140625" style="13"/>
    <col min="6145" max="6145" width="14" style="13" bestFit="1" customWidth="1"/>
    <col min="6146" max="6146" width="14.85546875" style="13" customWidth="1"/>
    <col min="6147" max="6148" width="9.140625" style="13"/>
    <col min="6149" max="6149" width="9.140625" style="13" customWidth="1"/>
    <col min="6150" max="6177" width="9.140625" style="13"/>
    <col min="6178" max="6178" width="11" style="13" customWidth="1"/>
    <col min="6179" max="6400" width="9.140625" style="13"/>
    <col min="6401" max="6401" width="14" style="13" bestFit="1" customWidth="1"/>
    <col min="6402" max="6402" width="14.85546875" style="13" customWidth="1"/>
    <col min="6403" max="6404" width="9.140625" style="13"/>
    <col min="6405" max="6405" width="9.140625" style="13" customWidth="1"/>
    <col min="6406" max="6433" width="9.140625" style="13"/>
    <col min="6434" max="6434" width="11" style="13" customWidth="1"/>
    <col min="6435" max="6656" width="9.140625" style="13"/>
    <col min="6657" max="6657" width="14" style="13" bestFit="1" customWidth="1"/>
    <col min="6658" max="6658" width="14.85546875" style="13" customWidth="1"/>
    <col min="6659" max="6660" width="9.140625" style="13"/>
    <col min="6661" max="6661" width="9.140625" style="13" customWidth="1"/>
    <col min="6662" max="6689" width="9.140625" style="13"/>
    <col min="6690" max="6690" width="11" style="13" customWidth="1"/>
    <col min="6691" max="6912" width="9.140625" style="13"/>
    <col min="6913" max="6913" width="14" style="13" bestFit="1" customWidth="1"/>
    <col min="6914" max="6914" width="14.85546875" style="13" customWidth="1"/>
    <col min="6915" max="6916" width="9.140625" style="13"/>
    <col min="6917" max="6917" width="9.140625" style="13" customWidth="1"/>
    <col min="6918" max="6945" width="9.140625" style="13"/>
    <col min="6946" max="6946" width="11" style="13" customWidth="1"/>
    <col min="6947" max="7168" width="9.140625" style="13"/>
    <col min="7169" max="7169" width="14" style="13" bestFit="1" customWidth="1"/>
    <col min="7170" max="7170" width="14.85546875" style="13" customWidth="1"/>
    <col min="7171" max="7172" width="9.140625" style="13"/>
    <col min="7173" max="7173" width="9.140625" style="13" customWidth="1"/>
    <col min="7174" max="7201" width="9.140625" style="13"/>
    <col min="7202" max="7202" width="11" style="13" customWidth="1"/>
    <col min="7203" max="7424" width="9.140625" style="13"/>
    <col min="7425" max="7425" width="14" style="13" bestFit="1" customWidth="1"/>
    <col min="7426" max="7426" width="14.85546875" style="13" customWidth="1"/>
    <col min="7427" max="7428" width="9.140625" style="13"/>
    <col min="7429" max="7429" width="9.140625" style="13" customWidth="1"/>
    <col min="7430" max="7457" width="9.140625" style="13"/>
    <col min="7458" max="7458" width="11" style="13" customWidth="1"/>
    <col min="7459" max="7680" width="9.140625" style="13"/>
    <col min="7681" max="7681" width="14" style="13" bestFit="1" customWidth="1"/>
    <col min="7682" max="7682" width="14.85546875" style="13" customWidth="1"/>
    <col min="7683" max="7684" width="9.140625" style="13"/>
    <col min="7685" max="7685" width="9.140625" style="13" customWidth="1"/>
    <col min="7686" max="7713" width="9.140625" style="13"/>
    <col min="7714" max="7714" width="11" style="13" customWidth="1"/>
    <col min="7715" max="7936" width="9.140625" style="13"/>
    <col min="7937" max="7937" width="14" style="13" bestFit="1" customWidth="1"/>
    <col min="7938" max="7938" width="14.85546875" style="13" customWidth="1"/>
    <col min="7939" max="7940" width="9.140625" style="13"/>
    <col min="7941" max="7941" width="9.140625" style="13" customWidth="1"/>
    <col min="7942" max="7969" width="9.140625" style="13"/>
    <col min="7970" max="7970" width="11" style="13" customWidth="1"/>
    <col min="7971" max="8192" width="9.140625" style="13"/>
    <col min="8193" max="8193" width="14" style="13" bestFit="1" customWidth="1"/>
    <col min="8194" max="8194" width="14.85546875" style="13" customWidth="1"/>
    <col min="8195" max="8196" width="9.140625" style="13"/>
    <col min="8197" max="8197" width="9.140625" style="13" customWidth="1"/>
    <col min="8198" max="8225" width="9.140625" style="13"/>
    <col min="8226" max="8226" width="11" style="13" customWidth="1"/>
    <col min="8227" max="8448" width="9.140625" style="13"/>
    <col min="8449" max="8449" width="14" style="13" bestFit="1" customWidth="1"/>
    <col min="8450" max="8450" width="14.85546875" style="13" customWidth="1"/>
    <col min="8451" max="8452" width="9.140625" style="13"/>
    <col min="8453" max="8453" width="9.140625" style="13" customWidth="1"/>
    <col min="8454" max="8481" width="9.140625" style="13"/>
    <col min="8482" max="8482" width="11" style="13" customWidth="1"/>
    <col min="8483" max="8704" width="9.140625" style="13"/>
    <col min="8705" max="8705" width="14" style="13" bestFit="1" customWidth="1"/>
    <col min="8706" max="8706" width="14.85546875" style="13" customWidth="1"/>
    <col min="8707" max="8708" width="9.140625" style="13"/>
    <col min="8709" max="8709" width="9.140625" style="13" customWidth="1"/>
    <col min="8710" max="8737" width="9.140625" style="13"/>
    <col min="8738" max="8738" width="11" style="13" customWidth="1"/>
    <col min="8739" max="8960" width="9.140625" style="13"/>
    <col min="8961" max="8961" width="14" style="13" bestFit="1" customWidth="1"/>
    <col min="8962" max="8962" width="14.85546875" style="13" customWidth="1"/>
    <col min="8963" max="8964" width="9.140625" style="13"/>
    <col min="8965" max="8965" width="9.140625" style="13" customWidth="1"/>
    <col min="8966" max="8993" width="9.140625" style="13"/>
    <col min="8994" max="8994" width="11" style="13" customWidth="1"/>
    <col min="8995" max="9216" width="9.140625" style="13"/>
    <col min="9217" max="9217" width="14" style="13" bestFit="1" customWidth="1"/>
    <col min="9218" max="9218" width="14.85546875" style="13" customWidth="1"/>
    <col min="9219" max="9220" width="9.140625" style="13"/>
    <col min="9221" max="9221" width="9.140625" style="13" customWidth="1"/>
    <col min="9222" max="9249" width="9.140625" style="13"/>
    <col min="9250" max="9250" width="11" style="13" customWidth="1"/>
    <col min="9251" max="9472" width="9.140625" style="13"/>
    <col min="9473" max="9473" width="14" style="13" bestFit="1" customWidth="1"/>
    <col min="9474" max="9474" width="14.85546875" style="13" customWidth="1"/>
    <col min="9475" max="9476" width="9.140625" style="13"/>
    <col min="9477" max="9477" width="9.140625" style="13" customWidth="1"/>
    <col min="9478" max="9505" width="9.140625" style="13"/>
    <col min="9506" max="9506" width="11" style="13" customWidth="1"/>
    <col min="9507" max="9728" width="9.140625" style="13"/>
    <col min="9729" max="9729" width="14" style="13" bestFit="1" customWidth="1"/>
    <col min="9730" max="9730" width="14.85546875" style="13" customWidth="1"/>
    <col min="9731" max="9732" width="9.140625" style="13"/>
    <col min="9733" max="9733" width="9.140625" style="13" customWidth="1"/>
    <col min="9734" max="9761" width="9.140625" style="13"/>
    <col min="9762" max="9762" width="11" style="13" customWidth="1"/>
    <col min="9763" max="9984" width="9.140625" style="13"/>
    <col min="9985" max="9985" width="14" style="13" bestFit="1" customWidth="1"/>
    <col min="9986" max="9986" width="14.85546875" style="13" customWidth="1"/>
    <col min="9987" max="9988" width="9.140625" style="13"/>
    <col min="9989" max="9989" width="9.140625" style="13" customWidth="1"/>
    <col min="9990" max="10017" width="9.140625" style="13"/>
    <col min="10018" max="10018" width="11" style="13" customWidth="1"/>
    <col min="10019" max="10240" width="9.140625" style="13"/>
    <col min="10241" max="10241" width="14" style="13" bestFit="1" customWidth="1"/>
    <col min="10242" max="10242" width="14.85546875" style="13" customWidth="1"/>
    <col min="10243" max="10244" width="9.140625" style="13"/>
    <col min="10245" max="10245" width="9.140625" style="13" customWidth="1"/>
    <col min="10246" max="10273" width="9.140625" style="13"/>
    <col min="10274" max="10274" width="11" style="13" customWidth="1"/>
    <col min="10275" max="10496" width="9.140625" style="13"/>
    <col min="10497" max="10497" width="14" style="13" bestFit="1" customWidth="1"/>
    <col min="10498" max="10498" width="14.85546875" style="13" customWidth="1"/>
    <col min="10499" max="10500" width="9.140625" style="13"/>
    <col min="10501" max="10501" width="9.140625" style="13" customWidth="1"/>
    <col min="10502" max="10529" width="9.140625" style="13"/>
    <col min="10530" max="10530" width="11" style="13" customWidth="1"/>
    <col min="10531" max="10752" width="9.140625" style="13"/>
    <col min="10753" max="10753" width="14" style="13" bestFit="1" customWidth="1"/>
    <col min="10754" max="10754" width="14.85546875" style="13" customWidth="1"/>
    <col min="10755" max="10756" width="9.140625" style="13"/>
    <col min="10757" max="10757" width="9.140625" style="13" customWidth="1"/>
    <col min="10758" max="10785" width="9.140625" style="13"/>
    <col min="10786" max="10786" width="11" style="13" customWidth="1"/>
    <col min="10787" max="11008" width="9.140625" style="13"/>
    <col min="11009" max="11009" width="14" style="13" bestFit="1" customWidth="1"/>
    <col min="11010" max="11010" width="14.85546875" style="13" customWidth="1"/>
    <col min="11011" max="11012" width="9.140625" style="13"/>
    <col min="11013" max="11013" width="9.140625" style="13" customWidth="1"/>
    <col min="11014" max="11041" width="9.140625" style="13"/>
    <col min="11042" max="11042" width="11" style="13" customWidth="1"/>
    <col min="11043" max="11264" width="9.140625" style="13"/>
    <col min="11265" max="11265" width="14" style="13" bestFit="1" customWidth="1"/>
    <col min="11266" max="11266" width="14.85546875" style="13" customWidth="1"/>
    <col min="11267" max="11268" width="9.140625" style="13"/>
    <col min="11269" max="11269" width="9.140625" style="13" customWidth="1"/>
    <col min="11270" max="11297" width="9.140625" style="13"/>
    <col min="11298" max="11298" width="11" style="13" customWidth="1"/>
    <col min="11299" max="11520" width="9.140625" style="13"/>
    <col min="11521" max="11521" width="14" style="13" bestFit="1" customWidth="1"/>
    <col min="11522" max="11522" width="14.85546875" style="13" customWidth="1"/>
    <col min="11523" max="11524" width="9.140625" style="13"/>
    <col min="11525" max="11525" width="9.140625" style="13" customWidth="1"/>
    <col min="11526" max="11553" width="9.140625" style="13"/>
    <col min="11554" max="11554" width="11" style="13" customWidth="1"/>
    <col min="11555" max="11776" width="9.140625" style="13"/>
    <col min="11777" max="11777" width="14" style="13" bestFit="1" customWidth="1"/>
    <col min="11778" max="11778" width="14.85546875" style="13" customWidth="1"/>
    <col min="11779" max="11780" width="9.140625" style="13"/>
    <col min="11781" max="11781" width="9.140625" style="13" customWidth="1"/>
    <col min="11782" max="11809" width="9.140625" style="13"/>
    <col min="11810" max="11810" width="11" style="13" customWidth="1"/>
    <col min="11811" max="12032" width="9.140625" style="13"/>
    <col min="12033" max="12033" width="14" style="13" bestFit="1" customWidth="1"/>
    <col min="12034" max="12034" width="14.85546875" style="13" customWidth="1"/>
    <col min="12035" max="12036" width="9.140625" style="13"/>
    <col min="12037" max="12037" width="9.140625" style="13" customWidth="1"/>
    <col min="12038" max="12065" width="9.140625" style="13"/>
    <col min="12066" max="12066" width="11" style="13" customWidth="1"/>
    <col min="12067" max="12288" width="9.140625" style="13"/>
    <col min="12289" max="12289" width="14" style="13" bestFit="1" customWidth="1"/>
    <col min="12290" max="12290" width="14.85546875" style="13" customWidth="1"/>
    <col min="12291" max="12292" width="9.140625" style="13"/>
    <col min="12293" max="12293" width="9.140625" style="13" customWidth="1"/>
    <col min="12294" max="12321" width="9.140625" style="13"/>
    <col min="12322" max="12322" width="11" style="13" customWidth="1"/>
    <col min="12323" max="12544" width="9.140625" style="13"/>
    <col min="12545" max="12545" width="14" style="13" bestFit="1" customWidth="1"/>
    <col min="12546" max="12546" width="14.85546875" style="13" customWidth="1"/>
    <col min="12547" max="12548" width="9.140625" style="13"/>
    <col min="12549" max="12549" width="9.140625" style="13" customWidth="1"/>
    <col min="12550" max="12577" width="9.140625" style="13"/>
    <col min="12578" max="12578" width="11" style="13" customWidth="1"/>
    <col min="12579" max="12800" width="9.140625" style="13"/>
    <col min="12801" max="12801" width="14" style="13" bestFit="1" customWidth="1"/>
    <col min="12802" max="12802" width="14.85546875" style="13" customWidth="1"/>
    <col min="12803" max="12804" width="9.140625" style="13"/>
    <col min="12805" max="12805" width="9.140625" style="13" customWidth="1"/>
    <col min="12806" max="12833" width="9.140625" style="13"/>
    <col min="12834" max="12834" width="11" style="13" customWidth="1"/>
    <col min="12835" max="13056" width="9.140625" style="13"/>
    <col min="13057" max="13057" width="14" style="13" bestFit="1" customWidth="1"/>
    <col min="13058" max="13058" width="14.85546875" style="13" customWidth="1"/>
    <col min="13059" max="13060" width="9.140625" style="13"/>
    <col min="13061" max="13061" width="9.140625" style="13" customWidth="1"/>
    <col min="13062" max="13089" width="9.140625" style="13"/>
    <col min="13090" max="13090" width="11" style="13" customWidth="1"/>
    <col min="13091" max="13312" width="9.140625" style="13"/>
    <col min="13313" max="13313" width="14" style="13" bestFit="1" customWidth="1"/>
    <col min="13314" max="13314" width="14.85546875" style="13" customWidth="1"/>
    <col min="13315" max="13316" width="9.140625" style="13"/>
    <col min="13317" max="13317" width="9.140625" style="13" customWidth="1"/>
    <col min="13318" max="13345" width="9.140625" style="13"/>
    <col min="13346" max="13346" width="11" style="13" customWidth="1"/>
    <col min="13347" max="13568" width="9.140625" style="13"/>
    <col min="13569" max="13569" width="14" style="13" bestFit="1" customWidth="1"/>
    <col min="13570" max="13570" width="14.85546875" style="13" customWidth="1"/>
    <col min="13571" max="13572" width="9.140625" style="13"/>
    <col min="13573" max="13573" width="9.140625" style="13" customWidth="1"/>
    <col min="13574" max="13601" width="9.140625" style="13"/>
    <col min="13602" max="13602" width="11" style="13" customWidth="1"/>
    <col min="13603" max="13824" width="9.140625" style="13"/>
    <col min="13825" max="13825" width="14" style="13" bestFit="1" customWidth="1"/>
    <col min="13826" max="13826" width="14.85546875" style="13" customWidth="1"/>
    <col min="13827" max="13828" width="9.140625" style="13"/>
    <col min="13829" max="13829" width="9.140625" style="13" customWidth="1"/>
    <col min="13830" max="13857" width="9.140625" style="13"/>
    <col min="13858" max="13858" width="11" style="13" customWidth="1"/>
    <col min="13859" max="14080" width="9.140625" style="13"/>
    <col min="14081" max="14081" width="14" style="13" bestFit="1" customWidth="1"/>
    <col min="14082" max="14082" width="14.85546875" style="13" customWidth="1"/>
    <col min="14083" max="14084" width="9.140625" style="13"/>
    <col min="14085" max="14085" width="9.140625" style="13" customWidth="1"/>
    <col min="14086" max="14113" width="9.140625" style="13"/>
    <col min="14114" max="14114" width="11" style="13" customWidth="1"/>
    <col min="14115" max="14336" width="9.140625" style="13"/>
    <col min="14337" max="14337" width="14" style="13" bestFit="1" customWidth="1"/>
    <col min="14338" max="14338" width="14.85546875" style="13" customWidth="1"/>
    <col min="14339" max="14340" width="9.140625" style="13"/>
    <col min="14341" max="14341" width="9.140625" style="13" customWidth="1"/>
    <col min="14342" max="14369" width="9.140625" style="13"/>
    <col min="14370" max="14370" width="11" style="13" customWidth="1"/>
    <col min="14371" max="14592" width="9.140625" style="13"/>
    <col min="14593" max="14593" width="14" style="13" bestFit="1" customWidth="1"/>
    <col min="14594" max="14594" width="14.85546875" style="13" customWidth="1"/>
    <col min="14595" max="14596" width="9.140625" style="13"/>
    <col min="14597" max="14597" width="9.140625" style="13" customWidth="1"/>
    <col min="14598" max="14625" width="9.140625" style="13"/>
    <col min="14626" max="14626" width="11" style="13" customWidth="1"/>
    <col min="14627" max="14848" width="9.140625" style="13"/>
    <col min="14849" max="14849" width="14" style="13" bestFit="1" customWidth="1"/>
    <col min="14850" max="14850" width="14.85546875" style="13" customWidth="1"/>
    <col min="14851" max="14852" width="9.140625" style="13"/>
    <col min="14853" max="14853" width="9.140625" style="13" customWidth="1"/>
    <col min="14854" max="14881" width="9.140625" style="13"/>
    <col min="14882" max="14882" width="11" style="13" customWidth="1"/>
    <col min="14883" max="15104" width="9.140625" style="13"/>
    <col min="15105" max="15105" width="14" style="13" bestFit="1" customWidth="1"/>
    <col min="15106" max="15106" width="14.85546875" style="13" customWidth="1"/>
    <col min="15107" max="15108" width="9.140625" style="13"/>
    <col min="15109" max="15109" width="9.140625" style="13" customWidth="1"/>
    <col min="15110" max="15137" width="9.140625" style="13"/>
    <col min="15138" max="15138" width="11" style="13" customWidth="1"/>
    <col min="15139" max="15360" width="9.140625" style="13"/>
    <col min="15361" max="15361" width="14" style="13" bestFit="1" customWidth="1"/>
    <col min="15362" max="15362" width="14.85546875" style="13" customWidth="1"/>
    <col min="15363" max="15364" width="9.140625" style="13"/>
    <col min="15365" max="15365" width="9.140625" style="13" customWidth="1"/>
    <col min="15366" max="15393" width="9.140625" style="13"/>
    <col min="15394" max="15394" width="11" style="13" customWidth="1"/>
    <col min="15395" max="15616" width="9.140625" style="13"/>
    <col min="15617" max="15617" width="14" style="13" bestFit="1" customWidth="1"/>
    <col min="15618" max="15618" width="14.85546875" style="13" customWidth="1"/>
    <col min="15619" max="15620" width="9.140625" style="13"/>
    <col min="15621" max="15621" width="9.140625" style="13" customWidth="1"/>
    <col min="15622" max="15649" width="9.140625" style="13"/>
    <col min="15650" max="15650" width="11" style="13" customWidth="1"/>
    <col min="15651" max="15872" width="9.140625" style="13"/>
    <col min="15873" max="15873" width="14" style="13" bestFit="1" customWidth="1"/>
    <col min="15874" max="15874" width="14.85546875" style="13" customWidth="1"/>
    <col min="15875" max="15876" width="9.140625" style="13"/>
    <col min="15877" max="15877" width="9.140625" style="13" customWidth="1"/>
    <col min="15878" max="15905" width="9.140625" style="13"/>
    <col min="15906" max="15906" width="11" style="13" customWidth="1"/>
    <col min="15907" max="16128" width="9.140625" style="13"/>
    <col min="16129" max="16129" width="14" style="13" bestFit="1" customWidth="1"/>
    <col min="16130" max="16130" width="14.85546875" style="13" customWidth="1"/>
    <col min="16131" max="16132" width="9.140625" style="13"/>
    <col min="16133" max="16133" width="9.140625" style="13" customWidth="1"/>
    <col min="16134" max="16161" width="9.140625" style="13"/>
    <col min="16162" max="16162" width="11" style="13" customWidth="1"/>
    <col min="16163" max="16384" width="9.14062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19514251.688099056</v>
      </c>
      <c r="C7" s="298" t="s">
        <v>256</v>
      </c>
      <c r="D7" s="299">
        <f>'R1 DEPR'!D7</f>
        <v>563262.22957299976</v>
      </c>
      <c r="E7" s="299">
        <f>'R1 DEPR'!E7</f>
        <v>345639.16425320646</v>
      </c>
      <c r="F7" s="299">
        <f>'R1 DEPR'!F7</f>
        <v>302337.51106105704</v>
      </c>
      <c r="G7" s="299">
        <f>'R1 DEPR'!G7</f>
        <v>1393737.2138793978</v>
      </c>
      <c r="H7" s="299">
        <f>'R1 DEPR'!H7</f>
        <v>5209890.1252055857</v>
      </c>
      <c r="I7" s="299">
        <f>'R1 DEPR'!I7</f>
        <v>727898.33131925284</v>
      </c>
      <c r="J7" s="299">
        <f>'R1 DEPR'!J7</f>
        <v>1713105.5265664214</v>
      </c>
      <c r="K7" s="299">
        <f>'R1 DEPR'!K7</f>
        <v>1191741.8254753242</v>
      </c>
      <c r="L7" s="1461">
        <f>-'E7 R2 deseq'!K48</f>
        <v>836694.82581794215</v>
      </c>
      <c r="M7" s="1461">
        <f>-'E7 R2 deseq'!L48</f>
        <v>396946.92825194134</v>
      </c>
      <c r="N7" s="1461">
        <f>-'E7 R2 deseq'!M48</f>
        <v>708522.34751189826</v>
      </c>
      <c r="O7" s="1461">
        <f>-'E7 R2 deseq'!N48</f>
        <v>47337.753752136574</v>
      </c>
      <c r="P7" s="1461">
        <f>-'E7 R2 deseq'!O48</f>
        <v>47337.753752136574</v>
      </c>
      <c r="Q7" s="1461">
        <f>-'E7 R2 deseq'!P48</f>
        <v>68386.753752136574</v>
      </c>
      <c r="R7" s="1461">
        <f>-'E7 R2 deseq'!Q48</f>
        <v>2479711.3229834135</v>
      </c>
      <c r="S7" s="1461">
        <f>-'E7 R2 deseq'!R48</f>
        <v>2610913.0281697232</v>
      </c>
      <c r="T7" s="1461">
        <f>-'E7 R2 deseq'!S48</f>
        <v>63098.753752136574</v>
      </c>
      <c r="U7" s="1461">
        <f>-'E7 R2 deseq'!T48</f>
        <v>63098.753752136574</v>
      </c>
      <c r="V7" s="1461">
        <f>-'E7 R2 deseq'!U48</f>
        <v>63098.753752136574</v>
      </c>
      <c r="W7" s="1461">
        <f>-'E7 R2 deseq'!V48</f>
        <v>63098.753752136574</v>
      </c>
      <c r="X7" s="1461">
        <f>-'E7 R2 deseq'!W48</f>
        <v>68793.753752136574</v>
      </c>
      <c r="Y7" s="1461">
        <f>-'E7 R2 deseq'!X48</f>
        <v>59438.753752136574</v>
      </c>
      <c r="Z7" s="1461">
        <f>-'E7 R2 deseq'!Y48</f>
        <v>59438.753752136574</v>
      </c>
      <c r="AA7" s="1461">
        <f>-'E7 R2 deseq'!Z48</f>
        <v>59438.753752136574</v>
      </c>
      <c r="AB7" s="1461">
        <f>-'E7 R2 deseq'!AA48</f>
        <v>59438.753752136574</v>
      </c>
      <c r="AC7" s="1461">
        <f>-'E7 R2 deseq'!AB48</f>
        <v>68793.753752136574</v>
      </c>
      <c r="AD7" s="1461">
        <f>-'E7 R2 deseq'!AC48</f>
        <v>60252.753752136574</v>
      </c>
      <c r="AE7" s="1461">
        <f>-'E7 R2 deseq'!AD48</f>
        <v>61066.753752136574</v>
      </c>
      <c r="AF7" s="1461">
        <f>-'E7 R2 deseq'!AE48</f>
        <v>62284.753752136574</v>
      </c>
      <c r="AG7" s="1461">
        <f>-'E7 R2 deseq'!AF48</f>
        <v>59447.247996732927</v>
      </c>
      <c r="AH7" s="300">
        <f>SUM(D7:AG7)</f>
        <v>19514251.688099056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208395.60500822344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304965.65942868049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208395.60500822344</v>
      </c>
      <c r="I16" s="308">
        <f>I7/24</f>
        <v>30329.097138302201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335294.75656698272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208395.60500822344</v>
      </c>
      <c r="I17" s="305">
        <f>I16</f>
        <v>30329.097138302201</v>
      </c>
      <c r="J17" s="308">
        <f>J7/23</f>
        <v>74482.848981148753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409777.60554813145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208395.60500822344</v>
      </c>
      <c r="I18" s="305">
        <f t="shared" si="9"/>
        <v>30329.097138302201</v>
      </c>
      <c r="J18" s="305">
        <f>J17</f>
        <v>74482.848981148753</v>
      </c>
      <c r="K18" s="308">
        <f>K7/22</f>
        <v>54170.082976151098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463947.68852428254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208395.60500822344</v>
      </c>
      <c r="I19" s="305">
        <f t="shared" si="9"/>
        <v>30329.097138302201</v>
      </c>
      <c r="J19" s="305">
        <f t="shared" si="9"/>
        <v>74482.848981148753</v>
      </c>
      <c r="K19" s="305">
        <f>K18</f>
        <v>54170.082976151098</v>
      </c>
      <c r="L19" s="308">
        <f>L7/21</f>
        <v>39842.610753235342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503790.29927751789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208395.60500822344</v>
      </c>
      <c r="I20" s="305">
        <f t="shared" si="9"/>
        <v>30329.097138302201</v>
      </c>
      <c r="J20" s="305">
        <f t="shared" si="9"/>
        <v>74482.848981148753</v>
      </c>
      <c r="K20" s="305">
        <f t="shared" si="9"/>
        <v>54170.082976151098</v>
      </c>
      <c r="L20" s="305">
        <f>L19</f>
        <v>39842.610753235342</v>
      </c>
      <c r="M20" s="308">
        <f>M7/20</f>
        <v>19847.346412597068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523637.64569011494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208395.60500822344</v>
      </c>
      <c r="I21" s="305">
        <f t="shared" si="9"/>
        <v>30329.097138302201</v>
      </c>
      <c r="J21" s="305">
        <f t="shared" si="9"/>
        <v>74482.848981148753</v>
      </c>
      <c r="K21" s="305">
        <f t="shared" si="9"/>
        <v>54170.082976151098</v>
      </c>
      <c r="L21" s="305">
        <f t="shared" si="9"/>
        <v>39842.610753235342</v>
      </c>
      <c r="M21" s="309">
        <f>M20</f>
        <v>19847.346412597068</v>
      </c>
      <c r="N21" s="308">
        <f>N7/19</f>
        <v>37290.64986904728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560928.29555916227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208395.60500822344</v>
      </c>
      <c r="I22" s="305">
        <f t="shared" si="9"/>
        <v>30329.097138302201</v>
      </c>
      <c r="J22" s="305">
        <f t="shared" si="9"/>
        <v>74482.848981148753</v>
      </c>
      <c r="K22" s="305">
        <f t="shared" si="9"/>
        <v>54170.082976151098</v>
      </c>
      <c r="L22" s="305">
        <f t="shared" si="9"/>
        <v>39842.610753235342</v>
      </c>
      <c r="M22" s="309">
        <f t="shared" si="9"/>
        <v>19847.346412597068</v>
      </c>
      <c r="N22" s="305">
        <f>N21</f>
        <v>37290.64986904728</v>
      </c>
      <c r="O22" s="308">
        <f>O7/18</f>
        <v>2629.875208452032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563558.17076761427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208395.60500822344</v>
      </c>
      <c r="I23" s="305">
        <f t="shared" si="9"/>
        <v>30329.097138302201</v>
      </c>
      <c r="J23" s="305">
        <f t="shared" si="9"/>
        <v>74482.848981148753</v>
      </c>
      <c r="K23" s="305">
        <f t="shared" si="9"/>
        <v>54170.082976151098</v>
      </c>
      <c r="L23" s="305">
        <f t="shared" si="9"/>
        <v>39842.610753235342</v>
      </c>
      <c r="M23" s="309">
        <f t="shared" si="9"/>
        <v>19847.346412597068</v>
      </c>
      <c r="N23" s="305">
        <f t="shared" si="9"/>
        <v>37290.64986904728</v>
      </c>
      <c r="O23" s="305">
        <f>O22</f>
        <v>2629.875208452032</v>
      </c>
      <c r="P23" s="308">
        <f>P7/17</f>
        <v>2784.5737501256808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566342.74451773998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208395.60500822344</v>
      </c>
      <c r="I24" s="305">
        <f t="shared" si="9"/>
        <v>30329.097138302201</v>
      </c>
      <c r="J24" s="305">
        <f t="shared" si="9"/>
        <v>74482.848981148753</v>
      </c>
      <c r="K24" s="305">
        <f t="shared" si="9"/>
        <v>54170.082976151098</v>
      </c>
      <c r="L24" s="305">
        <f t="shared" si="9"/>
        <v>39842.610753235342</v>
      </c>
      <c r="M24" s="309">
        <f t="shared" si="9"/>
        <v>19847.346412597068</v>
      </c>
      <c r="N24" s="305">
        <f t="shared" si="9"/>
        <v>37290.64986904728</v>
      </c>
      <c r="O24" s="305">
        <f t="shared" si="9"/>
        <v>2629.875208452032</v>
      </c>
      <c r="P24" s="305">
        <f>P23</f>
        <v>2784.5737501256808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570616.91662724852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208395.60500822344</v>
      </c>
      <c r="I25" s="305">
        <f t="shared" si="9"/>
        <v>30329.097138302201</v>
      </c>
      <c r="J25" s="305">
        <f t="shared" si="9"/>
        <v>74482.848981148753</v>
      </c>
      <c r="K25" s="305">
        <f t="shared" si="9"/>
        <v>54170.082976151098</v>
      </c>
      <c r="L25" s="305">
        <f t="shared" si="9"/>
        <v>39842.610753235342</v>
      </c>
      <c r="M25" s="309">
        <f t="shared" si="9"/>
        <v>19847.346412597068</v>
      </c>
      <c r="N25" s="305">
        <f t="shared" si="9"/>
        <v>37290.64986904728</v>
      </c>
      <c r="O25" s="305">
        <f t="shared" si="9"/>
        <v>2629.875208452032</v>
      </c>
      <c r="P25" s="305">
        <f t="shared" si="9"/>
        <v>2784.5737501256808</v>
      </c>
      <c r="Q25" s="305">
        <f>Q24</f>
        <v>4274.1721095085359</v>
      </c>
      <c r="R25" s="308">
        <f>R7/15</f>
        <v>165314.08819889423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735931.00482614269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208395.60500822344</v>
      </c>
      <c r="I26" s="305">
        <f t="shared" si="9"/>
        <v>30329.097138302201</v>
      </c>
      <c r="J26" s="305">
        <f t="shared" si="9"/>
        <v>74482.848981148753</v>
      </c>
      <c r="K26" s="305">
        <f t="shared" si="9"/>
        <v>54170.082976151098</v>
      </c>
      <c r="L26" s="305">
        <f t="shared" si="9"/>
        <v>39842.610753235342</v>
      </c>
      <c r="M26" s="309">
        <f t="shared" si="9"/>
        <v>19847.346412597068</v>
      </c>
      <c r="N26" s="305">
        <f t="shared" si="9"/>
        <v>37290.64986904728</v>
      </c>
      <c r="O26" s="305">
        <f t="shared" si="9"/>
        <v>2629.875208452032</v>
      </c>
      <c r="P26" s="305">
        <f t="shared" si="9"/>
        <v>2784.5737501256808</v>
      </c>
      <c r="Q26" s="305">
        <f t="shared" si="9"/>
        <v>4274.1721095085359</v>
      </c>
      <c r="R26" s="305">
        <f>R25</f>
        <v>165314.08819889423</v>
      </c>
      <c r="S26" s="308">
        <f>S7/14</f>
        <v>186493.7877264088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922424.79255255149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208395.60500822344</v>
      </c>
      <c r="I27" s="305">
        <f t="shared" si="9"/>
        <v>30329.097138302201</v>
      </c>
      <c r="J27" s="305">
        <f t="shared" si="9"/>
        <v>74482.848981148753</v>
      </c>
      <c r="K27" s="305">
        <f t="shared" si="9"/>
        <v>54170.082976151098</v>
      </c>
      <c r="L27" s="305">
        <f t="shared" si="9"/>
        <v>39842.610753235342</v>
      </c>
      <c r="M27" s="309">
        <f t="shared" si="9"/>
        <v>19847.346412597068</v>
      </c>
      <c r="N27" s="305">
        <f t="shared" si="9"/>
        <v>37290.64986904728</v>
      </c>
      <c r="O27" s="305">
        <f t="shared" si="9"/>
        <v>2629.875208452032</v>
      </c>
      <c r="P27" s="305">
        <f t="shared" si="9"/>
        <v>2784.5737501256808</v>
      </c>
      <c r="Q27" s="305">
        <f t="shared" si="9"/>
        <v>4274.1721095085359</v>
      </c>
      <c r="R27" s="305">
        <f t="shared" si="9"/>
        <v>165314.08819889423</v>
      </c>
      <c r="S27" s="305">
        <f>S26</f>
        <v>186493.7877264088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927278.54284117743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208395.60500822344</v>
      </c>
      <c r="I28" s="305">
        <f t="shared" si="9"/>
        <v>30329.097138302201</v>
      </c>
      <c r="J28" s="305">
        <f t="shared" si="9"/>
        <v>74482.848981148753</v>
      </c>
      <c r="K28" s="305">
        <f t="shared" si="9"/>
        <v>54170.082976151098</v>
      </c>
      <c r="L28" s="305">
        <f t="shared" si="9"/>
        <v>39842.610753235342</v>
      </c>
      <c r="M28" s="309">
        <f t="shared" si="9"/>
        <v>19847.346412597068</v>
      </c>
      <c r="N28" s="305">
        <f t="shared" si="9"/>
        <v>37290.64986904728</v>
      </c>
      <c r="O28" s="305">
        <f t="shared" si="9"/>
        <v>2629.875208452032</v>
      </c>
      <c r="P28" s="305">
        <f t="shared" si="9"/>
        <v>2784.5737501256808</v>
      </c>
      <c r="Q28" s="305">
        <f t="shared" si="9"/>
        <v>4274.1721095085359</v>
      </c>
      <c r="R28" s="305">
        <f t="shared" si="9"/>
        <v>165314.08819889423</v>
      </c>
      <c r="S28" s="305">
        <f>S27</f>
        <v>186493.7877264088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932536.77232052211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208395.60500822344</v>
      </c>
      <c r="I29" s="305">
        <f t="shared" si="10"/>
        <v>30329.097138302201</v>
      </c>
      <c r="J29" s="305">
        <f t="shared" si="10"/>
        <v>74482.848981148753</v>
      </c>
      <c r="K29" s="305">
        <f t="shared" si="10"/>
        <v>54170.082976151098</v>
      </c>
      <c r="L29" s="305">
        <f t="shared" si="10"/>
        <v>39842.610753235342</v>
      </c>
      <c r="M29" s="309">
        <f t="shared" si="10"/>
        <v>19847.346412597068</v>
      </c>
      <c r="N29" s="305">
        <f t="shared" si="10"/>
        <v>37290.64986904728</v>
      </c>
      <c r="O29" s="305">
        <f t="shared" si="10"/>
        <v>2629.875208452032</v>
      </c>
      <c r="P29" s="305">
        <f t="shared" si="10"/>
        <v>2784.5737501256808</v>
      </c>
      <c r="Q29" s="305">
        <f t="shared" si="10"/>
        <v>4274.1721095085359</v>
      </c>
      <c r="R29" s="305">
        <f t="shared" si="10"/>
        <v>165314.08819889423</v>
      </c>
      <c r="S29" s="305">
        <f t="shared" si="10"/>
        <v>186493.7877264088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938273.02266162541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208395.60500822344</v>
      </c>
      <c r="I30" s="305">
        <f t="shared" si="10"/>
        <v>30329.097138302201</v>
      </c>
      <c r="J30" s="305">
        <f t="shared" si="10"/>
        <v>74482.848981148753</v>
      </c>
      <c r="K30" s="305">
        <f t="shared" si="10"/>
        <v>54170.082976151098</v>
      </c>
      <c r="L30" s="305">
        <f t="shared" si="10"/>
        <v>39842.610753235342</v>
      </c>
      <c r="M30" s="309">
        <f t="shared" si="10"/>
        <v>19847.346412597068</v>
      </c>
      <c r="N30" s="305">
        <f t="shared" si="10"/>
        <v>37290.64986904728</v>
      </c>
      <c r="O30" s="305">
        <f t="shared" si="10"/>
        <v>2629.875208452032</v>
      </c>
      <c r="P30" s="305">
        <f t="shared" si="10"/>
        <v>2784.5737501256808</v>
      </c>
      <c r="Q30" s="305">
        <f t="shared" si="10"/>
        <v>4274.1721095085359</v>
      </c>
      <c r="R30" s="305">
        <f t="shared" si="10"/>
        <v>165314.08819889423</v>
      </c>
      <c r="S30" s="305">
        <f t="shared" si="10"/>
        <v>186493.7877264088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944582.89803683909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208395.60500822344</v>
      </c>
      <c r="I31" s="305">
        <f t="shared" si="10"/>
        <v>30329.097138302201</v>
      </c>
      <c r="J31" s="305">
        <f t="shared" si="10"/>
        <v>74482.848981148753</v>
      </c>
      <c r="K31" s="305">
        <f t="shared" si="10"/>
        <v>54170.082976151098</v>
      </c>
      <c r="L31" s="305">
        <f t="shared" si="10"/>
        <v>39842.610753235342</v>
      </c>
      <c r="M31" s="309">
        <f t="shared" si="10"/>
        <v>19847.346412597068</v>
      </c>
      <c r="N31" s="305">
        <f t="shared" si="10"/>
        <v>37290.64986904728</v>
      </c>
      <c r="O31" s="305">
        <f t="shared" si="10"/>
        <v>2629.875208452032</v>
      </c>
      <c r="P31" s="305">
        <f t="shared" si="10"/>
        <v>2784.5737501256808</v>
      </c>
      <c r="Q31" s="305">
        <f t="shared" si="10"/>
        <v>4274.1721095085359</v>
      </c>
      <c r="R31" s="305">
        <f t="shared" si="10"/>
        <v>165314.08819889423</v>
      </c>
      <c r="S31" s="305">
        <f t="shared" si="10"/>
        <v>186493.7877264088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952226.6484537432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208395.60500822344</v>
      </c>
      <c r="I32" s="305">
        <f t="shared" si="10"/>
        <v>30329.097138302201</v>
      </c>
      <c r="J32" s="305">
        <f t="shared" si="10"/>
        <v>74482.848981148753</v>
      </c>
      <c r="K32" s="305">
        <f t="shared" si="10"/>
        <v>54170.082976151098</v>
      </c>
      <c r="L32" s="305">
        <f t="shared" si="10"/>
        <v>39842.610753235342</v>
      </c>
      <c r="M32" s="309">
        <f t="shared" si="10"/>
        <v>19847.346412597068</v>
      </c>
      <c r="N32" s="305">
        <f t="shared" si="10"/>
        <v>37290.64986904728</v>
      </c>
      <c r="O32" s="305">
        <f t="shared" si="10"/>
        <v>2629.875208452032</v>
      </c>
      <c r="P32" s="305">
        <f t="shared" si="10"/>
        <v>2784.5737501256808</v>
      </c>
      <c r="Q32" s="305">
        <f t="shared" si="10"/>
        <v>4274.1721095085359</v>
      </c>
      <c r="R32" s="305">
        <f t="shared" si="10"/>
        <v>165314.08819889423</v>
      </c>
      <c r="S32" s="305">
        <f t="shared" si="10"/>
        <v>186493.7877264088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959656.49267276027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208395.60500822344</v>
      </c>
      <c r="I33" s="305">
        <f t="shared" si="10"/>
        <v>30329.097138302201</v>
      </c>
      <c r="J33" s="305">
        <f t="shared" si="10"/>
        <v>74482.848981148753</v>
      </c>
      <c r="K33" s="305">
        <f t="shared" si="10"/>
        <v>54170.082976151098</v>
      </c>
      <c r="L33" s="305">
        <f t="shared" si="10"/>
        <v>39842.610753235342</v>
      </c>
      <c r="M33" s="309">
        <f t="shared" si="10"/>
        <v>19847.346412597068</v>
      </c>
      <c r="N33" s="305">
        <f t="shared" si="10"/>
        <v>37290.64986904728</v>
      </c>
      <c r="O33" s="305">
        <f t="shared" si="10"/>
        <v>2629.875208452032</v>
      </c>
      <c r="P33" s="305">
        <f t="shared" si="10"/>
        <v>2784.5737501256808</v>
      </c>
      <c r="Q33" s="305">
        <f t="shared" si="10"/>
        <v>4274.1721095085359</v>
      </c>
      <c r="R33" s="305">
        <f t="shared" si="10"/>
        <v>165314.08819889423</v>
      </c>
      <c r="S33" s="305">
        <f t="shared" si="10"/>
        <v>186493.7877264088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968147.74320877984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208395.60500822344</v>
      </c>
      <c r="I34" s="305">
        <f t="shared" si="10"/>
        <v>30329.097138302201</v>
      </c>
      <c r="J34" s="305">
        <f t="shared" si="10"/>
        <v>74482.848981148753</v>
      </c>
      <c r="K34" s="305">
        <f t="shared" si="10"/>
        <v>54170.082976151098</v>
      </c>
      <c r="L34" s="305">
        <f t="shared" si="10"/>
        <v>39842.610753235342</v>
      </c>
      <c r="M34" s="309">
        <f t="shared" si="10"/>
        <v>19847.346412597068</v>
      </c>
      <c r="N34" s="305">
        <f t="shared" si="10"/>
        <v>37290.64986904728</v>
      </c>
      <c r="O34" s="305">
        <f t="shared" si="10"/>
        <v>2629.875208452032</v>
      </c>
      <c r="P34" s="305">
        <f t="shared" si="10"/>
        <v>2784.5737501256808</v>
      </c>
      <c r="Q34" s="305">
        <f t="shared" si="10"/>
        <v>4274.1721095085359</v>
      </c>
      <c r="R34" s="305">
        <f t="shared" si="10"/>
        <v>165314.08819889423</v>
      </c>
      <c r="S34" s="305">
        <f t="shared" si="10"/>
        <v>186493.7877264088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978054.20216746931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208395.60500822344</v>
      </c>
      <c r="I35" s="305">
        <f t="shared" si="10"/>
        <v>30329.097138302201</v>
      </c>
      <c r="J35" s="305">
        <f t="shared" si="10"/>
        <v>74482.848981148753</v>
      </c>
      <c r="K35" s="305">
        <f t="shared" si="10"/>
        <v>54170.082976151098</v>
      </c>
      <c r="L35" s="305">
        <f t="shared" si="10"/>
        <v>39842.610753235342</v>
      </c>
      <c r="M35" s="309">
        <f t="shared" si="10"/>
        <v>19847.346412597068</v>
      </c>
      <c r="N35" s="305">
        <f t="shared" si="10"/>
        <v>37290.64986904728</v>
      </c>
      <c r="O35" s="305">
        <f t="shared" si="10"/>
        <v>2629.875208452032</v>
      </c>
      <c r="P35" s="305">
        <f t="shared" si="10"/>
        <v>2784.5737501256808</v>
      </c>
      <c r="Q35" s="305">
        <f t="shared" si="10"/>
        <v>4274.1721095085359</v>
      </c>
      <c r="R35" s="305">
        <f t="shared" si="10"/>
        <v>165314.08819889423</v>
      </c>
      <c r="S35" s="305">
        <f t="shared" si="10"/>
        <v>186493.7877264088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989941.95291789668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208395.60500822344</v>
      </c>
      <c r="I36" s="305">
        <f t="shared" si="10"/>
        <v>30329.097138302201</v>
      </c>
      <c r="J36" s="305">
        <f t="shared" si="10"/>
        <v>74482.848981148753</v>
      </c>
      <c r="K36" s="305">
        <f t="shared" si="10"/>
        <v>54170.082976151098</v>
      </c>
      <c r="L36" s="305">
        <f t="shared" si="10"/>
        <v>39842.610753235342</v>
      </c>
      <c r="M36" s="309">
        <f t="shared" si="10"/>
        <v>19847.346412597068</v>
      </c>
      <c r="N36" s="305">
        <f t="shared" si="10"/>
        <v>37290.64986904728</v>
      </c>
      <c r="O36" s="305">
        <f t="shared" si="10"/>
        <v>2629.875208452032</v>
      </c>
      <c r="P36" s="305">
        <f t="shared" si="10"/>
        <v>2784.5737501256808</v>
      </c>
      <c r="Q36" s="305">
        <f t="shared" si="10"/>
        <v>4274.1721095085359</v>
      </c>
      <c r="R36" s="305">
        <f t="shared" si="10"/>
        <v>165314.08819889423</v>
      </c>
      <c r="S36" s="305">
        <f t="shared" si="10"/>
        <v>186493.7877264088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1007140.3913559308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208395.60500822344</v>
      </c>
      <c r="I37" s="305">
        <f t="shared" si="10"/>
        <v>30329.097138302201</v>
      </c>
      <c r="J37" s="305">
        <f t="shared" si="10"/>
        <v>74482.848981148753</v>
      </c>
      <c r="K37" s="305">
        <f t="shared" si="10"/>
        <v>54170.082976151098</v>
      </c>
      <c r="L37" s="305">
        <f t="shared" si="10"/>
        <v>39842.610753235342</v>
      </c>
      <c r="M37" s="309">
        <f t="shared" si="10"/>
        <v>19847.346412597068</v>
      </c>
      <c r="N37" s="305">
        <f t="shared" si="10"/>
        <v>37290.64986904728</v>
      </c>
      <c r="O37" s="305">
        <f t="shared" si="10"/>
        <v>2629.875208452032</v>
      </c>
      <c r="P37" s="305">
        <f t="shared" si="10"/>
        <v>2784.5737501256808</v>
      </c>
      <c r="Q37" s="305">
        <f t="shared" si="10"/>
        <v>4274.1721095085359</v>
      </c>
      <c r="R37" s="305">
        <f t="shared" si="10"/>
        <v>165314.08819889423</v>
      </c>
      <c r="S37" s="305">
        <f t="shared" si="10"/>
        <v>186493.7877264088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1027224.642606643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208395.60500822344</v>
      </c>
      <c r="I38" s="305">
        <f t="shared" si="10"/>
        <v>30329.097138302201</v>
      </c>
      <c r="J38" s="305">
        <f t="shared" si="10"/>
        <v>74482.848981148753</v>
      </c>
      <c r="K38" s="305">
        <f t="shared" si="10"/>
        <v>54170.082976151098</v>
      </c>
      <c r="L38" s="305">
        <f t="shared" si="10"/>
        <v>39842.610753235342</v>
      </c>
      <c r="M38" s="309">
        <f t="shared" si="10"/>
        <v>19847.346412597068</v>
      </c>
      <c r="N38" s="305">
        <f t="shared" si="10"/>
        <v>37290.64986904728</v>
      </c>
      <c r="O38" s="305">
        <f t="shared" si="10"/>
        <v>2629.875208452032</v>
      </c>
      <c r="P38" s="305">
        <f t="shared" si="10"/>
        <v>2784.5737501256808</v>
      </c>
      <c r="Q38" s="305">
        <f t="shared" si="10"/>
        <v>4274.1721095085359</v>
      </c>
      <c r="R38" s="305">
        <f t="shared" si="10"/>
        <v>165314.08819889423</v>
      </c>
      <c r="S38" s="305">
        <f t="shared" si="10"/>
        <v>186493.7877264088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1057758.0194827113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208395.60500822344</v>
      </c>
      <c r="I39" s="305">
        <f t="shared" si="10"/>
        <v>30329.097138302201</v>
      </c>
      <c r="J39" s="305">
        <f t="shared" si="10"/>
        <v>74482.848981148753</v>
      </c>
      <c r="K39" s="305">
        <f t="shared" si="10"/>
        <v>54170.082976151098</v>
      </c>
      <c r="L39" s="305">
        <f t="shared" si="10"/>
        <v>39842.610753235342</v>
      </c>
      <c r="M39" s="309">
        <f t="shared" si="10"/>
        <v>19847.346412597068</v>
      </c>
      <c r="N39" s="305">
        <f t="shared" si="10"/>
        <v>37290.64986904728</v>
      </c>
      <c r="O39" s="305">
        <f t="shared" si="10"/>
        <v>2629.875208452032</v>
      </c>
      <c r="P39" s="305">
        <f t="shared" si="10"/>
        <v>2784.5737501256808</v>
      </c>
      <c r="Q39" s="305">
        <f t="shared" si="10"/>
        <v>4274.1721095085359</v>
      </c>
      <c r="R39" s="305">
        <f t="shared" si="10"/>
        <v>165314.08819889423</v>
      </c>
      <c r="S39" s="305">
        <f t="shared" si="10"/>
        <v>186493.7877264088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1179490.0212315808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5209890.1252055857</v>
      </c>
      <c r="I40" s="312">
        <f t="shared" si="12"/>
        <v>727898.33131925284</v>
      </c>
      <c r="J40" s="312">
        <f t="shared" si="12"/>
        <v>1713105.5265664218</v>
      </c>
      <c r="K40" s="312">
        <f t="shared" si="12"/>
        <v>1191741.8254753244</v>
      </c>
      <c r="L40" s="312">
        <f t="shared" si="12"/>
        <v>836694.8258179418</v>
      </c>
      <c r="M40" s="313">
        <f t="shared" si="12"/>
        <v>396946.92825194128</v>
      </c>
      <c r="N40" s="312">
        <f t="shared" si="12"/>
        <v>708522.34751189849</v>
      </c>
      <c r="O40" s="312">
        <f t="shared" si="12"/>
        <v>47337.753752136567</v>
      </c>
      <c r="P40" s="312">
        <f t="shared" si="12"/>
        <v>47337.753752136574</v>
      </c>
      <c r="Q40" s="312">
        <f t="shared" si="12"/>
        <v>68386.753752136588</v>
      </c>
      <c r="R40" s="312">
        <f t="shared" si="12"/>
        <v>2479711.322983413</v>
      </c>
      <c r="S40" s="312">
        <f t="shared" si="12"/>
        <v>2610913.0281697232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19514251.688099083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3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D103:Z113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5"/>
        <v>#VALUE!</v>
      </c>
      <c r="E104" s="305" t="e">
        <f t="shared" si="25"/>
        <v>#VALUE!</v>
      </c>
      <c r="F104" s="305" t="e">
        <f t="shared" si="25"/>
        <v>#VALUE!</v>
      </c>
      <c r="G104" s="305" t="e">
        <f t="shared" si="25"/>
        <v>#VALUE!</v>
      </c>
      <c r="H104" s="305" t="e">
        <f t="shared" si="25"/>
        <v>#VALUE!</v>
      </c>
      <c r="I104" s="305" t="e">
        <f t="shared" si="25"/>
        <v>#VALUE!</v>
      </c>
      <c r="J104" s="305" t="e">
        <f t="shared" si="25"/>
        <v>#VALUE!</v>
      </c>
      <c r="K104" s="305" t="e">
        <f t="shared" si="25"/>
        <v>#VALUE!</v>
      </c>
      <c r="L104" s="305" t="e">
        <f t="shared" si="25"/>
        <v>#VALUE!</v>
      </c>
      <c r="M104" s="305" t="e">
        <f t="shared" si="25"/>
        <v>#VALUE!</v>
      </c>
      <c r="N104" s="305" t="e">
        <f t="shared" si="25"/>
        <v>#VALUE!</v>
      </c>
      <c r="O104" s="305" t="e">
        <f t="shared" si="25"/>
        <v>#VALUE!</v>
      </c>
      <c r="P104" s="305" t="e">
        <f t="shared" si="25"/>
        <v>#VALUE!</v>
      </c>
      <c r="Q104" s="305" t="e">
        <f t="shared" si="25"/>
        <v>#VALUE!</v>
      </c>
      <c r="R104" s="305" t="e">
        <f t="shared" si="25"/>
        <v>#VALUE!</v>
      </c>
      <c r="S104" s="305" t="e">
        <f t="shared" si="25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5"/>
        <v>#VALUE!</v>
      </c>
      <c r="F105" s="305" t="e">
        <f t="shared" si="25"/>
        <v>#VALUE!</v>
      </c>
      <c r="G105" s="305" t="e">
        <f t="shared" si="25"/>
        <v>#VALUE!</v>
      </c>
      <c r="H105" s="305" t="e">
        <f t="shared" si="25"/>
        <v>#VALUE!</v>
      </c>
      <c r="I105" s="305" t="e">
        <f t="shared" si="25"/>
        <v>#VALUE!</v>
      </c>
      <c r="J105" s="305" t="e">
        <f t="shared" si="25"/>
        <v>#VALUE!</v>
      </c>
      <c r="K105" s="305" t="e">
        <f t="shared" si="25"/>
        <v>#VALUE!</v>
      </c>
      <c r="L105" s="305" t="e">
        <f t="shared" si="25"/>
        <v>#VALUE!</v>
      </c>
      <c r="M105" s="305" t="e">
        <f t="shared" si="25"/>
        <v>#VALUE!</v>
      </c>
      <c r="N105" s="305" t="e">
        <f t="shared" si="25"/>
        <v>#VALUE!</v>
      </c>
      <c r="O105" s="305" t="e">
        <f t="shared" si="25"/>
        <v>#VALUE!</v>
      </c>
      <c r="P105" s="305" t="e">
        <f t="shared" si="25"/>
        <v>#VALUE!</v>
      </c>
      <c r="Q105" s="305" t="e">
        <f t="shared" si="25"/>
        <v>#VALUE!</v>
      </c>
      <c r="R105" s="305" t="e">
        <f t="shared" si="25"/>
        <v>#VALUE!</v>
      </c>
      <c r="S105" s="305" t="e">
        <f t="shared" si="25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5"/>
        <v>#VALUE!</v>
      </c>
      <c r="G106" s="305" t="e">
        <f t="shared" si="25"/>
        <v>#VALUE!</v>
      </c>
      <c r="H106" s="305" t="e">
        <f t="shared" si="25"/>
        <v>#VALUE!</v>
      </c>
      <c r="I106" s="305" t="e">
        <f t="shared" si="25"/>
        <v>#VALUE!</v>
      </c>
      <c r="J106" s="305" t="e">
        <f t="shared" si="25"/>
        <v>#VALUE!</v>
      </c>
      <c r="K106" s="305" t="e">
        <f t="shared" si="25"/>
        <v>#VALUE!</v>
      </c>
      <c r="L106" s="305" t="e">
        <f t="shared" si="25"/>
        <v>#VALUE!</v>
      </c>
      <c r="M106" s="305" t="e">
        <f t="shared" si="25"/>
        <v>#VALUE!</v>
      </c>
      <c r="N106" s="305" t="e">
        <f t="shared" si="25"/>
        <v>#VALUE!</v>
      </c>
      <c r="O106" s="305" t="e">
        <f t="shared" si="25"/>
        <v>#VALUE!</v>
      </c>
      <c r="P106" s="305" t="e">
        <f t="shared" si="25"/>
        <v>#VALUE!</v>
      </c>
      <c r="Q106" s="305" t="e">
        <f t="shared" si="25"/>
        <v>#VALUE!</v>
      </c>
      <c r="R106" s="305" t="e">
        <f t="shared" si="25"/>
        <v>#VALUE!</v>
      </c>
      <c r="S106" s="305" t="e">
        <f t="shared" si="25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si="25"/>
        <v>#VALUE!</v>
      </c>
      <c r="H107" s="305" t="e">
        <f t="shared" si="25"/>
        <v>#VALUE!</v>
      </c>
      <c r="I107" s="305" t="e">
        <f t="shared" si="25"/>
        <v>#VALUE!</v>
      </c>
      <c r="J107" s="305" t="e">
        <f t="shared" si="25"/>
        <v>#VALUE!</v>
      </c>
      <c r="K107" s="305" t="e">
        <f t="shared" si="25"/>
        <v>#VALUE!</v>
      </c>
      <c r="L107" s="305" t="e">
        <f t="shared" si="25"/>
        <v>#VALUE!</v>
      </c>
      <c r="M107" s="305" t="e">
        <f t="shared" si="25"/>
        <v>#VALUE!</v>
      </c>
      <c r="N107" s="305" t="e">
        <f t="shared" si="25"/>
        <v>#VALUE!</v>
      </c>
      <c r="O107" s="305" t="e">
        <f t="shared" si="25"/>
        <v>#VALUE!</v>
      </c>
      <c r="P107" s="305" t="e">
        <f t="shared" si="25"/>
        <v>#VALUE!</v>
      </c>
      <c r="Q107" s="305" t="e">
        <f t="shared" si="25"/>
        <v>#VALUE!</v>
      </c>
      <c r="R107" s="305" t="e">
        <f t="shared" si="25"/>
        <v>#VALUE!</v>
      </c>
      <c r="S107" s="305" t="e">
        <f t="shared" si="25"/>
        <v>#VALUE!</v>
      </c>
      <c r="T107" s="305" t="e">
        <f t="shared" si="25"/>
        <v>#VALUE!</v>
      </c>
      <c r="U107" s="305" t="e">
        <f t="shared" si="25"/>
        <v>#VALUE!</v>
      </c>
      <c r="V107" s="305" t="e">
        <f t="shared" si="25"/>
        <v>#VALUE!</v>
      </c>
      <c r="W107" s="305" t="e">
        <f t="shared" si="25"/>
        <v>#VALUE!</v>
      </c>
      <c r="X107" s="305" t="e">
        <f t="shared" si="25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5"/>
        <v>#VALUE!</v>
      </c>
      <c r="I108" s="305" t="e">
        <f t="shared" si="25"/>
        <v>#VALUE!</v>
      </c>
      <c r="J108" s="305" t="e">
        <f t="shared" si="25"/>
        <v>#VALUE!</v>
      </c>
      <c r="K108" s="305" t="e">
        <f t="shared" si="25"/>
        <v>#VALUE!</v>
      </c>
      <c r="L108" s="305" t="e">
        <f t="shared" si="25"/>
        <v>#VALUE!</v>
      </c>
      <c r="M108" s="305" t="e">
        <f t="shared" si="25"/>
        <v>#VALUE!</v>
      </c>
      <c r="N108" s="305" t="e">
        <f t="shared" si="25"/>
        <v>#VALUE!</v>
      </c>
      <c r="O108" s="305" t="e">
        <f t="shared" si="25"/>
        <v>#VALUE!</v>
      </c>
      <c r="P108" s="305" t="e">
        <f t="shared" si="25"/>
        <v>#VALUE!</v>
      </c>
      <c r="Q108" s="305" t="e">
        <f t="shared" si="25"/>
        <v>#VALUE!</v>
      </c>
      <c r="R108" s="305" t="e">
        <f t="shared" si="25"/>
        <v>#VALUE!</v>
      </c>
      <c r="S108" s="305" t="e">
        <f t="shared" si="25"/>
        <v>#VALUE!</v>
      </c>
      <c r="T108" s="305" t="e">
        <f t="shared" si="25"/>
        <v>#VALUE!</v>
      </c>
      <c r="U108" s="305" t="e">
        <f t="shared" si="25"/>
        <v>#VALUE!</v>
      </c>
      <c r="V108" s="305" t="e">
        <f t="shared" si="25"/>
        <v>#VALUE!</v>
      </c>
      <c r="W108" s="305" t="e">
        <f t="shared" si="25"/>
        <v>#VALUE!</v>
      </c>
      <c r="X108" s="305" t="e">
        <f t="shared" si="25"/>
        <v>#VALUE!</v>
      </c>
      <c r="Y108" s="305" t="e">
        <f t="shared" si="25"/>
        <v>#VALUE!</v>
      </c>
      <c r="Z108" s="305" t="e">
        <f t="shared" si="25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5"/>
        <v>#VALUE!</v>
      </c>
      <c r="J109" s="305" t="e">
        <f t="shared" si="25"/>
        <v>#VALUE!</v>
      </c>
      <c r="K109" s="305" t="e">
        <f t="shared" si="25"/>
        <v>#VALUE!</v>
      </c>
      <c r="L109" s="305" t="e">
        <f t="shared" si="25"/>
        <v>#VALUE!</v>
      </c>
      <c r="M109" s="305" t="e">
        <f t="shared" si="25"/>
        <v>#VALUE!</v>
      </c>
      <c r="N109" s="305" t="e">
        <f t="shared" si="25"/>
        <v>#VALUE!</v>
      </c>
      <c r="O109" s="305" t="e">
        <f t="shared" si="25"/>
        <v>#VALUE!</v>
      </c>
      <c r="P109" s="305" t="e">
        <f t="shared" si="25"/>
        <v>#VALUE!</v>
      </c>
      <c r="Q109" s="305" t="e">
        <f t="shared" si="25"/>
        <v>#VALUE!</v>
      </c>
      <c r="R109" s="305" t="e">
        <f t="shared" si="25"/>
        <v>#VALUE!</v>
      </c>
      <c r="S109" s="305" t="e">
        <f t="shared" si="25"/>
        <v>#VALUE!</v>
      </c>
      <c r="T109" s="305" t="e">
        <f t="shared" si="25"/>
        <v>#VALUE!</v>
      </c>
      <c r="U109" s="305" t="e">
        <f t="shared" si="25"/>
        <v>#VALUE!</v>
      </c>
      <c r="V109" s="305" t="e">
        <f t="shared" si="25"/>
        <v>#VALUE!</v>
      </c>
      <c r="W109" s="305" t="e">
        <f t="shared" si="25"/>
        <v>#VALUE!</v>
      </c>
      <c r="X109" s="305" t="e">
        <f t="shared" si="25"/>
        <v>#VALUE!</v>
      </c>
      <c r="Y109" s="305" t="e">
        <f t="shared" si="25"/>
        <v>#VALUE!</v>
      </c>
      <c r="Z109" s="305" t="e">
        <f t="shared" si="25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5"/>
        <v>#VALUE!</v>
      </c>
      <c r="K110" s="305" t="e">
        <f t="shared" si="25"/>
        <v>#VALUE!</v>
      </c>
      <c r="L110" s="305" t="e">
        <f t="shared" si="25"/>
        <v>#VALUE!</v>
      </c>
      <c r="M110" s="305" t="e">
        <f t="shared" si="25"/>
        <v>#VALUE!</v>
      </c>
      <c r="N110" s="305" t="e">
        <f t="shared" si="25"/>
        <v>#VALUE!</v>
      </c>
      <c r="O110" s="305" t="e">
        <f t="shared" si="25"/>
        <v>#VALUE!</v>
      </c>
      <c r="P110" s="305" t="e">
        <f t="shared" si="25"/>
        <v>#VALUE!</v>
      </c>
      <c r="Q110" s="305" t="e">
        <f t="shared" si="25"/>
        <v>#VALUE!</v>
      </c>
      <c r="R110" s="305" t="e">
        <f t="shared" si="25"/>
        <v>#VALUE!</v>
      </c>
      <c r="S110" s="305" t="e">
        <f t="shared" si="25"/>
        <v>#VALUE!</v>
      </c>
      <c r="T110" s="305" t="e">
        <f t="shared" si="25"/>
        <v>#VALUE!</v>
      </c>
      <c r="U110" s="305" t="e">
        <f t="shared" si="25"/>
        <v>#VALUE!</v>
      </c>
      <c r="V110" s="305" t="e">
        <f t="shared" si="25"/>
        <v>#VALUE!</v>
      </c>
      <c r="W110" s="305" t="e">
        <f t="shared" si="25"/>
        <v>#VALUE!</v>
      </c>
      <c r="X110" s="305" t="e">
        <f t="shared" si="25"/>
        <v>#VALUE!</v>
      </c>
      <c r="Y110" s="305" t="e">
        <f t="shared" si="25"/>
        <v>#VALUE!</v>
      </c>
      <c r="Z110" s="305" t="e">
        <f t="shared" si="25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5"/>
        <v>#VALUE!</v>
      </c>
      <c r="L111" s="305" t="e">
        <f t="shared" si="25"/>
        <v>#VALUE!</v>
      </c>
      <c r="M111" s="305" t="e">
        <f t="shared" si="25"/>
        <v>#VALUE!</v>
      </c>
      <c r="N111" s="305" t="e">
        <f t="shared" si="25"/>
        <v>#VALUE!</v>
      </c>
      <c r="O111" s="305" t="e">
        <f t="shared" si="25"/>
        <v>#VALUE!</v>
      </c>
      <c r="P111" s="305" t="e">
        <f t="shared" si="25"/>
        <v>#VALUE!</v>
      </c>
      <c r="Q111" s="305" t="e">
        <f t="shared" si="25"/>
        <v>#VALUE!</v>
      </c>
      <c r="R111" s="305" t="e">
        <f t="shared" si="25"/>
        <v>#VALUE!</v>
      </c>
      <c r="S111" s="305" t="e">
        <f t="shared" si="25"/>
        <v>#VALUE!</v>
      </c>
      <c r="T111" s="305" t="e">
        <f t="shared" si="25"/>
        <v>#VALUE!</v>
      </c>
      <c r="U111" s="305" t="e">
        <f t="shared" si="25"/>
        <v>#VALUE!</v>
      </c>
      <c r="V111" s="305" t="e">
        <f t="shared" si="25"/>
        <v>#VALUE!</v>
      </c>
      <c r="W111" s="305" t="e">
        <f t="shared" si="25"/>
        <v>#VALUE!</v>
      </c>
      <c r="X111" s="305" t="e">
        <f t="shared" si="25"/>
        <v>#VALUE!</v>
      </c>
      <c r="Y111" s="305" t="e">
        <f t="shared" si="25"/>
        <v>#VALUE!</v>
      </c>
      <c r="Z111" s="305" t="e">
        <f t="shared" si="25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5"/>
        <v>#VALUE!</v>
      </c>
      <c r="M112" s="305" t="e">
        <f t="shared" si="25"/>
        <v>#VALUE!</v>
      </c>
      <c r="N112" s="305" t="e">
        <f t="shared" si="25"/>
        <v>#VALUE!</v>
      </c>
      <c r="O112" s="305" t="e">
        <f t="shared" si="25"/>
        <v>#VALUE!</v>
      </c>
      <c r="P112" s="305" t="e">
        <f t="shared" si="25"/>
        <v>#VALUE!</v>
      </c>
      <c r="Q112" s="305" t="e">
        <f t="shared" si="25"/>
        <v>#VALUE!</v>
      </c>
      <c r="R112" s="305" t="e">
        <f t="shared" si="25"/>
        <v>#VALUE!</v>
      </c>
      <c r="S112" s="305" t="e">
        <f t="shared" si="25"/>
        <v>#VALUE!</v>
      </c>
      <c r="T112" s="305" t="e">
        <f t="shared" si="25"/>
        <v>#VALUE!</v>
      </c>
      <c r="U112" s="305" t="e">
        <f t="shared" si="25"/>
        <v>#VALUE!</v>
      </c>
      <c r="V112" s="305" t="e">
        <f t="shared" si="25"/>
        <v>#VALUE!</v>
      </c>
      <c r="W112" s="305" t="e">
        <f t="shared" si="25"/>
        <v>#VALUE!</v>
      </c>
      <c r="X112" s="305" t="e">
        <f t="shared" si="25"/>
        <v>#VALUE!</v>
      </c>
      <c r="Y112" s="305" t="e">
        <f t="shared" si="25"/>
        <v>#VALUE!</v>
      </c>
      <c r="Z112" s="305" t="e">
        <f t="shared" si="25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5"/>
        <v>#VALUE!</v>
      </c>
      <c r="N113" s="305" t="e">
        <f t="shared" si="25"/>
        <v>#VALUE!</v>
      </c>
      <c r="O113" s="305" t="e">
        <f t="shared" si="25"/>
        <v>#VALUE!</v>
      </c>
      <c r="P113" s="305" t="e">
        <f t="shared" si="25"/>
        <v>#VALUE!</v>
      </c>
      <c r="Q113" s="305" t="e">
        <f t="shared" si="25"/>
        <v>#VALUE!</v>
      </c>
      <c r="R113" s="305" t="e">
        <f t="shared" si="25"/>
        <v>#VALUE!</v>
      </c>
      <c r="S113" s="305" t="e">
        <f t="shared" si="25"/>
        <v>#VALUE!</v>
      </c>
      <c r="T113" s="305" t="e">
        <f t="shared" si="25"/>
        <v>#VALUE!</v>
      </c>
      <c r="U113" s="305" t="e">
        <f t="shared" si="25"/>
        <v>#VALUE!</v>
      </c>
      <c r="V113" s="305" t="e">
        <f t="shared" si="25"/>
        <v>#VALUE!</v>
      </c>
      <c r="W113" s="305" t="e">
        <f t="shared" si="25"/>
        <v>#VALUE!</v>
      </c>
      <c r="X113" s="305" t="e">
        <f t="shared" si="25"/>
        <v>#VALUE!</v>
      </c>
      <c r="Y113" s="305" t="e">
        <f t="shared" si="25"/>
        <v>#VALUE!</v>
      </c>
      <c r="Z113" s="305" t="e">
        <f t="shared" si="25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6">SUM(D83:D113)</f>
        <v>#VALUE!</v>
      </c>
      <c r="E114" s="328" t="e">
        <f t="shared" si="26"/>
        <v>#VALUE!</v>
      </c>
      <c r="F114" s="328" t="e">
        <f t="shared" si="26"/>
        <v>#VALUE!</v>
      </c>
      <c r="G114" s="328" t="e">
        <f t="shared" si="26"/>
        <v>#VALUE!</v>
      </c>
      <c r="H114" s="328" t="e">
        <f t="shared" si="26"/>
        <v>#VALUE!</v>
      </c>
      <c r="I114" s="328" t="e">
        <f t="shared" si="26"/>
        <v>#VALUE!</v>
      </c>
      <c r="J114" s="328" t="e">
        <f t="shared" si="26"/>
        <v>#VALUE!</v>
      </c>
      <c r="K114" s="328" t="e">
        <f t="shared" si="26"/>
        <v>#VALUE!</v>
      </c>
      <c r="L114" s="328" t="e">
        <f t="shared" si="26"/>
        <v>#VALUE!</v>
      </c>
      <c r="M114" s="328" t="e">
        <f t="shared" si="26"/>
        <v>#VALUE!</v>
      </c>
      <c r="N114" s="328" t="e">
        <f t="shared" si="26"/>
        <v>#VALUE!</v>
      </c>
      <c r="O114" s="328" t="e">
        <f t="shared" si="26"/>
        <v>#VALUE!</v>
      </c>
      <c r="P114" s="328" t="e">
        <f t="shared" si="26"/>
        <v>#VALUE!</v>
      </c>
      <c r="Q114" s="328" t="e">
        <f t="shared" si="26"/>
        <v>#VALUE!</v>
      </c>
      <c r="R114" s="328" t="e">
        <f t="shared" si="26"/>
        <v>#VALUE!</v>
      </c>
      <c r="S114" s="328" t="e">
        <f t="shared" si="26"/>
        <v>#VALUE!</v>
      </c>
      <c r="T114" s="328" t="e">
        <f t="shared" si="26"/>
        <v>#VALUE!</v>
      </c>
      <c r="U114" s="328" t="e">
        <f t="shared" si="26"/>
        <v>#VALUE!</v>
      </c>
      <c r="V114" s="328" t="e">
        <f t="shared" si="26"/>
        <v>#VALUE!</v>
      </c>
      <c r="W114" s="328" t="e">
        <f t="shared" si="26"/>
        <v>#VALUE!</v>
      </c>
      <c r="X114" s="328" t="e">
        <f t="shared" si="26"/>
        <v>#VALUE!</v>
      </c>
      <c r="Y114" s="328" t="e">
        <f t="shared" si="26"/>
        <v>#VALUE!</v>
      </c>
      <c r="Z114" s="328" t="e">
        <f t="shared" si="26"/>
        <v>#VALUE!</v>
      </c>
      <c r="AA114" s="328" t="e">
        <f t="shared" si="26"/>
        <v>#VALUE!</v>
      </c>
      <c r="AB114" s="328" t="e">
        <f t="shared" si="26"/>
        <v>#VALUE!</v>
      </c>
      <c r="AC114" s="328" t="e">
        <f t="shared" si="26"/>
        <v>#VALUE!</v>
      </c>
      <c r="AD114" s="328" t="e">
        <f t="shared" si="26"/>
        <v>#VALUE!</v>
      </c>
      <c r="AE114" s="328" t="e">
        <f t="shared" si="26"/>
        <v>#VALUE!</v>
      </c>
      <c r="AF114" s="329" t="e">
        <f t="shared" si="26"/>
        <v>#VALUE!</v>
      </c>
      <c r="AG114" s="329" t="e">
        <f t="shared" si="26"/>
        <v>#VALUE!</v>
      </c>
      <c r="AH114" s="315" t="e">
        <f t="shared" si="26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7">D119+1</f>
        <v>2</v>
      </c>
      <c r="F119" s="302">
        <f t="shared" si="27"/>
        <v>3</v>
      </c>
      <c r="G119" s="302">
        <f t="shared" si="27"/>
        <v>4</v>
      </c>
      <c r="H119" s="302">
        <f t="shared" si="27"/>
        <v>5</v>
      </c>
      <c r="I119" s="302">
        <f t="shared" si="27"/>
        <v>6</v>
      </c>
      <c r="J119" s="302">
        <f t="shared" si="27"/>
        <v>7</v>
      </c>
      <c r="K119" s="302">
        <f t="shared" si="27"/>
        <v>8</v>
      </c>
      <c r="L119" s="302">
        <f t="shared" si="27"/>
        <v>9</v>
      </c>
      <c r="M119" s="302">
        <f t="shared" si="27"/>
        <v>10</v>
      </c>
      <c r="N119" s="302">
        <f t="shared" si="27"/>
        <v>11</v>
      </c>
      <c r="O119" s="302">
        <f t="shared" si="27"/>
        <v>12</v>
      </c>
      <c r="P119" s="302">
        <f t="shared" si="27"/>
        <v>13</v>
      </c>
      <c r="Q119" s="302">
        <f t="shared" si="27"/>
        <v>14</v>
      </c>
      <c r="R119" s="302">
        <f t="shared" si="27"/>
        <v>15</v>
      </c>
      <c r="S119" s="302">
        <f t="shared" si="27"/>
        <v>16</v>
      </c>
      <c r="T119" s="302">
        <f t="shared" si="27"/>
        <v>17</v>
      </c>
      <c r="U119" s="302">
        <f t="shared" si="27"/>
        <v>18</v>
      </c>
      <c r="V119" s="302">
        <f t="shared" si="27"/>
        <v>19</v>
      </c>
      <c r="W119" s="302">
        <f t="shared" si="27"/>
        <v>20</v>
      </c>
      <c r="X119" s="302">
        <f t="shared" si="27"/>
        <v>21</v>
      </c>
      <c r="Y119" s="302">
        <f t="shared" si="27"/>
        <v>22</v>
      </c>
      <c r="Z119" s="302">
        <f t="shared" si="27"/>
        <v>23</v>
      </c>
      <c r="AA119" s="302">
        <f t="shared" si="27"/>
        <v>24</v>
      </c>
      <c r="AB119" s="302">
        <f t="shared" si="27"/>
        <v>25</v>
      </c>
      <c r="AC119" s="302">
        <f t="shared" si="27"/>
        <v>26</v>
      </c>
      <c r="AD119" s="302">
        <f t="shared" si="27"/>
        <v>27</v>
      </c>
      <c r="AE119" s="302">
        <f t="shared" si="27"/>
        <v>28</v>
      </c>
      <c r="AF119" s="302">
        <f t="shared" si="27"/>
        <v>29</v>
      </c>
      <c r="AG119" s="302">
        <f t="shared" si="27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8">SUM(D120:AG120)</f>
        <v>0</v>
      </c>
    </row>
    <row r="121" spans="1:34">
      <c r="C121" s="304">
        <f t="shared" ref="C121:C150" si="29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8"/>
        <v>0</v>
      </c>
    </row>
    <row r="122" spans="1:34">
      <c r="C122" s="304">
        <f t="shared" si="29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8"/>
        <v>#VALUE!</v>
      </c>
    </row>
    <row r="123" spans="1:34">
      <c r="C123" s="304">
        <f t="shared" si="29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8"/>
        <v>#VALUE!</v>
      </c>
    </row>
    <row r="124" spans="1:34">
      <c r="C124" s="304">
        <f t="shared" si="29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8"/>
        <v>#VALUE!</v>
      </c>
    </row>
    <row r="125" spans="1:34">
      <c r="C125" s="304">
        <f t="shared" si="29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8"/>
        <v>#VALUE!</v>
      </c>
    </row>
    <row r="126" spans="1:34">
      <c r="C126" s="304">
        <f t="shared" si="29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8"/>
        <v>#VALUE!</v>
      </c>
    </row>
    <row r="127" spans="1:34">
      <c r="C127" s="304">
        <f t="shared" si="29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8"/>
        <v>#VALUE!</v>
      </c>
    </row>
    <row r="128" spans="1:34">
      <c r="C128" s="304">
        <f t="shared" si="29"/>
        <v>8</v>
      </c>
      <c r="D128" s="305" t="e">
        <f t="shared" ref="D128:O139" si="30">D127</f>
        <v>#VALUE!</v>
      </c>
      <c r="E128" s="305" t="e">
        <f t="shared" si="30"/>
        <v>#VALUE!</v>
      </c>
      <c r="F128" s="305" t="e">
        <f t="shared" si="30"/>
        <v>#VALUE!</v>
      </c>
      <c r="G128" s="305" t="e">
        <f t="shared" si="30"/>
        <v>#VALUE!</v>
      </c>
      <c r="H128" s="305" t="e">
        <f t="shared" si="30"/>
        <v>#VALUE!</v>
      </c>
      <c r="I128" s="305" t="e">
        <f t="shared" si="30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8"/>
        <v>#VALUE!</v>
      </c>
    </row>
    <row r="129" spans="3:34">
      <c r="C129" s="304">
        <f t="shared" si="29"/>
        <v>9</v>
      </c>
      <c r="D129" s="305" t="e">
        <f t="shared" si="30"/>
        <v>#VALUE!</v>
      </c>
      <c r="E129" s="305" t="e">
        <f t="shared" si="30"/>
        <v>#VALUE!</v>
      </c>
      <c r="F129" s="305" t="e">
        <f t="shared" si="30"/>
        <v>#VALUE!</v>
      </c>
      <c r="G129" s="305" t="e">
        <f t="shared" si="30"/>
        <v>#VALUE!</v>
      </c>
      <c r="H129" s="305" t="e">
        <f t="shared" si="30"/>
        <v>#VALUE!</v>
      </c>
      <c r="I129" s="305" t="e">
        <f t="shared" si="30"/>
        <v>#VALUE!</v>
      </c>
      <c r="J129" s="305" t="e">
        <f t="shared" si="30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8"/>
        <v>#VALUE!</v>
      </c>
    </row>
    <row r="130" spans="3:34">
      <c r="C130" s="304">
        <f t="shared" si="29"/>
        <v>10</v>
      </c>
      <c r="D130" s="305" t="e">
        <f t="shared" si="30"/>
        <v>#VALUE!</v>
      </c>
      <c r="E130" s="305" t="e">
        <f t="shared" si="30"/>
        <v>#VALUE!</v>
      </c>
      <c r="F130" s="305" t="e">
        <f t="shared" si="30"/>
        <v>#VALUE!</v>
      </c>
      <c r="G130" s="305" t="e">
        <f t="shared" si="30"/>
        <v>#VALUE!</v>
      </c>
      <c r="H130" s="305" t="e">
        <f t="shared" si="30"/>
        <v>#VALUE!</v>
      </c>
      <c r="I130" s="305" t="e">
        <f t="shared" si="30"/>
        <v>#VALUE!</v>
      </c>
      <c r="J130" s="305" t="e">
        <f t="shared" si="30"/>
        <v>#VALUE!</v>
      </c>
      <c r="K130" s="305" t="e">
        <f t="shared" si="30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8"/>
        <v>#VALUE!</v>
      </c>
    </row>
    <row r="131" spans="3:34">
      <c r="C131" s="304">
        <f t="shared" si="29"/>
        <v>11</v>
      </c>
      <c r="D131" s="305" t="e">
        <f t="shared" si="30"/>
        <v>#VALUE!</v>
      </c>
      <c r="E131" s="305" t="e">
        <f t="shared" si="30"/>
        <v>#VALUE!</v>
      </c>
      <c r="F131" s="305" t="e">
        <f t="shared" si="30"/>
        <v>#VALUE!</v>
      </c>
      <c r="G131" s="305" t="e">
        <f t="shared" si="30"/>
        <v>#VALUE!</v>
      </c>
      <c r="H131" s="305" t="e">
        <f t="shared" si="30"/>
        <v>#VALUE!</v>
      </c>
      <c r="I131" s="305" t="e">
        <f t="shared" si="30"/>
        <v>#VALUE!</v>
      </c>
      <c r="J131" s="305" t="e">
        <f t="shared" si="30"/>
        <v>#VALUE!</v>
      </c>
      <c r="K131" s="305" t="e">
        <f t="shared" si="30"/>
        <v>#VALUE!</v>
      </c>
      <c r="L131" s="305" t="e">
        <f t="shared" si="30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8"/>
        <v>#VALUE!</v>
      </c>
    </row>
    <row r="132" spans="3:34">
      <c r="C132" s="304">
        <f t="shared" si="29"/>
        <v>12</v>
      </c>
      <c r="D132" s="305" t="e">
        <f t="shared" si="30"/>
        <v>#VALUE!</v>
      </c>
      <c r="E132" s="305" t="e">
        <f t="shared" si="30"/>
        <v>#VALUE!</v>
      </c>
      <c r="F132" s="305" t="e">
        <f t="shared" si="30"/>
        <v>#VALUE!</v>
      </c>
      <c r="G132" s="305" t="e">
        <f t="shared" si="30"/>
        <v>#VALUE!</v>
      </c>
      <c r="H132" s="305" t="e">
        <f t="shared" si="30"/>
        <v>#VALUE!</v>
      </c>
      <c r="I132" s="305" t="e">
        <f t="shared" si="30"/>
        <v>#VALUE!</v>
      </c>
      <c r="J132" s="305" t="e">
        <f t="shared" si="30"/>
        <v>#VALUE!</v>
      </c>
      <c r="K132" s="305" t="e">
        <f t="shared" si="30"/>
        <v>#VALUE!</v>
      </c>
      <c r="L132" s="305" t="e">
        <f t="shared" si="30"/>
        <v>#VALUE!</v>
      </c>
      <c r="M132" s="305" t="e">
        <f t="shared" si="30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8"/>
        <v>#VALUE!</v>
      </c>
    </row>
    <row r="133" spans="3:34">
      <c r="C133" s="304">
        <f t="shared" si="29"/>
        <v>13</v>
      </c>
      <c r="D133" s="305" t="e">
        <f t="shared" si="30"/>
        <v>#VALUE!</v>
      </c>
      <c r="E133" s="305" t="e">
        <f t="shared" si="30"/>
        <v>#VALUE!</v>
      </c>
      <c r="F133" s="305" t="e">
        <f t="shared" si="30"/>
        <v>#VALUE!</v>
      </c>
      <c r="G133" s="305" t="e">
        <f t="shared" si="30"/>
        <v>#VALUE!</v>
      </c>
      <c r="H133" s="305" t="e">
        <f t="shared" si="30"/>
        <v>#VALUE!</v>
      </c>
      <c r="I133" s="305" t="e">
        <f t="shared" si="30"/>
        <v>#VALUE!</v>
      </c>
      <c r="J133" s="305" t="e">
        <f t="shared" si="30"/>
        <v>#VALUE!</v>
      </c>
      <c r="K133" s="305" t="e">
        <f t="shared" si="30"/>
        <v>#VALUE!</v>
      </c>
      <c r="L133" s="305" t="e">
        <f t="shared" si="30"/>
        <v>#VALUE!</v>
      </c>
      <c r="M133" s="305" t="e">
        <f t="shared" si="30"/>
        <v>#VALUE!</v>
      </c>
      <c r="N133" s="305" t="e">
        <f t="shared" si="30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8"/>
        <v>#VALUE!</v>
      </c>
    </row>
    <row r="134" spans="3:34">
      <c r="C134" s="304">
        <f t="shared" si="29"/>
        <v>14</v>
      </c>
      <c r="D134" s="305" t="e">
        <f t="shared" si="30"/>
        <v>#VALUE!</v>
      </c>
      <c r="E134" s="305" t="e">
        <f t="shared" si="30"/>
        <v>#VALUE!</v>
      </c>
      <c r="F134" s="305" t="e">
        <f t="shared" si="30"/>
        <v>#VALUE!</v>
      </c>
      <c r="G134" s="305" t="e">
        <f t="shared" si="30"/>
        <v>#VALUE!</v>
      </c>
      <c r="H134" s="305" t="e">
        <f t="shared" si="30"/>
        <v>#VALUE!</v>
      </c>
      <c r="I134" s="305" t="e">
        <f t="shared" si="30"/>
        <v>#VALUE!</v>
      </c>
      <c r="J134" s="305" t="e">
        <f t="shared" si="30"/>
        <v>#VALUE!</v>
      </c>
      <c r="K134" s="305" t="e">
        <f t="shared" si="30"/>
        <v>#VALUE!</v>
      </c>
      <c r="L134" s="305" t="e">
        <f t="shared" si="30"/>
        <v>#VALUE!</v>
      </c>
      <c r="M134" s="305" t="e">
        <f t="shared" si="30"/>
        <v>#VALUE!</v>
      </c>
      <c r="N134" s="305" t="e">
        <f t="shared" si="30"/>
        <v>#VALUE!</v>
      </c>
      <c r="O134" s="305" t="e">
        <f t="shared" si="30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8"/>
        <v>#VALUE!</v>
      </c>
    </row>
    <row r="135" spans="3:34">
      <c r="C135" s="304">
        <f t="shared" si="29"/>
        <v>15</v>
      </c>
      <c r="D135" s="305" t="e">
        <f t="shared" si="30"/>
        <v>#VALUE!</v>
      </c>
      <c r="E135" s="305" t="e">
        <f t="shared" si="30"/>
        <v>#VALUE!</v>
      </c>
      <c r="F135" s="305" t="e">
        <f t="shared" si="30"/>
        <v>#VALUE!</v>
      </c>
      <c r="G135" s="305" t="e">
        <f t="shared" si="30"/>
        <v>#VALUE!</v>
      </c>
      <c r="H135" s="305" t="e">
        <f t="shared" si="30"/>
        <v>#VALUE!</v>
      </c>
      <c r="I135" s="305" t="e">
        <f t="shared" si="30"/>
        <v>#VALUE!</v>
      </c>
      <c r="J135" s="305" t="e">
        <f t="shared" si="30"/>
        <v>#VALUE!</v>
      </c>
      <c r="K135" s="305" t="e">
        <f t="shared" si="30"/>
        <v>#VALUE!</v>
      </c>
      <c r="L135" s="305" t="e">
        <f t="shared" si="30"/>
        <v>#VALUE!</v>
      </c>
      <c r="M135" s="305" t="e">
        <f t="shared" si="30"/>
        <v>#VALUE!</v>
      </c>
      <c r="N135" s="305" t="e">
        <f t="shared" si="30"/>
        <v>#VALUE!</v>
      </c>
      <c r="O135" s="305" t="e">
        <f t="shared" si="30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8"/>
        <v>#VALUE!</v>
      </c>
    </row>
    <row r="136" spans="3:34">
      <c r="C136" s="304">
        <f t="shared" si="29"/>
        <v>16</v>
      </c>
      <c r="D136" s="305" t="e">
        <f t="shared" si="30"/>
        <v>#VALUE!</v>
      </c>
      <c r="E136" s="305" t="e">
        <f t="shared" si="30"/>
        <v>#VALUE!</v>
      </c>
      <c r="F136" s="305" t="e">
        <f t="shared" si="30"/>
        <v>#VALUE!</v>
      </c>
      <c r="G136" s="305" t="e">
        <f t="shared" si="30"/>
        <v>#VALUE!</v>
      </c>
      <c r="H136" s="305" t="e">
        <f t="shared" si="30"/>
        <v>#VALUE!</v>
      </c>
      <c r="I136" s="305" t="e">
        <f t="shared" si="30"/>
        <v>#VALUE!</v>
      </c>
      <c r="J136" s="305" t="e">
        <f t="shared" si="30"/>
        <v>#VALUE!</v>
      </c>
      <c r="K136" s="305" t="e">
        <f t="shared" si="30"/>
        <v>#VALUE!</v>
      </c>
      <c r="L136" s="305" t="e">
        <f t="shared" si="30"/>
        <v>#VALUE!</v>
      </c>
      <c r="M136" s="305" t="e">
        <f t="shared" si="30"/>
        <v>#VALUE!</v>
      </c>
      <c r="N136" s="305" t="e">
        <f t="shared" si="30"/>
        <v>#VALUE!</v>
      </c>
      <c r="O136" s="305" t="e">
        <f t="shared" si="30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8"/>
        <v>#VALUE!</v>
      </c>
    </row>
    <row r="137" spans="3:34">
      <c r="C137" s="304">
        <f t="shared" si="29"/>
        <v>17</v>
      </c>
      <c r="D137" s="305"/>
      <c r="E137" s="305" t="e">
        <f t="shared" si="30"/>
        <v>#VALUE!</v>
      </c>
      <c r="F137" s="305" t="e">
        <f t="shared" si="30"/>
        <v>#VALUE!</v>
      </c>
      <c r="G137" s="305" t="e">
        <f t="shared" si="30"/>
        <v>#VALUE!</v>
      </c>
      <c r="H137" s="305" t="e">
        <f t="shared" si="30"/>
        <v>#VALUE!</v>
      </c>
      <c r="I137" s="305" t="e">
        <f t="shared" si="30"/>
        <v>#VALUE!</v>
      </c>
      <c r="J137" s="305" t="e">
        <f t="shared" si="30"/>
        <v>#VALUE!</v>
      </c>
      <c r="K137" s="305" t="e">
        <f t="shared" si="30"/>
        <v>#VALUE!</v>
      </c>
      <c r="L137" s="305" t="e">
        <f t="shared" si="30"/>
        <v>#VALUE!</v>
      </c>
      <c r="M137" s="305" t="e">
        <f t="shared" si="30"/>
        <v>#VALUE!</v>
      </c>
      <c r="N137" s="305" t="e">
        <f t="shared" si="30"/>
        <v>#VALUE!</v>
      </c>
      <c r="O137" s="305" t="e">
        <f t="shared" si="30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8"/>
        <v>#VALUE!</v>
      </c>
    </row>
    <row r="138" spans="3:34">
      <c r="C138" s="304">
        <f t="shared" si="29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0"/>
        <v>#VALUE!</v>
      </c>
      <c r="L138" s="305" t="e">
        <f t="shared" si="30"/>
        <v>#VALUE!</v>
      </c>
      <c r="M138" s="305" t="e">
        <f t="shared" si="30"/>
        <v>#VALUE!</v>
      </c>
      <c r="N138" s="305" t="e">
        <f t="shared" si="30"/>
        <v>#VALUE!</v>
      </c>
      <c r="O138" s="305" t="e">
        <f t="shared" si="30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8"/>
        <v>#VALUE!</v>
      </c>
    </row>
    <row r="139" spans="3:34">
      <c r="C139" s="304">
        <f t="shared" si="29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0"/>
        <v>#VALUE!</v>
      </c>
      <c r="L139" s="305" t="e">
        <f t="shared" si="30"/>
        <v>#VALUE!</v>
      </c>
      <c r="M139" s="305" t="e">
        <f t="shared" si="30"/>
        <v>#VALUE!</v>
      </c>
      <c r="N139" s="305" t="e">
        <f t="shared" si="30"/>
        <v>#VALUE!</v>
      </c>
      <c r="O139" s="305" t="e">
        <f t="shared" si="30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1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8"/>
        <v>#VALUE!</v>
      </c>
    </row>
    <row r="140" spans="3:34">
      <c r="C140" s="304">
        <f t="shared" si="29"/>
        <v>20</v>
      </c>
      <c r="D140" s="305"/>
      <c r="E140" s="305"/>
      <c r="F140" s="305"/>
      <c r="G140" s="305"/>
      <c r="H140" s="305" t="e">
        <f t="shared" ref="H140:R150" si="32">H139</f>
        <v>#VALUE!</v>
      </c>
      <c r="I140" s="305" t="e">
        <f t="shared" si="32"/>
        <v>#VALUE!</v>
      </c>
      <c r="J140" s="305" t="e">
        <f t="shared" si="32"/>
        <v>#VALUE!</v>
      </c>
      <c r="K140" s="305" t="e">
        <f t="shared" si="32"/>
        <v>#VALUE!</v>
      </c>
      <c r="L140" s="305" t="e">
        <f t="shared" si="32"/>
        <v>#VALUE!</v>
      </c>
      <c r="M140" s="305" t="e">
        <f t="shared" si="32"/>
        <v>#VALUE!</v>
      </c>
      <c r="N140" s="305" t="e">
        <f t="shared" si="32"/>
        <v>#VALUE!</v>
      </c>
      <c r="O140" s="305" t="e">
        <f t="shared" si="32"/>
        <v>#VALUE!</v>
      </c>
      <c r="P140" s="305" t="e">
        <f t="shared" si="32"/>
        <v>#VALUE!</v>
      </c>
      <c r="Q140" s="305" t="e">
        <f t="shared" si="32"/>
        <v>#VALUE!</v>
      </c>
      <c r="R140" s="305" t="e">
        <f t="shared" si="32"/>
        <v>#VALUE!</v>
      </c>
      <c r="S140" s="305" t="e">
        <f t="shared" si="31"/>
        <v>#VALUE!</v>
      </c>
      <c r="T140" s="305" t="e">
        <f t="shared" si="31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8"/>
        <v>#VALUE!</v>
      </c>
    </row>
    <row r="141" spans="3:34">
      <c r="C141" s="304">
        <f t="shared" si="29"/>
        <v>21</v>
      </c>
      <c r="D141" s="305"/>
      <c r="E141" s="305"/>
      <c r="F141" s="305"/>
      <c r="G141" s="305"/>
      <c r="H141" s="305"/>
      <c r="I141" s="305" t="e">
        <f t="shared" si="32"/>
        <v>#VALUE!</v>
      </c>
      <c r="J141" s="305" t="e">
        <f t="shared" si="32"/>
        <v>#VALUE!</v>
      </c>
      <c r="K141" s="305" t="e">
        <f t="shared" si="32"/>
        <v>#VALUE!</v>
      </c>
      <c r="L141" s="305" t="e">
        <f t="shared" si="32"/>
        <v>#VALUE!</v>
      </c>
      <c r="M141" s="305" t="e">
        <f t="shared" si="32"/>
        <v>#VALUE!</v>
      </c>
      <c r="N141" s="305" t="e">
        <f t="shared" si="32"/>
        <v>#VALUE!</v>
      </c>
      <c r="O141" s="305" t="e">
        <f t="shared" si="32"/>
        <v>#VALUE!</v>
      </c>
      <c r="P141" s="305" t="e">
        <f t="shared" si="32"/>
        <v>#VALUE!</v>
      </c>
      <c r="Q141" s="305" t="e">
        <f t="shared" si="32"/>
        <v>#VALUE!</v>
      </c>
      <c r="R141" s="305" t="e">
        <f t="shared" si="32"/>
        <v>#VALUE!</v>
      </c>
      <c r="S141" s="305" t="e">
        <f t="shared" si="31"/>
        <v>#VALUE!</v>
      </c>
      <c r="T141" s="305" t="e">
        <f t="shared" si="31"/>
        <v>#VALUE!</v>
      </c>
      <c r="U141" s="305" t="e">
        <f t="shared" si="31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8"/>
        <v>#VALUE!</v>
      </c>
    </row>
    <row r="142" spans="3:34">
      <c r="C142" s="330">
        <f t="shared" si="29"/>
        <v>22</v>
      </c>
      <c r="D142" s="305"/>
      <c r="E142" s="305"/>
      <c r="F142" s="305"/>
      <c r="G142" s="305"/>
      <c r="H142" s="305"/>
      <c r="I142" s="305"/>
      <c r="J142" s="305" t="e">
        <f t="shared" si="32"/>
        <v>#VALUE!</v>
      </c>
      <c r="K142" s="305" t="e">
        <f t="shared" si="32"/>
        <v>#VALUE!</v>
      </c>
      <c r="L142" s="305" t="e">
        <f t="shared" si="32"/>
        <v>#VALUE!</v>
      </c>
      <c r="M142" s="305" t="e">
        <f t="shared" si="32"/>
        <v>#VALUE!</v>
      </c>
      <c r="N142" s="305" t="e">
        <f t="shared" si="32"/>
        <v>#VALUE!</v>
      </c>
      <c r="O142" s="305" t="e">
        <f t="shared" si="32"/>
        <v>#VALUE!</v>
      </c>
      <c r="P142" s="305" t="e">
        <f t="shared" si="32"/>
        <v>#VALUE!</v>
      </c>
      <c r="Q142" s="305" t="e">
        <f t="shared" si="32"/>
        <v>#VALUE!</v>
      </c>
      <c r="R142" s="305" t="e">
        <f t="shared" si="32"/>
        <v>#VALUE!</v>
      </c>
      <c r="S142" s="305" t="e">
        <f t="shared" si="31"/>
        <v>#VALUE!</v>
      </c>
      <c r="T142" s="305" t="e">
        <f t="shared" si="31"/>
        <v>#VALUE!</v>
      </c>
      <c r="U142" s="305" t="e">
        <f t="shared" si="31"/>
        <v>#VALUE!</v>
      </c>
      <c r="V142" s="305" t="e">
        <f t="shared" si="31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8"/>
        <v>#VALUE!</v>
      </c>
    </row>
    <row r="143" spans="3:34">
      <c r="C143" s="330">
        <f t="shared" si="29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2"/>
        <v>#VALUE!</v>
      </c>
      <c r="L143" s="305" t="e">
        <f t="shared" si="32"/>
        <v>#VALUE!</v>
      </c>
      <c r="M143" s="305" t="e">
        <f t="shared" si="32"/>
        <v>#VALUE!</v>
      </c>
      <c r="N143" s="305" t="e">
        <f t="shared" si="32"/>
        <v>#VALUE!</v>
      </c>
      <c r="O143" s="305" t="e">
        <f t="shared" si="32"/>
        <v>#VALUE!</v>
      </c>
      <c r="P143" s="305" t="e">
        <f t="shared" si="32"/>
        <v>#VALUE!</v>
      </c>
      <c r="Q143" s="305" t="e">
        <f t="shared" si="32"/>
        <v>#VALUE!</v>
      </c>
      <c r="R143" s="305" t="e">
        <f t="shared" si="32"/>
        <v>#VALUE!</v>
      </c>
      <c r="S143" s="305" t="e">
        <f t="shared" si="31"/>
        <v>#VALUE!</v>
      </c>
      <c r="T143" s="305" t="e">
        <f t="shared" si="31"/>
        <v>#VALUE!</v>
      </c>
      <c r="U143" s="305" t="e">
        <f t="shared" si="31"/>
        <v>#VALUE!</v>
      </c>
      <c r="V143" s="305" t="e">
        <f t="shared" si="31"/>
        <v>#VALUE!</v>
      </c>
      <c r="W143" s="305" t="e">
        <f t="shared" si="31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8"/>
        <v>#VALUE!</v>
      </c>
    </row>
    <row r="144" spans="3:34">
      <c r="C144" s="330">
        <f t="shared" si="29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2"/>
        <v>#VALUE!</v>
      </c>
      <c r="M144" s="305" t="e">
        <f t="shared" si="32"/>
        <v>#VALUE!</v>
      </c>
      <c r="N144" s="305" t="e">
        <f t="shared" si="32"/>
        <v>#VALUE!</v>
      </c>
      <c r="O144" s="305" t="e">
        <f t="shared" si="32"/>
        <v>#VALUE!</v>
      </c>
      <c r="P144" s="305" t="e">
        <f t="shared" si="32"/>
        <v>#VALUE!</v>
      </c>
      <c r="Q144" s="305" t="e">
        <f t="shared" si="32"/>
        <v>#VALUE!</v>
      </c>
      <c r="R144" s="305" t="e">
        <f t="shared" si="32"/>
        <v>#VALUE!</v>
      </c>
      <c r="S144" s="305" t="e">
        <f t="shared" si="31"/>
        <v>#VALUE!</v>
      </c>
      <c r="T144" s="305" t="e">
        <f t="shared" si="31"/>
        <v>#VALUE!</v>
      </c>
      <c r="U144" s="305" t="e">
        <f t="shared" si="31"/>
        <v>#VALUE!</v>
      </c>
      <c r="V144" s="305" t="e">
        <f t="shared" si="31"/>
        <v>#VALUE!</v>
      </c>
      <c r="W144" s="305" t="e">
        <f t="shared" si="31"/>
        <v>#VALUE!</v>
      </c>
      <c r="X144" s="305" t="e">
        <f t="shared" si="31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8"/>
        <v>#VALUE!</v>
      </c>
    </row>
    <row r="145" spans="1:34">
      <c r="C145" s="330">
        <f t="shared" si="29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2"/>
        <v>#VALUE!</v>
      </c>
      <c r="N145" s="305" t="e">
        <f t="shared" si="32"/>
        <v>#VALUE!</v>
      </c>
      <c r="O145" s="305" t="e">
        <f t="shared" si="32"/>
        <v>#VALUE!</v>
      </c>
      <c r="P145" s="305" t="e">
        <f t="shared" si="32"/>
        <v>#VALUE!</v>
      </c>
      <c r="Q145" s="305" t="e">
        <f t="shared" si="32"/>
        <v>#VALUE!</v>
      </c>
      <c r="R145" s="305" t="e">
        <f t="shared" si="32"/>
        <v>#VALUE!</v>
      </c>
      <c r="S145" s="305" t="e">
        <f t="shared" si="31"/>
        <v>#VALUE!</v>
      </c>
      <c r="T145" s="305" t="e">
        <f t="shared" si="31"/>
        <v>#VALUE!</v>
      </c>
      <c r="U145" s="305" t="e">
        <f t="shared" si="31"/>
        <v>#VALUE!</v>
      </c>
      <c r="V145" s="305" t="e">
        <f t="shared" si="31"/>
        <v>#VALUE!</v>
      </c>
      <c r="W145" s="305" t="e">
        <f t="shared" si="31"/>
        <v>#VALUE!</v>
      </c>
      <c r="X145" s="305" t="e">
        <f t="shared" si="31"/>
        <v>#VALUE!</v>
      </c>
      <c r="Y145" s="305" t="e">
        <f t="shared" si="31"/>
        <v>#VALUE!</v>
      </c>
      <c r="Z145" s="305" t="e">
        <f t="shared" si="31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8"/>
        <v>#VALUE!</v>
      </c>
    </row>
    <row r="146" spans="1:34">
      <c r="C146" s="330">
        <f t="shared" si="29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2"/>
        <v>#VALUE!</v>
      </c>
      <c r="O146" s="305" t="e">
        <f t="shared" si="32"/>
        <v>#VALUE!</v>
      </c>
      <c r="P146" s="305" t="e">
        <f t="shared" si="32"/>
        <v>#VALUE!</v>
      </c>
      <c r="Q146" s="305" t="e">
        <f t="shared" si="32"/>
        <v>#VALUE!</v>
      </c>
      <c r="R146" s="305" t="e">
        <f t="shared" si="32"/>
        <v>#VALUE!</v>
      </c>
      <c r="S146" s="305" t="e">
        <f t="shared" si="31"/>
        <v>#VALUE!</v>
      </c>
      <c r="T146" s="305" t="e">
        <f t="shared" si="31"/>
        <v>#VALUE!</v>
      </c>
      <c r="U146" s="305" t="e">
        <f t="shared" si="31"/>
        <v>#VALUE!</v>
      </c>
      <c r="V146" s="305" t="e">
        <f t="shared" si="31"/>
        <v>#VALUE!</v>
      </c>
      <c r="W146" s="305" t="e">
        <f t="shared" si="31"/>
        <v>#VALUE!</v>
      </c>
      <c r="X146" s="305" t="e">
        <f t="shared" si="31"/>
        <v>#VALUE!</v>
      </c>
      <c r="Y146" s="305" t="e">
        <f t="shared" si="31"/>
        <v>#VALUE!</v>
      </c>
      <c r="Z146" s="305" t="e">
        <f t="shared" si="31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8"/>
        <v>#VALUE!</v>
      </c>
    </row>
    <row r="147" spans="1:34">
      <c r="C147" s="330">
        <f t="shared" si="29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2"/>
        <v>#VALUE!</v>
      </c>
      <c r="P147" s="305" t="e">
        <f t="shared" si="32"/>
        <v>#VALUE!</v>
      </c>
      <c r="Q147" s="305" t="e">
        <f t="shared" si="32"/>
        <v>#VALUE!</v>
      </c>
      <c r="R147" s="305" t="e">
        <f t="shared" si="32"/>
        <v>#VALUE!</v>
      </c>
      <c r="S147" s="305" t="e">
        <f t="shared" si="31"/>
        <v>#VALUE!</v>
      </c>
      <c r="T147" s="305" t="e">
        <f t="shared" si="31"/>
        <v>#VALUE!</v>
      </c>
      <c r="U147" s="305" t="e">
        <f t="shared" si="31"/>
        <v>#VALUE!</v>
      </c>
      <c r="V147" s="305" t="e">
        <f t="shared" si="31"/>
        <v>#VALUE!</v>
      </c>
      <c r="W147" s="305" t="e">
        <f t="shared" si="31"/>
        <v>#VALUE!</v>
      </c>
      <c r="X147" s="305" t="e">
        <f t="shared" si="31"/>
        <v>#VALUE!</v>
      </c>
      <c r="Y147" s="305" t="e">
        <f t="shared" si="31"/>
        <v>#VALUE!</v>
      </c>
      <c r="Z147" s="305" t="e">
        <f t="shared" si="31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8"/>
        <v>#VALUE!</v>
      </c>
    </row>
    <row r="148" spans="1:34">
      <c r="C148" s="330">
        <f t="shared" si="29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2"/>
        <v>#VALUE!</v>
      </c>
      <c r="Q148" s="305" t="e">
        <f t="shared" si="32"/>
        <v>#VALUE!</v>
      </c>
      <c r="R148" s="305" t="e">
        <f t="shared" si="32"/>
        <v>#VALUE!</v>
      </c>
      <c r="S148" s="305" t="e">
        <f t="shared" si="31"/>
        <v>#VALUE!</v>
      </c>
      <c r="T148" s="305" t="e">
        <f t="shared" si="31"/>
        <v>#VALUE!</v>
      </c>
      <c r="U148" s="305" t="e">
        <f t="shared" si="31"/>
        <v>#VALUE!</v>
      </c>
      <c r="V148" s="305" t="e">
        <f t="shared" si="31"/>
        <v>#VALUE!</v>
      </c>
      <c r="W148" s="305" t="e">
        <f t="shared" si="31"/>
        <v>#VALUE!</v>
      </c>
      <c r="X148" s="305" t="e">
        <f t="shared" si="31"/>
        <v>#VALUE!</v>
      </c>
      <c r="Y148" s="305" t="e">
        <f t="shared" si="31"/>
        <v>#VALUE!</v>
      </c>
      <c r="Z148" s="305" t="e">
        <f t="shared" si="31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8"/>
        <v>#VALUE!</v>
      </c>
    </row>
    <row r="149" spans="1:34">
      <c r="C149" s="307">
        <f t="shared" si="29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2"/>
        <v>#VALUE!</v>
      </c>
      <c r="R149" s="305" t="e">
        <f t="shared" si="32"/>
        <v>#VALUE!</v>
      </c>
      <c r="S149" s="305" t="e">
        <f t="shared" si="31"/>
        <v>#VALUE!</v>
      </c>
      <c r="T149" s="305" t="e">
        <f t="shared" si="31"/>
        <v>#VALUE!</v>
      </c>
      <c r="U149" s="305" t="e">
        <f t="shared" si="31"/>
        <v>#VALUE!</v>
      </c>
      <c r="V149" s="305" t="e">
        <f t="shared" si="31"/>
        <v>#VALUE!</v>
      </c>
      <c r="W149" s="305" t="e">
        <f t="shared" si="31"/>
        <v>#VALUE!</v>
      </c>
      <c r="X149" s="305" t="e">
        <f t="shared" si="31"/>
        <v>#VALUE!</v>
      </c>
      <c r="Y149" s="305" t="e">
        <f t="shared" si="31"/>
        <v>#VALUE!</v>
      </c>
      <c r="Z149" s="305" t="e">
        <f t="shared" si="31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8"/>
        <v>#VALUE!</v>
      </c>
    </row>
    <row r="150" spans="1:34" ht="13.5" thickBot="1">
      <c r="C150" s="307">
        <f t="shared" si="29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2"/>
        <v>#VALUE!</v>
      </c>
      <c r="S150" s="305" t="e">
        <f t="shared" si="31"/>
        <v>#VALUE!</v>
      </c>
      <c r="T150" s="305" t="e">
        <f t="shared" si="31"/>
        <v>#VALUE!</v>
      </c>
      <c r="U150" s="305" t="e">
        <f t="shared" si="31"/>
        <v>#VALUE!</v>
      </c>
      <c r="V150" s="305" t="e">
        <f t="shared" si="31"/>
        <v>#VALUE!</v>
      </c>
      <c r="W150" s="305" t="e">
        <f t="shared" si="31"/>
        <v>#VALUE!</v>
      </c>
      <c r="X150" s="305" t="e">
        <f t="shared" si="31"/>
        <v>#VALUE!</v>
      </c>
      <c r="Y150" s="305" t="e">
        <f t="shared" si="31"/>
        <v>#VALUE!</v>
      </c>
      <c r="Z150" s="305" t="e">
        <f t="shared" si="31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8"/>
        <v>#VALUE!</v>
      </c>
    </row>
    <row r="151" spans="1:34" ht="14.25" thickTop="1" thickBot="1">
      <c r="C151" s="311" t="s">
        <v>0</v>
      </c>
      <c r="D151" s="328" t="e">
        <f t="shared" ref="D151:AH151" si="33">SUM(D120:D150)</f>
        <v>#VALUE!</v>
      </c>
      <c r="E151" s="328" t="e">
        <f t="shared" si="33"/>
        <v>#VALUE!</v>
      </c>
      <c r="F151" s="328" t="e">
        <f t="shared" si="33"/>
        <v>#VALUE!</v>
      </c>
      <c r="G151" s="328" t="e">
        <f t="shared" si="33"/>
        <v>#VALUE!</v>
      </c>
      <c r="H151" s="328" t="e">
        <f t="shared" si="33"/>
        <v>#VALUE!</v>
      </c>
      <c r="I151" s="328" t="e">
        <f t="shared" si="33"/>
        <v>#VALUE!</v>
      </c>
      <c r="J151" s="328" t="e">
        <f t="shared" si="33"/>
        <v>#VALUE!</v>
      </c>
      <c r="K151" s="328" t="e">
        <f t="shared" si="33"/>
        <v>#VALUE!</v>
      </c>
      <c r="L151" s="328" t="e">
        <f t="shared" si="33"/>
        <v>#VALUE!</v>
      </c>
      <c r="M151" s="328" t="e">
        <f t="shared" si="33"/>
        <v>#VALUE!</v>
      </c>
      <c r="N151" s="328" t="e">
        <f t="shared" si="33"/>
        <v>#VALUE!</v>
      </c>
      <c r="O151" s="328" t="e">
        <f t="shared" si="33"/>
        <v>#VALUE!</v>
      </c>
      <c r="P151" s="328" t="e">
        <f t="shared" si="33"/>
        <v>#VALUE!</v>
      </c>
      <c r="Q151" s="328" t="e">
        <f t="shared" si="33"/>
        <v>#VALUE!</v>
      </c>
      <c r="R151" s="328" t="e">
        <f t="shared" si="33"/>
        <v>#VALUE!</v>
      </c>
      <c r="S151" s="328" t="e">
        <f t="shared" si="33"/>
        <v>#VALUE!</v>
      </c>
      <c r="T151" s="328" t="e">
        <f t="shared" si="33"/>
        <v>#VALUE!</v>
      </c>
      <c r="U151" s="328" t="e">
        <f t="shared" si="33"/>
        <v>#VALUE!</v>
      </c>
      <c r="V151" s="328" t="e">
        <f t="shared" si="33"/>
        <v>#VALUE!</v>
      </c>
      <c r="W151" s="328" t="e">
        <f t="shared" si="33"/>
        <v>#VALUE!</v>
      </c>
      <c r="X151" s="328" t="e">
        <f t="shared" si="33"/>
        <v>#VALUE!</v>
      </c>
      <c r="Y151" s="328" t="e">
        <f t="shared" si="33"/>
        <v>#VALUE!</v>
      </c>
      <c r="Z151" s="328" t="e">
        <f t="shared" si="33"/>
        <v>#VALUE!</v>
      </c>
      <c r="AA151" s="328" t="e">
        <f t="shared" si="33"/>
        <v>#VALUE!</v>
      </c>
      <c r="AB151" s="328" t="e">
        <f t="shared" si="33"/>
        <v>#VALUE!</v>
      </c>
      <c r="AC151" s="328" t="e">
        <f t="shared" si="33"/>
        <v>#VALUE!</v>
      </c>
      <c r="AD151" s="328" t="e">
        <f t="shared" si="33"/>
        <v>#VALUE!</v>
      </c>
      <c r="AE151" s="328" t="e">
        <f t="shared" si="33"/>
        <v>#VALUE!</v>
      </c>
      <c r="AF151" s="329" t="e">
        <f t="shared" si="33"/>
        <v>#VALUE!</v>
      </c>
      <c r="AG151" s="328">
        <f t="shared" si="33"/>
        <v>0</v>
      </c>
      <c r="AH151" s="315" t="e">
        <f t="shared" si="33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4">D156+1</f>
        <v>2</v>
      </c>
      <c r="F156" s="302">
        <f t="shared" si="34"/>
        <v>3</v>
      </c>
      <c r="G156" s="302">
        <f t="shared" si="34"/>
        <v>4</v>
      </c>
      <c r="H156" s="302">
        <f t="shared" si="34"/>
        <v>5</v>
      </c>
      <c r="I156" s="302">
        <f t="shared" si="34"/>
        <v>6</v>
      </c>
      <c r="J156" s="302">
        <f t="shared" si="34"/>
        <v>7</v>
      </c>
      <c r="K156" s="302">
        <f t="shared" si="34"/>
        <v>8</v>
      </c>
      <c r="L156" s="302">
        <f t="shared" si="34"/>
        <v>9</v>
      </c>
      <c r="M156" s="302">
        <f t="shared" si="34"/>
        <v>10</v>
      </c>
      <c r="N156" s="302">
        <f t="shared" si="34"/>
        <v>11</v>
      </c>
      <c r="O156" s="302">
        <f t="shared" si="34"/>
        <v>12</v>
      </c>
      <c r="P156" s="302">
        <f t="shared" si="34"/>
        <v>13</v>
      </c>
      <c r="Q156" s="302">
        <f t="shared" si="34"/>
        <v>14</v>
      </c>
      <c r="R156" s="302">
        <f t="shared" si="34"/>
        <v>15</v>
      </c>
      <c r="S156" s="302">
        <f t="shared" si="34"/>
        <v>16</v>
      </c>
      <c r="T156" s="302">
        <f t="shared" si="34"/>
        <v>17</v>
      </c>
      <c r="U156" s="302">
        <f t="shared" si="34"/>
        <v>18</v>
      </c>
      <c r="V156" s="302">
        <f t="shared" si="34"/>
        <v>19</v>
      </c>
      <c r="W156" s="302">
        <f t="shared" si="34"/>
        <v>20</v>
      </c>
      <c r="X156" s="302">
        <f t="shared" si="34"/>
        <v>21</v>
      </c>
      <c r="Y156" s="302">
        <f t="shared" si="34"/>
        <v>22</v>
      </c>
      <c r="Z156" s="302">
        <f t="shared" si="34"/>
        <v>23</v>
      </c>
      <c r="AA156" s="302">
        <f t="shared" si="34"/>
        <v>24</v>
      </c>
      <c r="AB156" s="302">
        <f t="shared" si="34"/>
        <v>25</v>
      </c>
      <c r="AC156" s="302">
        <f t="shared" si="34"/>
        <v>26</v>
      </c>
      <c r="AD156" s="302">
        <f t="shared" si="34"/>
        <v>27</v>
      </c>
      <c r="AE156" s="302">
        <f t="shared" si="34"/>
        <v>28</v>
      </c>
      <c r="AF156" s="302">
        <f t="shared" si="34"/>
        <v>29</v>
      </c>
      <c r="AG156" s="302">
        <f t="shared" si="34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5">SUM(D157:AG157)</f>
        <v>0</v>
      </c>
    </row>
    <row r="158" spans="1:34">
      <c r="C158" s="304">
        <f t="shared" ref="C158:C187" si="36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5"/>
        <v>0</v>
      </c>
    </row>
    <row r="159" spans="1:34">
      <c r="C159" s="304">
        <f t="shared" si="36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5"/>
        <v>#VALUE!</v>
      </c>
    </row>
    <row r="160" spans="1:34">
      <c r="C160" s="304">
        <f t="shared" si="36"/>
        <v>3</v>
      </c>
      <c r="D160" s="305" t="e">
        <f t="shared" ref="D160:O175" si="37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5"/>
        <v>#VALUE!</v>
      </c>
    </row>
    <row r="161" spans="3:34">
      <c r="C161" s="304">
        <f t="shared" si="36"/>
        <v>4</v>
      </c>
      <c r="D161" s="305" t="e">
        <f t="shared" si="37"/>
        <v>#VALUE!</v>
      </c>
      <c r="E161" s="305" t="e">
        <f t="shared" si="37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5"/>
        <v>#VALUE!</v>
      </c>
    </row>
    <row r="162" spans="3:34">
      <c r="C162" s="304">
        <f t="shared" si="36"/>
        <v>5</v>
      </c>
      <c r="D162" s="305" t="e">
        <f t="shared" si="37"/>
        <v>#VALUE!</v>
      </c>
      <c r="E162" s="305" t="e">
        <f t="shared" si="37"/>
        <v>#VALUE!</v>
      </c>
      <c r="F162" s="305" t="e">
        <f t="shared" si="37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5"/>
        <v>#VALUE!</v>
      </c>
    </row>
    <row r="163" spans="3:34">
      <c r="C163" s="304">
        <f t="shared" si="36"/>
        <v>6</v>
      </c>
      <c r="D163" s="305" t="e">
        <f t="shared" si="37"/>
        <v>#VALUE!</v>
      </c>
      <c r="E163" s="305" t="e">
        <f t="shared" si="37"/>
        <v>#VALUE!</v>
      </c>
      <c r="F163" s="305" t="e">
        <f t="shared" si="37"/>
        <v>#VALUE!</v>
      </c>
      <c r="G163" s="305" t="e">
        <f t="shared" si="37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5"/>
        <v>#VALUE!</v>
      </c>
    </row>
    <row r="164" spans="3:34">
      <c r="C164" s="304">
        <f t="shared" si="36"/>
        <v>7</v>
      </c>
      <c r="D164" s="305" t="e">
        <f t="shared" si="37"/>
        <v>#VALUE!</v>
      </c>
      <c r="E164" s="305" t="e">
        <f t="shared" si="37"/>
        <v>#VALUE!</v>
      </c>
      <c r="F164" s="305" t="e">
        <f t="shared" si="37"/>
        <v>#VALUE!</v>
      </c>
      <c r="G164" s="305" t="e">
        <f t="shared" si="37"/>
        <v>#VALUE!</v>
      </c>
      <c r="H164" s="305" t="e">
        <f t="shared" si="37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5"/>
        <v>#VALUE!</v>
      </c>
    </row>
    <row r="165" spans="3:34">
      <c r="C165" s="304">
        <f t="shared" si="36"/>
        <v>8</v>
      </c>
      <c r="D165" s="305" t="e">
        <f t="shared" si="37"/>
        <v>#VALUE!</v>
      </c>
      <c r="E165" s="305" t="e">
        <f t="shared" si="37"/>
        <v>#VALUE!</v>
      </c>
      <c r="F165" s="305" t="e">
        <f t="shared" si="37"/>
        <v>#VALUE!</v>
      </c>
      <c r="G165" s="305" t="e">
        <f t="shared" si="37"/>
        <v>#VALUE!</v>
      </c>
      <c r="H165" s="305" t="e">
        <f t="shared" si="37"/>
        <v>#VALUE!</v>
      </c>
      <c r="I165" s="305" t="e">
        <f t="shared" si="37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5"/>
        <v>#VALUE!</v>
      </c>
    </row>
    <row r="166" spans="3:34">
      <c r="C166" s="304">
        <f t="shared" si="36"/>
        <v>9</v>
      </c>
      <c r="D166" s="305" t="e">
        <f t="shared" si="37"/>
        <v>#VALUE!</v>
      </c>
      <c r="E166" s="305" t="e">
        <f t="shared" si="37"/>
        <v>#VALUE!</v>
      </c>
      <c r="F166" s="305" t="e">
        <f t="shared" si="37"/>
        <v>#VALUE!</v>
      </c>
      <c r="G166" s="305" t="e">
        <f t="shared" si="37"/>
        <v>#VALUE!</v>
      </c>
      <c r="H166" s="305" t="e">
        <f t="shared" si="37"/>
        <v>#VALUE!</v>
      </c>
      <c r="I166" s="305" t="e">
        <f t="shared" si="37"/>
        <v>#VALUE!</v>
      </c>
      <c r="J166" s="305" t="e">
        <f t="shared" si="37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5"/>
        <v>#VALUE!</v>
      </c>
    </row>
    <row r="167" spans="3:34">
      <c r="C167" s="304">
        <f t="shared" si="36"/>
        <v>10</v>
      </c>
      <c r="D167" s="305" t="e">
        <f t="shared" si="37"/>
        <v>#VALUE!</v>
      </c>
      <c r="E167" s="305" t="e">
        <f t="shared" si="37"/>
        <v>#VALUE!</v>
      </c>
      <c r="F167" s="305" t="e">
        <f t="shared" si="37"/>
        <v>#VALUE!</v>
      </c>
      <c r="G167" s="305" t="e">
        <f t="shared" si="37"/>
        <v>#VALUE!</v>
      </c>
      <c r="H167" s="305" t="e">
        <f t="shared" si="37"/>
        <v>#VALUE!</v>
      </c>
      <c r="I167" s="305" t="e">
        <f t="shared" si="37"/>
        <v>#VALUE!</v>
      </c>
      <c r="J167" s="305" t="e">
        <f t="shared" si="37"/>
        <v>#VALUE!</v>
      </c>
      <c r="K167" s="305" t="e">
        <f t="shared" si="37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5"/>
        <v>#VALUE!</v>
      </c>
    </row>
    <row r="168" spans="3:34">
      <c r="C168" s="304">
        <f t="shared" si="36"/>
        <v>11</v>
      </c>
      <c r="D168" s="305" t="e">
        <f t="shared" si="37"/>
        <v>#VALUE!</v>
      </c>
      <c r="E168" s="305" t="e">
        <f t="shared" si="37"/>
        <v>#VALUE!</v>
      </c>
      <c r="F168" s="305" t="e">
        <f t="shared" si="37"/>
        <v>#VALUE!</v>
      </c>
      <c r="G168" s="305" t="e">
        <f t="shared" si="37"/>
        <v>#VALUE!</v>
      </c>
      <c r="H168" s="305" t="e">
        <f t="shared" si="37"/>
        <v>#VALUE!</v>
      </c>
      <c r="I168" s="305" t="e">
        <f t="shared" si="37"/>
        <v>#VALUE!</v>
      </c>
      <c r="J168" s="305" t="e">
        <f t="shared" si="37"/>
        <v>#VALUE!</v>
      </c>
      <c r="K168" s="305" t="e">
        <f t="shared" si="37"/>
        <v>#VALUE!</v>
      </c>
      <c r="L168" s="305" t="e">
        <f t="shared" si="37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5"/>
        <v>#VALUE!</v>
      </c>
    </row>
    <row r="169" spans="3:34">
      <c r="C169" s="304">
        <f t="shared" si="36"/>
        <v>12</v>
      </c>
      <c r="D169" s="305" t="e">
        <f t="shared" si="37"/>
        <v>#VALUE!</v>
      </c>
      <c r="E169" s="305" t="e">
        <f t="shared" si="37"/>
        <v>#VALUE!</v>
      </c>
      <c r="F169" s="305" t="e">
        <f t="shared" si="37"/>
        <v>#VALUE!</v>
      </c>
      <c r="G169" s="305" t="e">
        <f t="shared" si="37"/>
        <v>#VALUE!</v>
      </c>
      <c r="H169" s="305" t="e">
        <f t="shared" si="37"/>
        <v>#VALUE!</v>
      </c>
      <c r="I169" s="305" t="e">
        <f t="shared" si="37"/>
        <v>#VALUE!</v>
      </c>
      <c r="J169" s="305" t="e">
        <f t="shared" si="37"/>
        <v>#VALUE!</v>
      </c>
      <c r="K169" s="305" t="e">
        <f t="shared" si="37"/>
        <v>#VALUE!</v>
      </c>
      <c r="L169" s="305" t="e">
        <f t="shared" si="37"/>
        <v>#VALUE!</v>
      </c>
      <c r="M169" s="305" t="e">
        <f t="shared" si="37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5"/>
        <v>#VALUE!</v>
      </c>
    </row>
    <row r="170" spans="3:34">
      <c r="C170" s="304">
        <f t="shared" si="36"/>
        <v>13</v>
      </c>
      <c r="D170" s="305" t="e">
        <f t="shared" si="37"/>
        <v>#VALUE!</v>
      </c>
      <c r="E170" s="305" t="e">
        <f t="shared" si="37"/>
        <v>#VALUE!</v>
      </c>
      <c r="F170" s="305" t="e">
        <f t="shared" si="37"/>
        <v>#VALUE!</v>
      </c>
      <c r="G170" s="305" t="e">
        <f t="shared" si="37"/>
        <v>#VALUE!</v>
      </c>
      <c r="H170" s="305" t="e">
        <f t="shared" si="37"/>
        <v>#VALUE!</v>
      </c>
      <c r="I170" s="305" t="e">
        <f t="shared" si="37"/>
        <v>#VALUE!</v>
      </c>
      <c r="J170" s="305" t="e">
        <f t="shared" si="37"/>
        <v>#VALUE!</v>
      </c>
      <c r="K170" s="305" t="e">
        <f t="shared" si="37"/>
        <v>#VALUE!</v>
      </c>
      <c r="L170" s="305" t="e">
        <f t="shared" si="37"/>
        <v>#VALUE!</v>
      </c>
      <c r="M170" s="305" t="e">
        <f t="shared" si="37"/>
        <v>#VALUE!</v>
      </c>
      <c r="N170" s="305" t="e">
        <f t="shared" si="37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5"/>
        <v>#VALUE!</v>
      </c>
    </row>
    <row r="171" spans="3:34">
      <c r="C171" s="304">
        <f t="shared" si="36"/>
        <v>14</v>
      </c>
      <c r="D171" s="305"/>
      <c r="E171" s="305" t="e">
        <f t="shared" si="37"/>
        <v>#VALUE!</v>
      </c>
      <c r="F171" s="305" t="e">
        <f t="shared" si="37"/>
        <v>#VALUE!</v>
      </c>
      <c r="G171" s="305" t="e">
        <f t="shared" si="37"/>
        <v>#VALUE!</v>
      </c>
      <c r="H171" s="305" t="e">
        <f t="shared" si="37"/>
        <v>#VALUE!</v>
      </c>
      <c r="I171" s="305" t="e">
        <f t="shared" si="37"/>
        <v>#VALUE!</v>
      </c>
      <c r="J171" s="305" t="e">
        <f t="shared" si="37"/>
        <v>#VALUE!</v>
      </c>
      <c r="K171" s="305" t="e">
        <f t="shared" si="37"/>
        <v>#VALUE!</v>
      </c>
      <c r="L171" s="305" t="e">
        <f t="shared" si="37"/>
        <v>#VALUE!</v>
      </c>
      <c r="M171" s="305" t="e">
        <f t="shared" si="37"/>
        <v>#VALUE!</v>
      </c>
      <c r="N171" s="305" t="e">
        <f t="shared" si="37"/>
        <v>#VALUE!</v>
      </c>
      <c r="O171" s="305" t="e">
        <f t="shared" si="37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5"/>
        <v>#VALUE!</v>
      </c>
    </row>
    <row r="172" spans="3:34">
      <c r="C172" s="304">
        <f t="shared" si="36"/>
        <v>15</v>
      </c>
      <c r="D172" s="305"/>
      <c r="E172" s="305"/>
      <c r="F172" s="305" t="e">
        <f t="shared" si="37"/>
        <v>#VALUE!</v>
      </c>
      <c r="G172" s="305" t="e">
        <f t="shared" si="37"/>
        <v>#VALUE!</v>
      </c>
      <c r="H172" s="305" t="e">
        <f t="shared" si="37"/>
        <v>#VALUE!</v>
      </c>
      <c r="I172" s="305" t="e">
        <f t="shared" si="37"/>
        <v>#VALUE!</v>
      </c>
      <c r="J172" s="305" t="e">
        <f t="shared" si="37"/>
        <v>#VALUE!</v>
      </c>
      <c r="K172" s="305" t="e">
        <f t="shared" si="37"/>
        <v>#VALUE!</v>
      </c>
      <c r="L172" s="305" t="e">
        <f t="shared" si="37"/>
        <v>#VALUE!</v>
      </c>
      <c r="M172" s="305" t="e">
        <f t="shared" si="37"/>
        <v>#VALUE!</v>
      </c>
      <c r="N172" s="305" t="e">
        <f t="shared" si="37"/>
        <v>#VALUE!</v>
      </c>
      <c r="O172" s="305" t="e">
        <f t="shared" si="37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5"/>
        <v>#VALUE!</v>
      </c>
    </row>
    <row r="173" spans="3:34">
      <c r="C173" s="304">
        <f t="shared" si="36"/>
        <v>16</v>
      </c>
      <c r="D173" s="305"/>
      <c r="E173" s="305"/>
      <c r="F173" s="305"/>
      <c r="G173" s="305" t="e">
        <f t="shared" si="37"/>
        <v>#VALUE!</v>
      </c>
      <c r="H173" s="305" t="e">
        <f t="shared" si="37"/>
        <v>#VALUE!</v>
      </c>
      <c r="I173" s="305" t="e">
        <f t="shared" si="37"/>
        <v>#VALUE!</v>
      </c>
      <c r="J173" s="305" t="e">
        <f t="shared" si="37"/>
        <v>#VALUE!</v>
      </c>
      <c r="K173" s="305" t="e">
        <f t="shared" si="37"/>
        <v>#VALUE!</v>
      </c>
      <c r="L173" s="305" t="e">
        <f t="shared" si="37"/>
        <v>#VALUE!</v>
      </c>
      <c r="M173" s="305" t="e">
        <f t="shared" si="37"/>
        <v>#VALUE!</v>
      </c>
      <c r="N173" s="305" t="e">
        <f t="shared" si="37"/>
        <v>#VALUE!</v>
      </c>
      <c r="O173" s="305" t="e">
        <f t="shared" si="37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5"/>
        <v>#VALUE!</v>
      </c>
    </row>
    <row r="174" spans="3:34">
      <c r="C174" s="304">
        <f t="shared" si="36"/>
        <v>17</v>
      </c>
      <c r="D174" s="305"/>
      <c r="E174" s="305"/>
      <c r="F174" s="305"/>
      <c r="G174" s="305"/>
      <c r="H174" s="305" t="e">
        <f t="shared" si="37"/>
        <v>#VALUE!</v>
      </c>
      <c r="I174" s="305" t="e">
        <f t="shared" si="37"/>
        <v>#VALUE!</v>
      </c>
      <c r="J174" s="305" t="e">
        <f t="shared" si="37"/>
        <v>#VALUE!</v>
      </c>
      <c r="K174" s="305" t="e">
        <f t="shared" si="37"/>
        <v>#VALUE!</v>
      </c>
      <c r="L174" s="305" t="e">
        <f t="shared" si="37"/>
        <v>#VALUE!</v>
      </c>
      <c r="M174" s="305" t="e">
        <f t="shared" si="37"/>
        <v>#VALUE!</v>
      </c>
      <c r="N174" s="305" t="e">
        <f t="shared" si="37"/>
        <v>#VALUE!</v>
      </c>
      <c r="O174" s="305" t="e">
        <f t="shared" si="37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5"/>
        <v>#VALUE!</v>
      </c>
    </row>
    <row r="175" spans="3:34">
      <c r="C175" s="304">
        <f t="shared" si="36"/>
        <v>18</v>
      </c>
      <c r="D175" s="305"/>
      <c r="E175" s="305"/>
      <c r="F175" s="305"/>
      <c r="G175" s="305"/>
      <c r="H175" s="305"/>
      <c r="I175" s="305" t="e">
        <f t="shared" si="37"/>
        <v>#VALUE!</v>
      </c>
      <c r="J175" s="305" t="e">
        <f t="shared" si="37"/>
        <v>#VALUE!</v>
      </c>
      <c r="K175" s="305" t="e">
        <f t="shared" si="37"/>
        <v>#VALUE!</v>
      </c>
      <c r="L175" s="305" t="e">
        <f t="shared" si="37"/>
        <v>#VALUE!</v>
      </c>
      <c r="M175" s="305" t="e">
        <f t="shared" si="37"/>
        <v>#VALUE!</v>
      </c>
      <c r="N175" s="305" t="e">
        <f t="shared" si="37"/>
        <v>#VALUE!</v>
      </c>
      <c r="O175" s="305" t="e">
        <f t="shared" si="37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5"/>
        <v>#VALUE!</v>
      </c>
    </row>
    <row r="176" spans="3:34">
      <c r="C176" s="304">
        <f t="shared" si="36"/>
        <v>19</v>
      </c>
      <c r="D176" s="305"/>
      <c r="E176" s="305"/>
      <c r="F176" s="305"/>
      <c r="G176" s="305"/>
      <c r="H176" s="305"/>
      <c r="I176" s="305"/>
      <c r="J176" s="305" t="e">
        <f t="shared" ref="J176:Y187" si="38">J175</f>
        <v>#VALUE!</v>
      </c>
      <c r="K176" s="305" t="e">
        <f t="shared" si="38"/>
        <v>#VALUE!</v>
      </c>
      <c r="L176" s="305" t="e">
        <f t="shared" si="38"/>
        <v>#VALUE!</v>
      </c>
      <c r="M176" s="305" t="e">
        <f t="shared" si="38"/>
        <v>#VALUE!</v>
      </c>
      <c r="N176" s="305" t="e">
        <f t="shared" si="38"/>
        <v>#VALUE!</v>
      </c>
      <c r="O176" s="305" t="e">
        <f t="shared" si="38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5"/>
        <v>#VALUE!</v>
      </c>
    </row>
    <row r="177" spans="1:34">
      <c r="C177" s="304">
        <f t="shared" si="36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8"/>
        <v>#VALUE!</v>
      </c>
      <c r="L177" s="305" t="e">
        <f t="shared" si="38"/>
        <v>#VALUE!</v>
      </c>
      <c r="M177" s="305" t="e">
        <f t="shared" si="38"/>
        <v>#VALUE!</v>
      </c>
      <c r="N177" s="305" t="e">
        <f t="shared" si="38"/>
        <v>#VALUE!</v>
      </c>
      <c r="O177" s="305" t="e">
        <f t="shared" si="38"/>
        <v>#VALUE!</v>
      </c>
      <c r="P177" s="305" t="e">
        <f t="shared" si="38"/>
        <v>#VALUE!</v>
      </c>
      <c r="Q177" s="305" t="e">
        <f t="shared" si="38"/>
        <v>#VALUE!</v>
      </c>
      <c r="R177" s="305" t="e">
        <f t="shared" si="38"/>
        <v>#VALUE!</v>
      </c>
      <c r="S177" s="305" t="e">
        <f t="shared" si="38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5"/>
        <v>#VALUE!</v>
      </c>
    </row>
    <row r="178" spans="1:34">
      <c r="C178" s="304">
        <f t="shared" si="36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8"/>
        <v>#VALUE!</v>
      </c>
      <c r="M178" s="305" t="e">
        <f t="shared" si="38"/>
        <v>#VALUE!</v>
      </c>
      <c r="N178" s="305" t="e">
        <f t="shared" si="38"/>
        <v>#VALUE!</v>
      </c>
      <c r="O178" s="305" t="e">
        <f t="shared" si="38"/>
        <v>#VALUE!</v>
      </c>
      <c r="P178" s="305" t="e">
        <f t="shared" si="38"/>
        <v>#VALUE!</v>
      </c>
      <c r="Q178" s="305" t="e">
        <f t="shared" si="38"/>
        <v>#VALUE!</v>
      </c>
      <c r="R178" s="305" t="e">
        <f t="shared" si="38"/>
        <v>#VALUE!</v>
      </c>
      <c r="S178" s="305" t="e">
        <f t="shared" si="38"/>
        <v>#VALUE!</v>
      </c>
      <c r="T178" s="305" t="e">
        <f t="shared" si="38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5"/>
        <v>#VALUE!</v>
      </c>
    </row>
    <row r="179" spans="1:34">
      <c r="C179" s="330">
        <f t="shared" si="36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8"/>
        <v>#VALUE!</v>
      </c>
      <c r="N179" s="305" t="e">
        <f t="shared" si="38"/>
        <v>#VALUE!</v>
      </c>
      <c r="O179" s="305" t="e">
        <f t="shared" si="38"/>
        <v>#VALUE!</v>
      </c>
      <c r="P179" s="305" t="e">
        <f t="shared" si="38"/>
        <v>#VALUE!</v>
      </c>
      <c r="Q179" s="305" t="e">
        <f t="shared" si="38"/>
        <v>#VALUE!</v>
      </c>
      <c r="R179" s="305" t="e">
        <f t="shared" si="38"/>
        <v>#VALUE!</v>
      </c>
      <c r="S179" s="305" t="e">
        <f t="shared" si="38"/>
        <v>#VALUE!</v>
      </c>
      <c r="T179" s="305" t="e">
        <f t="shared" si="38"/>
        <v>#VALUE!</v>
      </c>
      <c r="U179" s="305" t="e">
        <f t="shared" si="38"/>
        <v>#VALUE!</v>
      </c>
      <c r="V179" s="305" t="e">
        <f t="shared" si="38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5"/>
        <v>#VALUE!</v>
      </c>
    </row>
    <row r="180" spans="1:34">
      <c r="C180" s="330">
        <f t="shared" si="36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8"/>
        <v>#VALUE!</v>
      </c>
      <c r="O180" s="305" t="e">
        <f t="shared" si="38"/>
        <v>#VALUE!</v>
      </c>
      <c r="P180" s="305" t="e">
        <f t="shared" si="38"/>
        <v>#VALUE!</v>
      </c>
      <c r="Q180" s="305" t="e">
        <f t="shared" si="38"/>
        <v>#VALUE!</v>
      </c>
      <c r="R180" s="305" t="e">
        <f t="shared" si="38"/>
        <v>#VALUE!</v>
      </c>
      <c r="S180" s="305" t="e">
        <f t="shared" si="38"/>
        <v>#VALUE!</v>
      </c>
      <c r="T180" s="305" t="e">
        <f t="shared" si="38"/>
        <v>#VALUE!</v>
      </c>
      <c r="U180" s="305" t="e">
        <f t="shared" si="38"/>
        <v>#VALUE!</v>
      </c>
      <c r="V180" s="305" t="e">
        <f t="shared" si="38"/>
        <v>#VALUE!</v>
      </c>
      <c r="W180" s="305" t="e">
        <f t="shared" si="38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5"/>
        <v>#VALUE!</v>
      </c>
    </row>
    <row r="181" spans="1:34">
      <c r="C181" s="330">
        <f t="shared" si="36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8"/>
        <v>#VALUE!</v>
      </c>
      <c r="P181" s="305" t="e">
        <f t="shared" si="38"/>
        <v>#VALUE!</v>
      </c>
      <c r="Q181" s="305" t="e">
        <f t="shared" si="38"/>
        <v>#VALUE!</v>
      </c>
      <c r="R181" s="305" t="e">
        <f t="shared" si="38"/>
        <v>#VALUE!</v>
      </c>
      <c r="S181" s="305" t="e">
        <f t="shared" si="38"/>
        <v>#VALUE!</v>
      </c>
      <c r="T181" s="305" t="e">
        <f t="shared" si="38"/>
        <v>#VALUE!</v>
      </c>
      <c r="U181" s="305" t="e">
        <f t="shared" si="38"/>
        <v>#VALUE!</v>
      </c>
      <c r="V181" s="305" t="e">
        <f t="shared" si="38"/>
        <v>#VALUE!</v>
      </c>
      <c r="W181" s="305" t="e">
        <f t="shared" si="38"/>
        <v>#VALUE!</v>
      </c>
      <c r="X181" s="305" t="e">
        <f t="shared" si="38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5"/>
        <v>#VALUE!</v>
      </c>
    </row>
    <row r="182" spans="1:34">
      <c r="C182" s="330">
        <f t="shared" si="36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8"/>
        <v>#VALUE!</v>
      </c>
      <c r="Q182" s="305" t="e">
        <f t="shared" si="38"/>
        <v>#VALUE!</v>
      </c>
      <c r="R182" s="305" t="e">
        <f t="shared" si="38"/>
        <v>#VALUE!</v>
      </c>
      <c r="S182" s="305" t="e">
        <f t="shared" si="38"/>
        <v>#VALUE!</v>
      </c>
      <c r="T182" s="305" t="e">
        <f t="shared" si="38"/>
        <v>#VALUE!</v>
      </c>
      <c r="U182" s="305" t="e">
        <f t="shared" si="38"/>
        <v>#VALUE!</v>
      </c>
      <c r="V182" s="305" t="e">
        <f t="shared" si="38"/>
        <v>#VALUE!</v>
      </c>
      <c r="W182" s="305" t="e">
        <f t="shared" si="38"/>
        <v>#VALUE!</v>
      </c>
      <c r="X182" s="305" t="e">
        <f t="shared" si="38"/>
        <v>#VALUE!</v>
      </c>
      <c r="Y182" s="305" t="e">
        <f t="shared" si="38"/>
        <v>#VALUE!</v>
      </c>
      <c r="Z182" s="305" t="e">
        <f t="shared" ref="Z182:Z187" si="39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5"/>
        <v>#VALUE!</v>
      </c>
    </row>
    <row r="183" spans="1:34">
      <c r="C183" s="330">
        <f t="shared" si="36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8"/>
        <v>#VALUE!</v>
      </c>
      <c r="R183" s="305" t="e">
        <f t="shared" si="38"/>
        <v>#VALUE!</v>
      </c>
      <c r="S183" s="305" t="e">
        <f t="shared" si="38"/>
        <v>#VALUE!</v>
      </c>
      <c r="T183" s="305" t="e">
        <f t="shared" si="38"/>
        <v>#VALUE!</v>
      </c>
      <c r="U183" s="305" t="e">
        <f t="shared" si="38"/>
        <v>#VALUE!</v>
      </c>
      <c r="V183" s="305" t="e">
        <f t="shared" si="38"/>
        <v>#VALUE!</v>
      </c>
      <c r="W183" s="305" t="e">
        <f t="shared" si="38"/>
        <v>#VALUE!</v>
      </c>
      <c r="X183" s="305" t="e">
        <f t="shared" si="38"/>
        <v>#VALUE!</v>
      </c>
      <c r="Y183" s="305" t="e">
        <f t="shared" si="38"/>
        <v>#VALUE!</v>
      </c>
      <c r="Z183" s="305" t="e">
        <f t="shared" si="39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5"/>
        <v>#VALUE!</v>
      </c>
    </row>
    <row r="184" spans="1:34">
      <c r="C184" s="330">
        <f t="shared" si="36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8"/>
        <v>#VALUE!</v>
      </c>
      <c r="S184" s="305" t="e">
        <f t="shared" si="38"/>
        <v>#VALUE!</v>
      </c>
      <c r="T184" s="305" t="e">
        <f t="shared" si="38"/>
        <v>#VALUE!</v>
      </c>
      <c r="U184" s="305" t="e">
        <f t="shared" si="38"/>
        <v>#VALUE!</v>
      </c>
      <c r="V184" s="305" t="e">
        <f t="shared" si="38"/>
        <v>#VALUE!</v>
      </c>
      <c r="W184" s="305" t="e">
        <f t="shared" si="38"/>
        <v>#VALUE!</v>
      </c>
      <c r="X184" s="305" t="e">
        <f t="shared" si="38"/>
        <v>#VALUE!</v>
      </c>
      <c r="Y184" s="305" t="e">
        <f t="shared" si="38"/>
        <v>#VALUE!</v>
      </c>
      <c r="Z184" s="305" t="e">
        <f t="shared" si="39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5"/>
        <v>#VALUE!</v>
      </c>
    </row>
    <row r="185" spans="1:34">
      <c r="C185" s="330">
        <f t="shared" si="36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8"/>
        <v>#VALUE!</v>
      </c>
      <c r="T185" s="305" t="e">
        <f t="shared" si="38"/>
        <v>#VALUE!</v>
      </c>
      <c r="U185" s="305" t="e">
        <f t="shared" si="38"/>
        <v>#VALUE!</v>
      </c>
      <c r="V185" s="305" t="e">
        <f t="shared" si="38"/>
        <v>#VALUE!</v>
      </c>
      <c r="W185" s="305" t="e">
        <f t="shared" si="38"/>
        <v>#VALUE!</v>
      </c>
      <c r="X185" s="305" t="e">
        <f t="shared" si="38"/>
        <v>#VALUE!</v>
      </c>
      <c r="Y185" s="305" t="e">
        <f t="shared" si="38"/>
        <v>#VALUE!</v>
      </c>
      <c r="Z185" s="305" t="e">
        <f t="shared" si="39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5"/>
        <v>#VALUE!</v>
      </c>
    </row>
    <row r="186" spans="1:34">
      <c r="C186" s="330">
        <f t="shared" si="36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8"/>
        <v>#VALUE!</v>
      </c>
      <c r="U186" s="305" t="e">
        <f t="shared" si="38"/>
        <v>#VALUE!</v>
      </c>
      <c r="V186" s="305" t="e">
        <f t="shared" si="38"/>
        <v>#VALUE!</v>
      </c>
      <c r="W186" s="305" t="e">
        <f t="shared" si="38"/>
        <v>#VALUE!</v>
      </c>
      <c r="X186" s="305" t="e">
        <f t="shared" si="38"/>
        <v>#VALUE!</v>
      </c>
      <c r="Y186" s="305" t="e">
        <f t="shared" si="38"/>
        <v>#VALUE!</v>
      </c>
      <c r="Z186" s="305" t="e">
        <f t="shared" si="39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5"/>
        <v>#VALUE!</v>
      </c>
    </row>
    <row r="187" spans="1:34" ht="13.5" thickBot="1">
      <c r="C187" s="307">
        <f t="shared" si="36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8"/>
        <v>#VALUE!</v>
      </c>
      <c r="V187" s="305" t="e">
        <f t="shared" si="38"/>
        <v>#VALUE!</v>
      </c>
      <c r="W187" s="305" t="e">
        <f t="shared" si="38"/>
        <v>#VALUE!</v>
      </c>
      <c r="X187" s="305" t="e">
        <f t="shared" si="38"/>
        <v>#VALUE!</v>
      </c>
      <c r="Y187" s="305" t="e">
        <f t="shared" si="38"/>
        <v>#VALUE!</v>
      </c>
      <c r="Z187" s="305" t="e">
        <f t="shared" si="39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5"/>
        <v>#VALUE!</v>
      </c>
    </row>
    <row r="188" spans="1:34" ht="14.25" thickTop="1" thickBot="1">
      <c r="C188" s="311" t="s">
        <v>0</v>
      </c>
      <c r="D188" s="328" t="e">
        <f t="shared" ref="D188:AH188" si="40">SUM(D157:D187)</f>
        <v>#VALUE!</v>
      </c>
      <c r="E188" s="328" t="e">
        <f t="shared" si="40"/>
        <v>#VALUE!</v>
      </c>
      <c r="F188" s="328" t="e">
        <f t="shared" si="40"/>
        <v>#VALUE!</v>
      </c>
      <c r="G188" s="328" t="e">
        <f t="shared" si="40"/>
        <v>#VALUE!</v>
      </c>
      <c r="H188" s="328" t="e">
        <f t="shared" si="40"/>
        <v>#VALUE!</v>
      </c>
      <c r="I188" s="328" t="e">
        <f t="shared" si="40"/>
        <v>#VALUE!</v>
      </c>
      <c r="J188" s="328" t="e">
        <f t="shared" si="40"/>
        <v>#VALUE!</v>
      </c>
      <c r="K188" s="328" t="e">
        <f t="shared" si="40"/>
        <v>#VALUE!</v>
      </c>
      <c r="L188" s="328" t="e">
        <f t="shared" si="40"/>
        <v>#VALUE!</v>
      </c>
      <c r="M188" s="328" t="e">
        <f t="shared" si="40"/>
        <v>#VALUE!</v>
      </c>
      <c r="N188" s="328" t="e">
        <f t="shared" si="40"/>
        <v>#VALUE!</v>
      </c>
      <c r="O188" s="328" t="e">
        <f t="shared" si="40"/>
        <v>#VALUE!</v>
      </c>
      <c r="P188" s="328" t="e">
        <f t="shared" si="40"/>
        <v>#VALUE!</v>
      </c>
      <c r="Q188" s="328" t="e">
        <f t="shared" si="40"/>
        <v>#VALUE!</v>
      </c>
      <c r="R188" s="328" t="e">
        <f t="shared" si="40"/>
        <v>#VALUE!</v>
      </c>
      <c r="S188" s="328" t="e">
        <f t="shared" si="40"/>
        <v>#VALUE!</v>
      </c>
      <c r="T188" s="328" t="e">
        <f t="shared" si="40"/>
        <v>#VALUE!</v>
      </c>
      <c r="U188" s="328" t="e">
        <f t="shared" si="40"/>
        <v>#VALUE!</v>
      </c>
      <c r="V188" s="328" t="e">
        <f t="shared" si="40"/>
        <v>#VALUE!</v>
      </c>
      <c r="W188" s="328" t="e">
        <f t="shared" si="40"/>
        <v>#VALUE!</v>
      </c>
      <c r="X188" s="328" t="e">
        <f t="shared" si="40"/>
        <v>#VALUE!</v>
      </c>
      <c r="Y188" s="328" t="e">
        <f t="shared" si="40"/>
        <v>#VALUE!</v>
      </c>
      <c r="Z188" s="328" t="e">
        <f t="shared" si="40"/>
        <v>#VALUE!</v>
      </c>
      <c r="AA188" s="328" t="e">
        <f t="shared" si="40"/>
        <v>#VALUE!</v>
      </c>
      <c r="AB188" s="328" t="e">
        <f t="shared" si="40"/>
        <v>#VALUE!</v>
      </c>
      <c r="AC188" s="328" t="e">
        <f t="shared" si="40"/>
        <v>#VALUE!</v>
      </c>
      <c r="AD188" s="328" t="e">
        <f t="shared" si="40"/>
        <v>#VALUE!</v>
      </c>
      <c r="AE188" s="328" t="e">
        <f t="shared" si="40"/>
        <v>#VALUE!</v>
      </c>
      <c r="AF188" s="329" t="e">
        <f t="shared" si="40"/>
        <v>#VALUE!</v>
      </c>
      <c r="AG188" s="329" t="e">
        <f t="shared" si="40"/>
        <v>#VALUE!</v>
      </c>
      <c r="AH188" s="315" t="e">
        <f t="shared" si="40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1">D193+1</f>
        <v>2</v>
      </c>
      <c r="F193" s="302">
        <f t="shared" si="41"/>
        <v>3</v>
      </c>
      <c r="G193" s="302">
        <f t="shared" si="41"/>
        <v>4</v>
      </c>
      <c r="H193" s="302">
        <f t="shared" si="41"/>
        <v>5</v>
      </c>
      <c r="I193" s="302">
        <f t="shared" si="41"/>
        <v>6</v>
      </c>
      <c r="J193" s="302">
        <f t="shared" si="41"/>
        <v>7</v>
      </c>
      <c r="K193" s="302">
        <f t="shared" si="41"/>
        <v>8</v>
      </c>
      <c r="L193" s="302">
        <f t="shared" si="41"/>
        <v>9</v>
      </c>
      <c r="M193" s="302">
        <f t="shared" si="41"/>
        <v>10</v>
      </c>
      <c r="N193" s="302">
        <f t="shared" si="41"/>
        <v>11</v>
      </c>
      <c r="O193" s="302">
        <f t="shared" si="41"/>
        <v>12</v>
      </c>
      <c r="P193" s="302">
        <f t="shared" si="41"/>
        <v>13</v>
      </c>
      <c r="Q193" s="302">
        <f t="shared" si="41"/>
        <v>14</v>
      </c>
      <c r="R193" s="302">
        <f t="shared" si="41"/>
        <v>15</v>
      </c>
      <c r="S193" s="302">
        <f t="shared" si="41"/>
        <v>16</v>
      </c>
      <c r="T193" s="302">
        <f t="shared" si="41"/>
        <v>17</v>
      </c>
      <c r="U193" s="302">
        <f t="shared" si="41"/>
        <v>18</v>
      </c>
      <c r="V193" s="302">
        <f t="shared" si="41"/>
        <v>19</v>
      </c>
      <c r="W193" s="302">
        <f t="shared" si="41"/>
        <v>20</v>
      </c>
      <c r="X193" s="302">
        <f t="shared" si="41"/>
        <v>21</v>
      </c>
      <c r="Y193" s="302">
        <f t="shared" si="41"/>
        <v>22</v>
      </c>
      <c r="Z193" s="302">
        <f t="shared" si="41"/>
        <v>23</v>
      </c>
      <c r="AA193" s="302">
        <f t="shared" si="41"/>
        <v>24</v>
      </c>
      <c r="AB193" s="302">
        <f t="shared" si="41"/>
        <v>25</v>
      </c>
      <c r="AC193" s="302">
        <f t="shared" si="41"/>
        <v>26</v>
      </c>
      <c r="AD193" s="302">
        <f t="shared" si="41"/>
        <v>27</v>
      </c>
      <c r="AE193" s="302">
        <f t="shared" si="41"/>
        <v>28</v>
      </c>
      <c r="AF193" s="302">
        <f t="shared" si="41"/>
        <v>29</v>
      </c>
      <c r="AG193" s="302">
        <f t="shared" si="41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2">SUM(D194:AG194)</f>
        <v>0</v>
      </c>
    </row>
    <row r="195" spans="3:34">
      <c r="C195" s="307">
        <f t="shared" ref="C195:C224" si="43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2"/>
        <v>0</v>
      </c>
    </row>
    <row r="196" spans="3:34">
      <c r="C196" s="307">
        <f t="shared" si="43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2"/>
        <v>#VALUE!</v>
      </c>
    </row>
    <row r="197" spans="3:34">
      <c r="C197" s="307">
        <f t="shared" si="43"/>
        <v>3</v>
      </c>
      <c r="D197" s="309" t="e">
        <f t="shared" ref="D197:N212" si="44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2"/>
        <v>#VALUE!</v>
      </c>
    </row>
    <row r="198" spans="3:34">
      <c r="C198" s="307">
        <f t="shared" si="43"/>
        <v>4</v>
      </c>
      <c r="D198" s="309" t="e">
        <f t="shared" si="44"/>
        <v>#VALUE!</v>
      </c>
      <c r="E198" s="309" t="e">
        <f t="shared" si="44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2"/>
        <v>#VALUE!</v>
      </c>
    </row>
    <row r="199" spans="3:34">
      <c r="C199" s="307">
        <f t="shared" si="43"/>
        <v>5</v>
      </c>
      <c r="D199" s="309" t="e">
        <f t="shared" si="44"/>
        <v>#VALUE!</v>
      </c>
      <c r="E199" s="309" t="e">
        <f t="shared" si="44"/>
        <v>#VALUE!</v>
      </c>
      <c r="F199" s="309" t="e">
        <f t="shared" si="44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2"/>
        <v>#VALUE!</v>
      </c>
    </row>
    <row r="200" spans="3:34">
      <c r="C200" s="307">
        <f t="shared" si="43"/>
        <v>6</v>
      </c>
      <c r="D200" s="309" t="e">
        <f t="shared" si="44"/>
        <v>#VALUE!</v>
      </c>
      <c r="E200" s="309" t="e">
        <f t="shared" si="44"/>
        <v>#VALUE!</v>
      </c>
      <c r="F200" s="309" t="e">
        <f t="shared" si="44"/>
        <v>#VALUE!</v>
      </c>
      <c r="G200" s="309" t="e">
        <f t="shared" si="44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2"/>
        <v>#VALUE!</v>
      </c>
    </row>
    <row r="201" spans="3:34">
      <c r="C201" s="307">
        <f t="shared" si="43"/>
        <v>7</v>
      </c>
      <c r="D201" s="309" t="e">
        <f t="shared" si="44"/>
        <v>#VALUE!</v>
      </c>
      <c r="E201" s="309" t="e">
        <f t="shared" si="44"/>
        <v>#VALUE!</v>
      </c>
      <c r="F201" s="309" t="e">
        <f t="shared" si="44"/>
        <v>#VALUE!</v>
      </c>
      <c r="G201" s="309" t="e">
        <f t="shared" si="44"/>
        <v>#VALUE!</v>
      </c>
      <c r="H201" s="309" t="e">
        <f t="shared" si="44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2"/>
        <v>#VALUE!</v>
      </c>
    </row>
    <row r="202" spans="3:34">
      <c r="C202" s="307">
        <f t="shared" si="43"/>
        <v>8</v>
      </c>
      <c r="D202" s="309" t="e">
        <f t="shared" si="44"/>
        <v>#VALUE!</v>
      </c>
      <c r="E202" s="309" t="e">
        <f t="shared" si="44"/>
        <v>#VALUE!</v>
      </c>
      <c r="F202" s="309" t="e">
        <f t="shared" si="44"/>
        <v>#VALUE!</v>
      </c>
      <c r="G202" s="309" t="e">
        <f t="shared" si="44"/>
        <v>#VALUE!</v>
      </c>
      <c r="H202" s="309" t="e">
        <f t="shared" si="44"/>
        <v>#VALUE!</v>
      </c>
      <c r="I202" s="309" t="e">
        <f t="shared" si="44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2"/>
        <v>#VALUE!</v>
      </c>
    </row>
    <row r="203" spans="3:34">
      <c r="C203" s="307">
        <f t="shared" si="43"/>
        <v>9</v>
      </c>
      <c r="D203" s="309" t="e">
        <f t="shared" si="44"/>
        <v>#VALUE!</v>
      </c>
      <c r="E203" s="309" t="e">
        <f t="shared" si="44"/>
        <v>#VALUE!</v>
      </c>
      <c r="F203" s="309" t="e">
        <f t="shared" si="44"/>
        <v>#VALUE!</v>
      </c>
      <c r="G203" s="309" t="e">
        <f t="shared" si="44"/>
        <v>#VALUE!</v>
      </c>
      <c r="H203" s="309" t="e">
        <f t="shared" si="44"/>
        <v>#VALUE!</v>
      </c>
      <c r="I203" s="309" t="e">
        <f t="shared" si="44"/>
        <v>#VALUE!</v>
      </c>
      <c r="J203" s="309" t="e">
        <f t="shared" si="44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2"/>
        <v>#VALUE!</v>
      </c>
    </row>
    <row r="204" spans="3:34">
      <c r="C204" s="307">
        <f t="shared" si="43"/>
        <v>10</v>
      </c>
      <c r="D204" s="309" t="e">
        <f t="shared" si="44"/>
        <v>#VALUE!</v>
      </c>
      <c r="E204" s="309" t="e">
        <f t="shared" si="44"/>
        <v>#VALUE!</v>
      </c>
      <c r="F204" s="309" t="e">
        <f t="shared" si="44"/>
        <v>#VALUE!</v>
      </c>
      <c r="G204" s="309" t="e">
        <f t="shared" si="44"/>
        <v>#VALUE!</v>
      </c>
      <c r="H204" s="309" t="e">
        <f t="shared" si="44"/>
        <v>#VALUE!</v>
      </c>
      <c r="I204" s="309" t="e">
        <f t="shared" si="44"/>
        <v>#VALUE!</v>
      </c>
      <c r="J204" s="309" t="e">
        <f t="shared" si="44"/>
        <v>#VALUE!</v>
      </c>
      <c r="K204" s="309" t="e">
        <f t="shared" si="44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2"/>
        <v>#VALUE!</v>
      </c>
    </row>
    <row r="205" spans="3:34">
      <c r="C205" s="307">
        <f t="shared" si="43"/>
        <v>11</v>
      </c>
      <c r="D205" s="309" t="e">
        <f t="shared" si="44"/>
        <v>#VALUE!</v>
      </c>
      <c r="E205" s="309" t="e">
        <f t="shared" si="44"/>
        <v>#VALUE!</v>
      </c>
      <c r="F205" s="309" t="e">
        <f t="shared" si="44"/>
        <v>#VALUE!</v>
      </c>
      <c r="G205" s="309" t="e">
        <f t="shared" si="44"/>
        <v>#VALUE!</v>
      </c>
      <c r="H205" s="309" t="e">
        <f t="shared" si="44"/>
        <v>#VALUE!</v>
      </c>
      <c r="I205" s="309" t="e">
        <f t="shared" si="44"/>
        <v>#VALUE!</v>
      </c>
      <c r="J205" s="309" t="e">
        <f t="shared" si="44"/>
        <v>#VALUE!</v>
      </c>
      <c r="K205" s="309" t="e">
        <f t="shared" si="44"/>
        <v>#VALUE!</v>
      </c>
      <c r="L205" s="309" t="e">
        <f t="shared" si="44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2"/>
        <v>#VALUE!</v>
      </c>
    </row>
    <row r="206" spans="3:34">
      <c r="C206" s="307">
        <f t="shared" si="43"/>
        <v>12</v>
      </c>
      <c r="D206" s="309"/>
      <c r="E206" s="309" t="e">
        <f t="shared" si="44"/>
        <v>#VALUE!</v>
      </c>
      <c r="F206" s="309" t="e">
        <f t="shared" si="44"/>
        <v>#VALUE!</v>
      </c>
      <c r="G206" s="309" t="e">
        <f t="shared" si="44"/>
        <v>#VALUE!</v>
      </c>
      <c r="H206" s="309" t="e">
        <f t="shared" si="44"/>
        <v>#VALUE!</v>
      </c>
      <c r="I206" s="309" t="e">
        <f t="shared" si="44"/>
        <v>#VALUE!</v>
      </c>
      <c r="J206" s="309" t="e">
        <f t="shared" si="44"/>
        <v>#VALUE!</v>
      </c>
      <c r="K206" s="309" t="e">
        <f t="shared" si="44"/>
        <v>#VALUE!</v>
      </c>
      <c r="L206" s="309" t="e">
        <f t="shared" si="44"/>
        <v>#VALUE!</v>
      </c>
      <c r="M206" s="309" t="e">
        <f t="shared" si="44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2"/>
        <v>#VALUE!</v>
      </c>
    </row>
    <row r="207" spans="3:34">
      <c r="C207" s="307">
        <f t="shared" si="43"/>
        <v>13</v>
      </c>
      <c r="D207" s="309"/>
      <c r="E207" s="309"/>
      <c r="F207" s="309" t="e">
        <f t="shared" si="44"/>
        <v>#VALUE!</v>
      </c>
      <c r="G207" s="309" t="e">
        <f t="shared" si="44"/>
        <v>#VALUE!</v>
      </c>
      <c r="H207" s="309" t="e">
        <f t="shared" si="44"/>
        <v>#VALUE!</v>
      </c>
      <c r="I207" s="309" t="e">
        <f t="shared" si="44"/>
        <v>#VALUE!</v>
      </c>
      <c r="J207" s="309" t="e">
        <f t="shared" si="44"/>
        <v>#VALUE!</v>
      </c>
      <c r="K207" s="309" t="e">
        <f t="shared" si="44"/>
        <v>#VALUE!</v>
      </c>
      <c r="L207" s="309" t="e">
        <f t="shared" si="44"/>
        <v>#VALUE!</v>
      </c>
      <c r="M207" s="309" t="e">
        <f t="shared" si="44"/>
        <v>#VALUE!</v>
      </c>
      <c r="N207" s="309" t="e">
        <f t="shared" si="44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2"/>
        <v>#VALUE!</v>
      </c>
    </row>
    <row r="208" spans="3:34">
      <c r="C208" s="307">
        <f t="shared" si="43"/>
        <v>14</v>
      </c>
      <c r="D208" s="309"/>
      <c r="E208" s="309"/>
      <c r="F208" s="309"/>
      <c r="G208" s="309" t="e">
        <f t="shared" si="44"/>
        <v>#VALUE!</v>
      </c>
      <c r="H208" s="309" t="e">
        <f t="shared" si="44"/>
        <v>#VALUE!</v>
      </c>
      <c r="I208" s="309" t="e">
        <f t="shared" si="44"/>
        <v>#VALUE!</v>
      </c>
      <c r="J208" s="309" t="e">
        <f t="shared" si="44"/>
        <v>#VALUE!</v>
      </c>
      <c r="K208" s="309" t="e">
        <f t="shared" si="44"/>
        <v>#VALUE!</v>
      </c>
      <c r="L208" s="309" t="e">
        <f t="shared" si="44"/>
        <v>#VALUE!</v>
      </c>
      <c r="M208" s="309" t="e">
        <f t="shared" si="44"/>
        <v>#VALUE!</v>
      </c>
      <c r="N208" s="309" t="e">
        <f t="shared" si="44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2"/>
        <v>#VALUE!</v>
      </c>
    </row>
    <row r="209" spans="3:34">
      <c r="C209" s="307">
        <f t="shared" si="43"/>
        <v>15</v>
      </c>
      <c r="D209" s="309"/>
      <c r="E209" s="309"/>
      <c r="F209" s="309"/>
      <c r="G209" s="309"/>
      <c r="H209" s="309" t="e">
        <f t="shared" si="44"/>
        <v>#VALUE!</v>
      </c>
      <c r="I209" s="309" t="e">
        <f t="shared" si="44"/>
        <v>#VALUE!</v>
      </c>
      <c r="J209" s="309" t="e">
        <f t="shared" si="44"/>
        <v>#VALUE!</v>
      </c>
      <c r="K209" s="309" t="e">
        <f t="shared" si="44"/>
        <v>#VALUE!</v>
      </c>
      <c r="L209" s="309" t="e">
        <f t="shared" si="44"/>
        <v>#VALUE!</v>
      </c>
      <c r="M209" s="309" t="e">
        <f t="shared" si="44"/>
        <v>#VALUE!</v>
      </c>
      <c r="N209" s="309" t="e">
        <f t="shared" si="44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2"/>
        <v>#VALUE!</v>
      </c>
    </row>
    <row r="210" spans="3:34">
      <c r="C210" s="307">
        <f t="shared" si="43"/>
        <v>16</v>
      </c>
      <c r="D210" s="309"/>
      <c r="E210" s="309"/>
      <c r="F210" s="309"/>
      <c r="G210" s="309"/>
      <c r="H210" s="309"/>
      <c r="I210" s="309" t="e">
        <f t="shared" si="44"/>
        <v>#VALUE!</v>
      </c>
      <c r="J210" s="309" t="e">
        <f t="shared" si="44"/>
        <v>#VALUE!</v>
      </c>
      <c r="K210" s="309" t="e">
        <f t="shared" si="44"/>
        <v>#VALUE!</v>
      </c>
      <c r="L210" s="309" t="e">
        <f t="shared" si="44"/>
        <v>#VALUE!</v>
      </c>
      <c r="M210" s="309" t="e">
        <f t="shared" si="44"/>
        <v>#VALUE!</v>
      </c>
      <c r="N210" s="309" t="e">
        <f t="shared" si="44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2"/>
        <v>#VALUE!</v>
      </c>
    </row>
    <row r="211" spans="3:34">
      <c r="C211" s="307">
        <f t="shared" si="43"/>
        <v>17</v>
      </c>
      <c r="D211" s="309"/>
      <c r="E211" s="309"/>
      <c r="F211" s="309"/>
      <c r="G211" s="309"/>
      <c r="H211" s="309"/>
      <c r="I211" s="309"/>
      <c r="J211" s="309" t="e">
        <f t="shared" si="44"/>
        <v>#VALUE!</v>
      </c>
      <c r="K211" s="309" t="e">
        <f t="shared" si="44"/>
        <v>#VALUE!</v>
      </c>
      <c r="L211" s="309" t="e">
        <f t="shared" si="44"/>
        <v>#VALUE!</v>
      </c>
      <c r="M211" s="309" t="e">
        <f t="shared" si="44"/>
        <v>#VALUE!</v>
      </c>
      <c r="N211" s="309" t="e">
        <f t="shared" si="44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2"/>
        <v>#VALUE!</v>
      </c>
    </row>
    <row r="212" spans="3:34">
      <c r="C212" s="307">
        <f t="shared" si="43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4"/>
        <v>#VALUE!</v>
      </c>
      <c r="L212" s="309" t="e">
        <f t="shared" si="44"/>
        <v>#VALUE!</v>
      </c>
      <c r="M212" s="309" t="e">
        <f t="shared" si="44"/>
        <v>#VALUE!</v>
      </c>
      <c r="N212" s="309" t="e">
        <f t="shared" si="44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2"/>
        <v>#VALUE!</v>
      </c>
    </row>
    <row r="213" spans="3:34">
      <c r="C213" s="307">
        <f t="shared" si="43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5">L212</f>
        <v>#VALUE!</v>
      </c>
      <c r="M213" s="309" t="e">
        <f t="shared" si="45"/>
        <v>#VALUE!</v>
      </c>
      <c r="N213" s="309" t="e">
        <f t="shared" si="45"/>
        <v>#VALUE!</v>
      </c>
      <c r="O213" s="309" t="e">
        <f t="shared" si="45"/>
        <v>#VALUE!</v>
      </c>
      <c r="P213" s="309" t="e">
        <f t="shared" si="45"/>
        <v>#VALUE!</v>
      </c>
      <c r="Q213" s="309" t="e">
        <f t="shared" si="45"/>
        <v>#VALUE!</v>
      </c>
      <c r="R213" s="309" t="e">
        <f t="shared" si="45"/>
        <v>#VALUE!</v>
      </c>
      <c r="S213" s="309" t="e">
        <f t="shared" si="45"/>
        <v>#VALUE!</v>
      </c>
      <c r="T213" s="309" t="e">
        <f t="shared" si="45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2"/>
        <v>#VALUE!</v>
      </c>
    </row>
    <row r="214" spans="3:34">
      <c r="C214" s="307">
        <f t="shared" si="43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5"/>
        <v>#VALUE!</v>
      </c>
      <c r="N214" s="309" t="e">
        <f t="shared" si="45"/>
        <v>#VALUE!</v>
      </c>
      <c r="O214" s="309" t="e">
        <f t="shared" si="45"/>
        <v>#VALUE!</v>
      </c>
      <c r="P214" s="309" t="e">
        <f t="shared" si="45"/>
        <v>#VALUE!</v>
      </c>
      <c r="Q214" s="309" t="e">
        <f t="shared" si="45"/>
        <v>#VALUE!</v>
      </c>
      <c r="R214" s="309" t="e">
        <f t="shared" si="45"/>
        <v>#VALUE!</v>
      </c>
      <c r="S214" s="309" t="e">
        <f t="shared" si="45"/>
        <v>#VALUE!</v>
      </c>
      <c r="T214" s="309" t="e">
        <f t="shared" si="45"/>
        <v>#VALUE!</v>
      </c>
      <c r="U214" s="309" t="e">
        <f t="shared" si="45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2"/>
        <v>#VALUE!</v>
      </c>
    </row>
    <row r="215" spans="3:34">
      <c r="C215" s="307">
        <f t="shared" si="43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5"/>
        <v>#VALUE!</v>
      </c>
      <c r="O215" s="309" t="e">
        <f t="shared" si="45"/>
        <v>#VALUE!</v>
      </c>
      <c r="P215" s="309" t="e">
        <f t="shared" si="45"/>
        <v>#VALUE!</v>
      </c>
      <c r="Q215" s="309" t="e">
        <f t="shared" si="45"/>
        <v>#VALUE!</v>
      </c>
      <c r="R215" s="309" t="e">
        <f t="shared" si="45"/>
        <v>#VALUE!</v>
      </c>
      <c r="S215" s="309" t="e">
        <f t="shared" si="45"/>
        <v>#VALUE!</v>
      </c>
      <c r="T215" s="309" t="e">
        <f t="shared" si="45"/>
        <v>#VALUE!</v>
      </c>
      <c r="U215" s="309" t="e">
        <f t="shared" si="45"/>
        <v>#VALUE!</v>
      </c>
      <c r="V215" s="309" t="e">
        <f t="shared" si="45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2"/>
        <v>#VALUE!</v>
      </c>
    </row>
    <row r="216" spans="3:34">
      <c r="C216" s="307">
        <f t="shared" si="43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5"/>
        <v>#VALUE!</v>
      </c>
      <c r="P216" s="309" t="e">
        <f t="shared" si="45"/>
        <v>#VALUE!</v>
      </c>
      <c r="Q216" s="309" t="e">
        <f t="shared" si="45"/>
        <v>#VALUE!</v>
      </c>
      <c r="R216" s="309" t="e">
        <f t="shared" si="45"/>
        <v>#VALUE!</v>
      </c>
      <c r="S216" s="309" t="e">
        <f t="shared" si="45"/>
        <v>#VALUE!</v>
      </c>
      <c r="T216" s="309" t="e">
        <f t="shared" si="45"/>
        <v>#VALUE!</v>
      </c>
      <c r="U216" s="309" t="e">
        <f t="shared" si="45"/>
        <v>#VALUE!</v>
      </c>
      <c r="V216" s="309" t="e">
        <f t="shared" si="45"/>
        <v>#VALUE!</v>
      </c>
      <c r="W216" s="309" t="e">
        <f t="shared" si="45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2"/>
        <v>#VALUE!</v>
      </c>
    </row>
    <row r="217" spans="3:34">
      <c r="C217" s="307">
        <f t="shared" si="43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5"/>
        <v>#VALUE!</v>
      </c>
      <c r="Q217" s="309" t="e">
        <f t="shared" si="45"/>
        <v>#VALUE!</v>
      </c>
      <c r="R217" s="309" t="e">
        <f t="shared" si="45"/>
        <v>#VALUE!</v>
      </c>
      <c r="S217" s="309" t="e">
        <f t="shared" si="45"/>
        <v>#VALUE!</v>
      </c>
      <c r="T217" s="309" t="e">
        <f t="shared" si="45"/>
        <v>#VALUE!</v>
      </c>
      <c r="U217" s="309" t="e">
        <f t="shared" si="45"/>
        <v>#VALUE!</v>
      </c>
      <c r="V217" s="309" t="e">
        <f t="shared" si="45"/>
        <v>#VALUE!</v>
      </c>
      <c r="W217" s="309" t="e">
        <f t="shared" si="45"/>
        <v>#VALUE!</v>
      </c>
      <c r="X217" s="309" t="e">
        <f t="shared" si="45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2"/>
        <v>#VALUE!</v>
      </c>
    </row>
    <row r="218" spans="3:34">
      <c r="C218" s="307">
        <f t="shared" si="43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5"/>
        <v>#VALUE!</v>
      </c>
      <c r="R218" s="309" t="e">
        <f t="shared" si="45"/>
        <v>#VALUE!</v>
      </c>
      <c r="S218" s="309" t="e">
        <f t="shared" si="45"/>
        <v>#VALUE!</v>
      </c>
      <c r="T218" s="309" t="e">
        <f t="shared" si="45"/>
        <v>#VALUE!</v>
      </c>
      <c r="U218" s="309" t="e">
        <f t="shared" si="45"/>
        <v>#VALUE!</v>
      </c>
      <c r="V218" s="309" t="e">
        <f t="shared" si="45"/>
        <v>#VALUE!</v>
      </c>
      <c r="W218" s="309" t="e">
        <f t="shared" si="45"/>
        <v>#VALUE!</v>
      </c>
      <c r="X218" s="309" t="e">
        <f t="shared" si="45"/>
        <v>#VALUE!</v>
      </c>
      <c r="Y218" s="309" t="e">
        <f t="shared" si="45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2"/>
        <v>#VALUE!</v>
      </c>
    </row>
    <row r="219" spans="3:34">
      <c r="C219" s="307">
        <f t="shared" si="43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5"/>
        <v>#VALUE!</v>
      </c>
      <c r="S219" s="309" t="e">
        <f t="shared" si="45"/>
        <v>#VALUE!</v>
      </c>
      <c r="T219" s="309" t="e">
        <f t="shared" si="45"/>
        <v>#VALUE!</v>
      </c>
      <c r="U219" s="309" t="e">
        <f t="shared" si="45"/>
        <v>#VALUE!</v>
      </c>
      <c r="V219" s="309" t="e">
        <f t="shared" si="45"/>
        <v>#VALUE!</v>
      </c>
      <c r="W219" s="309" t="e">
        <f t="shared" si="45"/>
        <v>#VALUE!</v>
      </c>
      <c r="X219" s="309" t="e">
        <f t="shared" si="45"/>
        <v>#VALUE!</v>
      </c>
      <c r="Y219" s="309" t="e">
        <f t="shared" si="45"/>
        <v>#VALUE!</v>
      </c>
      <c r="Z219" s="309" t="e">
        <f t="shared" si="45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2"/>
        <v>#VALUE!</v>
      </c>
    </row>
    <row r="220" spans="3:34">
      <c r="C220" s="307">
        <f t="shared" si="43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5"/>
        <v>#VALUE!</v>
      </c>
      <c r="T220" s="309" t="e">
        <f t="shared" si="45"/>
        <v>#VALUE!</v>
      </c>
      <c r="U220" s="309" t="e">
        <f t="shared" si="45"/>
        <v>#VALUE!</v>
      </c>
      <c r="V220" s="309" t="e">
        <f t="shared" si="45"/>
        <v>#VALUE!</v>
      </c>
      <c r="W220" s="309" t="e">
        <f t="shared" si="45"/>
        <v>#VALUE!</v>
      </c>
      <c r="X220" s="309" t="e">
        <f t="shared" si="45"/>
        <v>#VALUE!</v>
      </c>
      <c r="Y220" s="309" t="e">
        <f t="shared" si="45"/>
        <v>#VALUE!</v>
      </c>
      <c r="Z220" s="309" t="e">
        <f t="shared" si="45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2"/>
        <v>#VALUE!</v>
      </c>
    </row>
    <row r="221" spans="3:34">
      <c r="C221" s="307">
        <f t="shared" si="43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5"/>
        <v>#VALUE!</v>
      </c>
      <c r="U221" s="309" t="e">
        <f t="shared" si="45"/>
        <v>#VALUE!</v>
      </c>
      <c r="V221" s="309" t="e">
        <f t="shared" si="45"/>
        <v>#VALUE!</v>
      </c>
      <c r="W221" s="309" t="e">
        <f t="shared" si="45"/>
        <v>#VALUE!</v>
      </c>
      <c r="X221" s="309" t="e">
        <f t="shared" si="45"/>
        <v>#VALUE!</v>
      </c>
      <c r="Y221" s="309" t="e">
        <f t="shared" si="45"/>
        <v>#VALUE!</v>
      </c>
      <c r="Z221" s="309" t="e">
        <f t="shared" si="45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2"/>
        <v>#VALUE!</v>
      </c>
    </row>
    <row r="222" spans="3:34">
      <c r="C222" s="307">
        <f t="shared" si="43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5"/>
        <v>#VALUE!</v>
      </c>
      <c r="V222" s="309" t="e">
        <f t="shared" si="45"/>
        <v>#VALUE!</v>
      </c>
      <c r="W222" s="309" t="e">
        <f t="shared" si="45"/>
        <v>#VALUE!</v>
      </c>
      <c r="X222" s="309" t="e">
        <f t="shared" si="45"/>
        <v>#VALUE!</v>
      </c>
      <c r="Y222" s="309" t="e">
        <f t="shared" si="45"/>
        <v>#VALUE!</v>
      </c>
      <c r="Z222" s="309" t="e">
        <f t="shared" si="45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2"/>
        <v>#VALUE!</v>
      </c>
    </row>
    <row r="223" spans="3:34">
      <c r="C223" s="307">
        <f t="shared" si="43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5"/>
        <v>#VALUE!</v>
      </c>
      <c r="W223" s="309" t="e">
        <f t="shared" si="45"/>
        <v>#VALUE!</v>
      </c>
      <c r="X223" s="309" t="e">
        <f t="shared" si="45"/>
        <v>#VALUE!</v>
      </c>
      <c r="Y223" s="309" t="e">
        <f t="shared" si="45"/>
        <v>#VALUE!</v>
      </c>
      <c r="Z223" s="309" t="e">
        <f t="shared" si="45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2"/>
        <v>#VALUE!</v>
      </c>
    </row>
    <row r="224" spans="3:34" ht="13.5" thickBot="1">
      <c r="C224" s="307">
        <f t="shared" si="43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5"/>
        <v>#VALUE!</v>
      </c>
      <c r="X224" s="322" t="e">
        <f t="shared" si="45"/>
        <v>#VALUE!</v>
      </c>
      <c r="Y224" s="322" t="e">
        <f t="shared" si="45"/>
        <v>#VALUE!</v>
      </c>
      <c r="Z224" s="322" t="e">
        <f t="shared" si="45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2"/>
        <v>#VALUE!</v>
      </c>
    </row>
    <row r="225" spans="1:34" ht="14.25" thickTop="1" thickBot="1">
      <c r="C225" s="311" t="s">
        <v>0</v>
      </c>
      <c r="D225" s="328" t="e">
        <f t="shared" ref="D225:AG225" si="46">SUM(D194:D224)</f>
        <v>#VALUE!</v>
      </c>
      <c r="E225" s="328" t="e">
        <f t="shared" si="46"/>
        <v>#VALUE!</v>
      </c>
      <c r="F225" s="328" t="e">
        <f t="shared" si="46"/>
        <v>#VALUE!</v>
      </c>
      <c r="G225" s="328" t="e">
        <f t="shared" si="46"/>
        <v>#VALUE!</v>
      </c>
      <c r="H225" s="328" t="e">
        <f t="shared" si="46"/>
        <v>#VALUE!</v>
      </c>
      <c r="I225" s="328" t="e">
        <f t="shared" si="46"/>
        <v>#VALUE!</v>
      </c>
      <c r="J225" s="328" t="e">
        <f t="shared" si="46"/>
        <v>#VALUE!</v>
      </c>
      <c r="K225" s="328" t="e">
        <f t="shared" si="46"/>
        <v>#VALUE!</v>
      </c>
      <c r="L225" s="328" t="e">
        <f t="shared" si="46"/>
        <v>#VALUE!</v>
      </c>
      <c r="M225" s="328" t="e">
        <f t="shared" si="46"/>
        <v>#VALUE!</v>
      </c>
      <c r="N225" s="336" t="e">
        <f t="shared" si="46"/>
        <v>#VALUE!</v>
      </c>
      <c r="O225" s="328" t="e">
        <f t="shared" si="46"/>
        <v>#VALUE!</v>
      </c>
      <c r="P225" s="328" t="e">
        <f t="shared" si="46"/>
        <v>#VALUE!</v>
      </c>
      <c r="Q225" s="328" t="e">
        <f t="shared" si="46"/>
        <v>#VALUE!</v>
      </c>
      <c r="R225" s="328" t="e">
        <f t="shared" si="46"/>
        <v>#VALUE!</v>
      </c>
      <c r="S225" s="328" t="e">
        <f t="shared" si="46"/>
        <v>#VALUE!</v>
      </c>
      <c r="T225" s="328" t="e">
        <f t="shared" si="46"/>
        <v>#VALUE!</v>
      </c>
      <c r="U225" s="328" t="e">
        <f t="shared" si="46"/>
        <v>#VALUE!</v>
      </c>
      <c r="V225" s="328" t="e">
        <f t="shared" si="46"/>
        <v>#VALUE!</v>
      </c>
      <c r="W225" s="328" t="e">
        <f t="shared" si="46"/>
        <v>#VALUE!</v>
      </c>
      <c r="X225" s="328" t="e">
        <f t="shared" si="46"/>
        <v>#VALUE!</v>
      </c>
      <c r="Y225" s="328" t="e">
        <f t="shared" si="46"/>
        <v>#VALUE!</v>
      </c>
      <c r="Z225" s="328" t="e">
        <f t="shared" si="46"/>
        <v>#VALUE!</v>
      </c>
      <c r="AA225" s="328" t="e">
        <f t="shared" si="46"/>
        <v>#VALUE!</v>
      </c>
      <c r="AB225" s="328" t="e">
        <f t="shared" si="46"/>
        <v>#VALUE!</v>
      </c>
      <c r="AC225" s="328" t="e">
        <f t="shared" si="46"/>
        <v>#VALUE!</v>
      </c>
      <c r="AD225" s="328" t="e">
        <f t="shared" si="46"/>
        <v>#VALUE!</v>
      </c>
      <c r="AE225" s="328" t="e">
        <f t="shared" si="46"/>
        <v>#VALUE!</v>
      </c>
      <c r="AF225" s="329" t="e">
        <f t="shared" si="46"/>
        <v>#VALUE!</v>
      </c>
      <c r="AG225" s="329" t="e">
        <f t="shared" si="46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7">D229+1</f>
        <v>2</v>
      </c>
      <c r="F229" s="302">
        <f t="shared" si="47"/>
        <v>3</v>
      </c>
      <c r="G229" s="302">
        <f t="shared" si="47"/>
        <v>4</v>
      </c>
      <c r="H229" s="302">
        <f t="shared" si="47"/>
        <v>5</v>
      </c>
      <c r="I229" s="302">
        <f t="shared" si="47"/>
        <v>6</v>
      </c>
      <c r="J229" s="302">
        <f t="shared" si="47"/>
        <v>7</v>
      </c>
      <c r="K229" s="302">
        <f t="shared" si="47"/>
        <v>8</v>
      </c>
      <c r="L229" s="302">
        <f t="shared" si="47"/>
        <v>9</v>
      </c>
      <c r="M229" s="302">
        <f t="shared" si="47"/>
        <v>10</v>
      </c>
      <c r="N229" s="302">
        <f t="shared" si="47"/>
        <v>11</v>
      </c>
      <c r="O229" s="302">
        <f t="shared" si="47"/>
        <v>12</v>
      </c>
      <c r="P229" s="302">
        <f t="shared" si="47"/>
        <v>13</v>
      </c>
      <c r="Q229" s="302">
        <f t="shared" si="47"/>
        <v>14</v>
      </c>
      <c r="R229" s="302">
        <f t="shared" si="47"/>
        <v>15</v>
      </c>
      <c r="S229" s="302">
        <f t="shared" si="47"/>
        <v>16</v>
      </c>
      <c r="T229" s="302">
        <f t="shared" si="47"/>
        <v>17</v>
      </c>
      <c r="U229" s="302">
        <f t="shared" si="47"/>
        <v>18</v>
      </c>
      <c r="V229" s="302">
        <f t="shared" si="47"/>
        <v>19</v>
      </c>
      <c r="W229" s="302">
        <f t="shared" si="47"/>
        <v>20</v>
      </c>
      <c r="X229" s="302">
        <f t="shared" si="47"/>
        <v>21</v>
      </c>
      <c r="Y229" s="302">
        <f t="shared" si="47"/>
        <v>22</v>
      </c>
      <c r="Z229" s="302">
        <f t="shared" si="47"/>
        <v>23</v>
      </c>
      <c r="AA229" s="302">
        <f t="shared" si="47"/>
        <v>24</v>
      </c>
      <c r="AB229" s="302">
        <f t="shared" si="47"/>
        <v>25</v>
      </c>
      <c r="AC229" s="302">
        <f t="shared" si="47"/>
        <v>26</v>
      </c>
      <c r="AD229" s="302">
        <f t="shared" si="47"/>
        <v>27</v>
      </c>
      <c r="AE229" s="302">
        <f t="shared" si="47"/>
        <v>28</v>
      </c>
      <c r="AF229" s="302">
        <f t="shared" si="47"/>
        <v>29</v>
      </c>
      <c r="AG229" s="302">
        <f t="shared" si="47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8">SUM(D230:AG230)</f>
        <v>0</v>
      </c>
    </row>
    <row r="231" spans="1:34">
      <c r="C231" s="304">
        <f t="shared" ref="C231:C260" si="49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8"/>
        <v>0</v>
      </c>
    </row>
    <row r="232" spans="1:34">
      <c r="C232" s="304">
        <f t="shared" si="49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8"/>
        <v>#VALUE!</v>
      </c>
    </row>
    <row r="233" spans="1:34">
      <c r="C233" s="304">
        <f t="shared" si="49"/>
        <v>3</v>
      </c>
      <c r="D233" s="305" t="e">
        <f t="shared" ref="D233:S248" si="50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8"/>
        <v>#VALUE!</v>
      </c>
    </row>
    <row r="234" spans="1:34">
      <c r="C234" s="304">
        <f t="shared" si="49"/>
        <v>4</v>
      </c>
      <c r="D234" s="305" t="e">
        <f t="shared" si="50"/>
        <v>#VALUE!</v>
      </c>
      <c r="E234" s="305" t="e">
        <f t="shared" si="50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8"/>
        <v>#VALUE!</v>
      </c>
    </row>
    <row r="235" spans="1:34">
      <c r="C235" s="304">
        <f t="shared" si="49"/>
        <v>5</v>
      </c>
      <c r="D235" s="305" t="e">
        <f t="shared" si="50"/>
        <v>#VALUE!</v>
      </c>
      <c r="E235" s="305" t="e">
        <f t="shared" si="50"/>
        <v>#VALUE!</v>
      </c>
      <c r="F235" s="305" t="e">
        <f t="shared" si="50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8"/>
        <v>#VALUE!</v>
      </c>
    </row>
    <row r="236" spans="1:34">
      <c r="C236" s="304">
        <f t="shared" si="49"/>
        <v>6</v>
      </c>
      <c r="D236" s="305" t="e">
        <f t="shared" si="50"/>
        <v>#VALUE!</v>
      </c>
      <c r="E236" s="305" t="e">
        <f t="shared" si="50"/>
        <v>#VALUE!</v>
      </c>
      <c r="F236" s="305" t="e">
        <f t="shared" si="50"/>
        <v>#VALUE!</v>
      </c>
      <c r="G236" s="305" t="e">
        <f t="shared" si="50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8"/>
        <v>#VALUE!</v>
      </c>
    </row>
    <row r="237" spans="1:34">
      <c r="C237" s="304">
        <f t="shared" si="49"/>
        <v>7</v>
      </c>
      <c r="D237" s="305" t="e">
        <f t="shared" si="50"/>
        <v>#VALUE!</v>
      </c>
      <c r="E237" s="305" t="e">
        <f t="shared" si="50"/>
        <v>#VALUE!</v>
      </c>
      <c r="F237" s="305" t="e">
        <f t="shared" si="50"/>
        <v>#VALUE!</v>
      </c>
      <c r="G237" s="305" t="e">
        <f t="shared" si="50"/>
        <v>#VALUE!</v>
      </c>
      <c r="H237" s="305" t="e">
        <f t="shared" si="50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8"/>
        <v>#VALUE!</v>
      </c>
    </row>
    <row r="238" spans="1:34">
      <c r="C238" s="304">
        <f t="shared" si="49"/>
        <v>8</v>
      </c>
      <c r="D238" s="305" t="e">
        <f t="shared" si="50"/>
        <v>#VALUE!</v>
      </c>
      <c r="E238" s="305" t="e">
        <f t="shared" si="50"/>
        <v>#VALUE!</v>
      </c>
      <c r="F238" s="305" t="e">
        <f t="shared" si="50"/>
        <v>#VALUE!</v>
      </c>
      <c r="G238" s="305" t="e">
        <f t="shared" si="50"/>
        <v>#VALUE!</v>
      </c>
      <c r="H238" s="305" t="e">
        <f t="shared" si="50"/>
        <v>#VALUE!</v>
      </c>
      <c r="I238" s="305" t="e">
        <f t="shared" si="50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8"/>
        <v>#VALUE!</v>
      </c>
    </row>
    <row r="239" spans="1:34">
      <c r="C239" s="304">
        <f t="shared" si="49"/>
        <v>9</v>
      </c>
      <c r="D239" s="305"/>
      <c r="E239" s="305" t="e">
        <f t="shared" si="50"/>
        <v>#VALUE!</v>
      </c>
      <c r="F239" s="305" t="e">
        <f t="shared" si="50"/>
        <v>#VALUE!</v>
      </c>
      <c r="G239" s="305" t="e">
        <f t="shared" si="50"/>
        <v>#VALUE!</v>
      </c>
      <c r="H239" s="305" t="e">
        <f t="shared" si="50"/>
        <v>#VALUE!</v>
      </c>
      <c r="I239" s="305" t="e">
        <f t="shared" si="50"/>
        <v>#VALUE!</v>
      </c>
      <c r="J239" s="305" t="e">
        <f t="shared" si="50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8"/>
        <v>#VALUE!</v>
      </c>
    </row>
    <row r="240" spans="1:34">
      <c r="C240" s="304">
        <f t="shared" si="49"/>
        <v>10</v>
      </c>
      <c r="D240" s="305"/>
      <c r="E240" s="305"/>
      <c r="F240" s="305" t="e">
        <f t="shared" si="50"/>
        <v>#VALUE!</v>
      </c>
      <c r="G240" s="305" t="e">
        <f t="shared" si="50"/>
        <v>#VALUE!</v>
      </c>
      <c r="H240" s="305" t="e">
        <f t="shared" si="50"/>
        <v>#VALUE!</v>
      </c>
      <c r="I240" s="305" t="e">
        <f t="shared" si="50"/>
        <v>#VALUE!</v>
      </c>
      <c r="J240" s="305" t="e">
        <f t="shared" si="50"/>
        <v>#VALUE!</v>
      </c>
      <c r="K240" s="305" t="e">
        <f t="shared" si="50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8"/>
        <v>#VALUE!</v>
      </c>
    </row>
    <row r="241" spans="3:34">
      <c r="C241" s="304">
        <f t="shared" si="49"/>
        <v>11</v>
      </c>
      <c r="D241" s="305"/>
      <c r="E241" s="305"/>
      <c r="F241" s="305"/>
      <c r="G241" s="305" t="e">
        <f t="shared" si="50"/>
        <v>#VALUE!</v>
      </c>
      <c r="H241" s="305" t="e">
        <f t="shared" si="50"/>
        <v>#VALUE!</v>
      </c>
      <c r="I241" s="305" t="e">
        <f t="shared" si="50"/>
        <v>#VALUE!</v>
      </c>
      <c r="J241" s="305" t="e">
        <f t="shared" si="50"/>
        <v>#VALUE!</v>
      </c>
      <c r="K241" s="305" t="e">
        <f t="shared" si="50"/>
        <v>#VALUE!</v>
      </c>
      <c r="L241" s="305" t="e">
        <f t="shared" si="50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8"/>
        <v>#VALUE!</v>
      </c>
    </row>
    <row r="242" spans="3:34">
      <c r="C242" s="304">
        <f t="shared" si="49"/>
        <v>12</v>
      </c>
      <c r="D242" s="305"/>
      <c r="E242" s="305"/>
      <c r="F242" s="305"/>
      <c r="G242" s="305"/>
      <c r="H242" s="305" t="e">
        <f t="shared" si="50"/>
        <v>#VALUE!</v>
      </c>
      <c r="I242" s="305" t="e">
        <f t="shared" si="50"/>
        <v>#VALUE!</v>
      </c>
      <c r="J242" s="305" t="e">
        <f t="shared" si="50"/>
        <v>#VALUE!</v>
      </c>
      <c r="K242" s="305" t="e">
        <f t="shared" si="50"/>
        <v>#VALUE!</v>
      </c>
      <c r="L242" s="305" t="e">
        <f t="shared" si="50"/>
        <v>#VALUE!</v>
      </c>
      <c r="M242" s="305" t="e">
        <f t="shared" si="50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8"/>
        <v>#VALUE!</v>
      </c>
    </row>
    <row r="243" spans="3:34">
      <c r="C243" s="304">
        <f t="shared" si="49"/>
        <v>13</v>
      </c>
      <c r="D243" s="305"/>
      <c r="E243" s="305"/>
      <c r="F243" s="305"/>
      <c r="G243" s="305"/>
      <c r="H243" s="305"/>
      <c r="I243" s="305" t="e">
        <f t="shared" si="50"/>
        <v>#VALUE!</v>
      </c>
      <c r="J243" s="305" t="e">
        <f t="shared" si="50"/>
        <v>#VALUE!</v>
      </c>
      <c r="K243" s="305" t="e">
        <f t="shared" si="50"/>
        <v>#VALUE!</v>
      </c>
      <c r="L243" s="305" t="e">
        <f t="shared" si="50"/>
        <v>#VALUE!</v>
      </c>
      <c r="M243" s="305" t="e">
        <f t="shared" si="50"/>
        <v>#VALUE!</v>
      </c>
      <c r="N243" s="305" t="e">
        <f t="shared" si="50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8"/>
        <v>#VALUE!</v>
      </c>
    </row>
    <row r="244" spans="3:34">
      <c r="C244" s="304">
        <f t="shared" si="49"/>
        <v>14</v>
      </c>
      <c r="D244" s="305"/>
      <c r="E244" s="305"/>
      <c r="F244" s="305"/>
      <c r="G244" s="305"/>
      <c r="H244" s="305"/>
      <c r="I244" s="305"/>
      <c r="J244" s="305" t="e">
        <f t="shared" si="50"/>
        <v>#VALUE!</v>
      </c>
      <c r="K244" s="305" t="e">
        <f t="shared" si="50"/>
        <v>#VALUE!</v>
      </c>
      <c r="L244" s="305" t="e">
        <f t="shared" si="50"/>
        <v>#VALUE!</v>
      </c>
      <c r="M244" s="305" t="e">
        <f t="shared" si="50"/>
        <v>#VALUE!</v>
      </c>
      <c r="N244" s="305" t="e">
        <f t="shared" si="50"/>
        <v>#VALUE!</v>
      </c>
      <c r="O244" s="305" t="e">
        <f t="shared" si="50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8"/>
        <v>#VALUE!</v>
      </c>
    </row>
    <row r="245" spans="3:34">
      <c r="C245" s="304">
        <f t="shared" si="49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0"/>
        <v>#VALUE!</v>
      </c>
      <c r="L245" s="305" t="e">
        <f t="shared" si="50"/>
        <v>#VALUE!</v>
      </c>
      <c r="M245" s="305" t="e">
        <f t="shared" si="50"/>
        <v>#VALUE!</v>
      </c>
      <c r="N245" s="305" t="e">
        <f t="shared" si="50"/>
        <v>#VALUE!</v>
      </c>
      <c r="O245" s="305" t="e">
        <f t="shared" si="50"/>
        <v>#VALUE!</v>
      </c>
      <c r="P245" s="305" t="e">
        <f t="shared" si="50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8"/>
        <v>#VALUE!</v>
      </c>
    </row>
    <row r="246" spans="3:34">
      <c r="C246" s="304">
        <f t="shared" si="49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0"/>
        <v>#VALUE!</v>
      </c>
      <c r="M246" s="305" t="e">
        <f t="shared" si="50"/>
        <v>#VALUE!</v>
      </c>
      <c r="N246" s="305" t="e">
        <f t="shared" si="50"/>
        <v>#VALUE!</v>
      </c>
      <c r="O246" s="305" t="e">
        <f t="shared" si="50"/>
        <v>#VALUE!</v>
      </c>
      <c r="P246" s="305" t="e">
        <f t="shared" si="50"/>
        <v>#VALUE!</v>
      </c>
      <c r="Q246" s="305" t="e">
        <f t="shared" si="50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8"/>
        <v>#VALUE!</v>
      </c>
    </row>
    <row r="247" spans="3:34">
      <c r="C247" s="304">
        <f t="shared" si="49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0"/>
        <v>#VALUE!</v>
      </c>
      <c r="N247" s="305" t="e">
        <f t="shared" si="50"/>
        <v>#VALUE!</v>
      </c>
      <c r="O247" s="305" t="e">
        <f t="shared" si="50"/>
        <v>#VALUE!</v>
      </c>
      <c r="P247" s="305" t="e">
        <f t="shared" si="50"/>
        <v>#VALUE!</v>
      </c>
      <c r="Q247" s="305" t="e">
        <f t="shared" si="50"/>
        <v>#VALUE!</v>
      </c>
      <c r="R247" s="305" t="e">
        <f t="shared" si="50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8"/>
        <v>#VALUE!</v>
      </c>
    </row>
    <row r="248" spans="3:34">
      <c r="C248" s="304">
        <f t="shared" si="49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0"/>
        <v>#VALUE!</v>
      </c>
      <c r="O248" s="305" t="e">
        <f t="shared" si="50"/>
        <v>#VALUE!</v>
      </c>
      <c r="P248" s="305" t="e">
        <f t="shared" si="50"/>
        <v>#VALUE!</v>
      </c>
      <c r="Q248" s="305" t="e">
        <f t="shared" si="50"/>
        <v>#VALUE!</v>
      </c>
      <c r="R248" s="305" t="e">
        <f t="shared" si="50"/>
        <v>#VALUE!</v>
      </c>
      <c r="S248" s="305" t="e">
        <f t="shared" si="50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8"/>
        <v>#VALUE!</v>
      </c>
    </row>
    <row r="249" spans="3:34">
      <c r="C249" s="304">
        <f t="shared" si="49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1">O248</f>
        <v>#VALUE!</v>
      </c>
      <c r="P249" s="305" t="e">
        <f t="shared" si="51"/>
        <v>#VALUE!</v>
      </c>
      <c r="Q249" s="305" t="e">
        <f t="shared" si="51"/>
        <v>#VALUE!</v>
      </c>
      <c r="R249" s="305" t="e">
        <f t="shared" si="51"/>
        <v>#VALUE!</v>
      </c>
      <c r="S249" s="305" t="e">
        <f t="shared" si="51"/>
        <v>#VALUE!</v>
      </c>
      <c r="T249" s="305" t="e">
        <f t="shared" si="51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8"/>
        <v>#VALUE!</v>
      </c>
    </row>
    <row r="250" spans="3:34">
      <c r="C250" s="304">
        <f t="shared" si="49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1"/>
        <v>#VALUE!</v>
      </c>
      <c r="Q250" s="305" t="e">
        <f t="shared" si="51"/>
        <v>#VALUE!</v>
      </c>
      <c r="R250" s="305" t="e">
        <f t="shared" si="51"/>
        <v>#VALUE!</v>
      </c>
      <c r="S250" s="305" t="e">
        <f t="shared" si="51"/>
        <v>#VALUE!</v>
      </c>
      <c r="T250" s="305" t="e">
        <f t="shared" si="51"/>
        <v>#VALUE!</v>
      </c>
      <c r="U250" s="305" t="e">
        <f t="shared" si="51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8"/>
        <v>#VALUE!</v>
      </c>
    </row>
    <row r="251" spans="3:34">
      <c r="C251" s="304">
        <f t="shared" si="49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1"/>
        <v>#VALUE!</v>
      </c>
      <c r="R251" s="305" t="e">
        <f t="shared" si="51"/>
        <v>#VALUE!</v>
      </c>
      <c r="S251" s="305" t="e">
        <f t="shared" si="51"/>
        <v>#VALUE!</v>
      </c>
      <c r="T251" s="305" t="e">
        <f t="shared" si="51"/>
        <v>#VALUE!</v>
      </c>
      <c r="U251" s="305" t="e">
        <f t="shared" si="51"/>
        <v>#VALUE!</v>
      </c>
      <c r="V251" s="305" t="e">
        <f t="shared" si="51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8"/>
        <v>#VALUE!</v>
      </c>
    </row>
    <row r="252" spans="3:34">
      <c r="C252" s="304">
        <f t="shared" si="49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1"/>
        <v>#VALUE!</v>
      </c>
      <c r="S252" s="305" t="e">
        <f t="shared" si="51"/>
        <v>#VALUE!</v>
      </c>
      <c r="T252" s="305" t="e">
        <f t="shared" si="51"/>
        <v>#VALUE!</v>
      </c>
      <c r="U252" s="305" t="e">
        <f t="shared" si="51"/>
        <v>#VALUE!</v>
      </c>
      <c r="V252" s="305" t="e">
        <f t="shared" si="51"/>
        <v>#VALUE!</v>
      </c>
      <c r="W252" s="305" t="e">
        <f t="shared" si="51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8"/>
        <v>#VALUE!</v>
      </c>
    </row>
    <row r="253" spans="3:34">
      <c r="C253" s="304">
        <f t="shared" si="49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1"/>
        <v>#VALUE!</v>
      </c>
      <c r="T253" s="305" t="e">
        <f t="shared" si="51"/>
        <v>#VALUE!</v>
      </c>
      <c r="U253" s="305" t="e">
        <f t="shared" si="51"/>
        <v>#VALUE!</v>
      </c>
      <c r="V253" s="305" t="e">
        <f t="shared" si="51"/>
        <v>#VALUE!</v>
      </c>
      <c r="W253" s="305" t="e">
        <f t="shared" si="51"/>
        <v>#VALUE!</v>
      </c>
      <c r="X253" s="305" t="e">
        <f t="shared" si="51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8"/>
        <v>#VALUE!</v>
      </c>
    </row>
    <row r="254" spans="3:34">
      <c r="C254" s="304">
        <f t="shared" si="49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1"/>
        <v>#VALUE!</v>
      </c>
      <c r="U254" s="305" t="e">
        <f t="shared" si="51"/>
        <v>#VALUE!</v>
      </c>
      <c r="V254" s="305" t="e">
        <f t="shared" si="51"/>
        <v>#VALUE!</v>
      </c>
      <c r="W254" s="305" t="e">
        <f t="shared" si="51"/>
        <v>#VALUE!</v>
      </c>
      <c r="X254" s="305" t="e">
        <f t="shared" si="51"/>
        <v>#VALUE!</v>
      </c>
      <c r="Y254" s="305" t="e">
        <f t="shared" si="51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8"/>
        <v>#VALUE!</v>
      </c>
    </row>
    <row r="255" spans="3:34">
      <c r="C255" s="304">
        <f t="shared" si="49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1"/>
        <v>#VALUE!</v>
      </c>
      <c r="V255" s="305" t="e">
        <f t="shared" si="51"/>
        <v>#VALUE!</v>
      </c>
      <c r="W255" s="305" t="e">
        <f t="shared" si="51"/>
        <v>#VALUE!</v>
      </c>
      <c r="X255" s="305" t="e">
        <f t="shared" si="51"/>
        <v>#VALUE!</v>
      </c>
      <c r="Y255" s="305" t="e">
        <f t="shared" si="51"/>
        <v>#VALUE!</v>
      </c>
      <c r="Z255" s="305" t="e">
        <f t="shared" si="51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8"/>
        <v>#VALUE!</v>
      </c>
    </row>
    <row r="256" spans="3:34">
      <c r="C256" s="304">
        <f t="shared" si="49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1"/>
        <v>#VALUE!</v>
      </c>
      <c r="W256" s="305" t="e">
        <f t="shared" si="51"/>
        <v>#VALUE!</v>
      </c>
      <c r="X256" s="305" t="e">
        <f t="shared" si="51"/>
        <v>#VALUE!</v>
      </c>
      <c r="Y256" s="305" t="e">
        <f t="shared" si="51"/>
        <v>#VALUE!</v>
      </c>
      <c r="Z256" s="305" t="e">
        <f t="shared" si="51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8"/>
        <v>#VALUE!</v>
      </c>
    </row>
    <row r="257" spans="1:34">
      <c r="C257" s="304">
        <f t="shared" si="49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1"/>
        <v>#VALUE!</v>
      </c>
      <c r="X257" s="305" t="e">
        <f t="shared" si="51"/>
        <v>#VALUE!</v>
      </c>
      <c r="Y257" s="305" t="e">
        <f t="shared" si="51"/>
        <v>#VALUE!</v>
      </c>
      <c r="Z257" s="305" t="e">
        <f t="shared" si="51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8"/>
        <v>#VALUE!</v>
      </c>
    </row>
    <row r="258" spans="1:34">
      <c r="C258" s="304">
        <f t="shared" si="49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1"/>
        <v>#VALUE!</v>
      </c>
      <c r="Y258" s="305" t="e">
        <f t="shared" si="51"/>
        <v>#VALUE!</v>
      </c>
      <c r="Z258" s="305" t="e">
        <f t="shared" si="51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8"/>
        <v>#VALUE!</v>
      </c>
    </row>
    <row r="259" spans="1:34">
      <c r="C259" s="304">
        <f t="shared" si="49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1"/>
        <v>#VALUE!</v>
      </c>
      <c r="Z259" s="305" t="e">
        <f t="shared" si="51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8"/>
        <v>#VALUE!</v>
      </c>
    </row>
    <row r="260" spans="1:34" ht="13.5" thickBot="1">
      <c r="C260" s="304">
        <f t="shared" si="49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1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8"/>
        <v>#VALUE!</v>
      </c>
    </row>
    <row r="261" spans="1:34" ht="14.25" thickTop="1" thickBot="1">
      <c r="C261" s="311" t="s">
        <v>0</v>
      </c>
      <c r="D261" s="328" t="e">
        <f t="shared" ref="D261:AH261" si="52">SUM(D230:D260)</f>
        <v>#VALUE!</v>
      </c>
      <c r="E261" s="328" t="e">
        <f t="shared" si="52"/>
        <v>#VALUE!</v>
      </c>
      <c r="F261" s="328" t="e">
        <f t="shared" si="52"/>
        <v>#VALUE!</v>
      </c>
      <c r="G261" s="328" t="e">
        <f t="shared" si="52"/>
        <v>#VALUE!</v>
      </c>
      <c r="H261" s="328" t="e">
        <f t="shared" si="52"/>
        <v>#VALUE!</v>
      </c>
      <c r="I261" s="328" t="e">
        <f t="shared" si="52"/>
        <v>#VALUE!</v>
      </c>
      <c r="J261" s="328" t="e">
        <f t="shared" si="52"/>
        <v>#VALUE!</v>
      </c>
      <c r="K261" s="328" t="e">
        <f t="shared" si="52"/>
        <v>#VALUE!</v>
      </c>
      <c r="L261" s="328" t="e">
        <f t="shared" si="52"/>
        <v>#VALUE!</v>
      </c>
      <c r="M261" s="328" t="e">
        <f t="shared" si="52"/>
        <v>#VALUE!</v>
      </c>
      <c r="N261" s="328" t="e">
        <f t="shared" si="52"/>
        <v>#VALUE!</v>
      </c>
      <c r="O261" s="328" t="e">
        <f t="shared" si="52"/>
        <v>#VALUE!</v>
      </c>
      <c r="P261" s="328" t="e">
        <f t="shared" si="52"/>
        <v>#VALUE!</v>
      </c>
      <c r="Q261" s="328" t="e">
        <f t="shared" si="52"/>
        <v>#VALUE!</v>
      </c>
      <c r="R261" s="328" t="e">
        <f t="shared" si="52"/>
        <v>#VALUE!</v>
      </c>
      <c r="S261" s="328" t="e">
        <f t="shared" si="52"/>
        <v>#VALUE!</v>
      </c>
      <c r="T261" s="328" t="e">
        <f t="shared" si="52"/>
        <v>#VALUE!</v>
      </c>
      <c r="U261" s="328" t="e">
        <f t="shared" si="52"/>
        <v>#VALUE!</v>
      </c>
      <c r="V261" s="328" t="e">
        <f t="shared" si="52"/>
        <v>#VALUE!</v>
      </c>
      <c r="W261" s="328" t="e">
        <f t="shared" si="52"/>
        <v>#VALUE!</v>
      </c>
      <c r="X261" s="328" t="e">
        <f t="shared" si="52"/>
        <v>#VALUE!</v>
      </c>
      <c r="Y261" s="328" t="e">
        <f t="shared" si="52"/>
        <v>#VALUE!</v>
      </c>
      <c r="Z261" s="328" t="e">
        <f t="shared" si="52"/>
        <v>#VALUE!</v>
      </c>
      <c r="AA261" s="328" t="e">
        <f t="shared" si="52"/>
        <v>#VALUE!</v>
      </c>
      <c r="AB261" s="328" t="e">
        <f t="shared" si="52"/>
        <v>#VALUE!</v>
      </c>
      <c r="AC261" s="328" t="e">
        <f t="shared" si="52"/>
        <v>#VALUE!</v>
      </c>
      <c r="AD261" s="328" t="e">
        <f t="shared" si="52"/>
        <v>#VALUE!</v>
      </c>
      <c r="AE261" s="328" t="e">
        <f t="shared" si="52"/>
        <v>#VALUE!</v>
      </c>
      <c r="AF261" s="329" t="e">
        <f t="shared" si="52"/>
        <v>#VALUE!</v>
      </c>
      <c r="AG261" s="328" t="e">
        <f t="shared" si="52"/>
        <v>#VALUE!</v>
      </c>
      <c r="AH261" s="315" t="e">
        <f t="shared" si="52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3">D267+1</f>
        <v>2</v>
      </c>
      <c r="F267" s="302">
        <f t="shared" si="53"/>
        <v>3</v>
      </c>
      <c r="G267" s="302">
        <f t="shared" si="53"/>
        <v>4</v>
      </c>
      <c r="H267" s="302">
        <f t="shared" si="53"/>
        <v>5</v>
      </c>
      <c r="I267" s="302">
        <f t="shared" si="53"/>
        <v>6</v>
      </c>
      <c r="J267" s="302">
        <f t="shared" si="53"/>
        <v>7</v>
      </c>
      <c r="K267" s="302">
        <f t="shared" si="53"/>
        <v>8</v>
      </c>
      <c r="L267" s="302">
        <f t="shared" si="53"/>
        <v>9</v>
      </c>
      <c r="M267" s="302">
        <f t="shared" si="53"/>
        <v>10</v>
      </c>
      <c r="N267" s="302">
        <f t="shared" si="53"/>
        <v>11</v>
      </c>
      <c r="O267" s="302">
        <f t="shared" si="53"/>
        <v>12</v>
      </c>
      <c r="P267" s="302">
        <f t="shared" si="53"/>
        <v>13</v>
      </c>
      <c r="Q267" s="302">
        <f t="shared" si="53"/>
        <v>14</v>
      </c>
      <c r="R267" s="302">
        <f t="shared" si="53"/>
        <v>15</v>
      </c>
      <c r="S267" s="302">
        <f t="shared" si="53"/>
        <v>16</v>
      </c>
      <c r="T267" s="302">
        <f t="shared" si="53"/>
        <v>17</v>
      </c>
      <c r="U267" s="302">
        <f t="shared" si="53"/>
        <v>18</v>
      </c>
      <c r="V267" s="302">
        <f t="shared" si="53"/>
        <v>19</v>
      </c>
      <c r="W267" s="302">
        <f t="shared" si="53"/>
        <v>20</v>
      </c>
      <c r="X267" s="302">
        <f t="shared" si="53"/>
        <v>21</v>
      </c>
      <c r="Y267" s="302">
        <f t="shared" si="53"/>
        <v>22</v>
      </c>
      <c r="Z267" s="302">
        <f t="shared" si="53"/>
        <v>23</v>
      </c>
      <c r="AA267" s="302">
        <f t="shared" si="53"/>
        <v>24</v>
      </c>
      <c r="AB267" s="302">
        <f t="shared" si="53"/>
        <v>25</v>
      </c>
      <c r="AC267" s="302">
        <f t="shared" si="53"/>
        <v>26</v>
      </c>
      <c r="AD267" s="302">
        <f t="shared" si="53"/>
        <v>27</v>
      </c>
      <c r="AE267" s="302">
        <f t="shared" si="53"/>
        <v>28</v>
      </c>
      <c r="AF267" s="302">
        <f t="shared" si="53"/>
        <v>29</v>
      </c>
      <c r="AG267" s="302">
        <f t="shared" si="53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4">SUM(D268:AG268)</f>
        <v>0</v>
      </c>
    </row>
    <row r="269" spans="1:34">
      <c r="C269" s="307">
        <f t="shared" ref="C269:C298" si="55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4"/>
        <v>0</v>
      </c>
    </row>
    <row r="270" spans="1:34">
      <c r="C270" s="307">
        <f t="shared" si="55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4"/>
        <v>#VALUE!</v>
      </c>
    </row>
    <row r="271" spans="1:34">
      <c r="C271" s="307">
        <f t="shared" si="55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4"/>
        <v>#VALUE!</v>
      </c>
    </row>
    <row r="272" spans="1:34">
      <c r="C272" s="307">
        <f t="shared" si="55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4"/>
        <v>#VALUE!</v>
      </c>
    </row>
    <row r="273" spans="3:34">
      <c r="C273" s="307">
        <f t="shared" si="55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4"/>
        <v>#VALUE!</v>
      </c>
    </row>
    <row r="274" spans="3:34">
      <c r="C274" s="307">
        <f t="shared" si="55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4"/>
        <v>#VALUE!</v>
      </c>
    </row>
    <row r="275" spans="3:34">
      <c r="C275" s="307">
        <f t="shared" si="55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4"/>
        <v>#VALUE!</v>
      </c>
    </row>
    <row r="276" spans="3:34">
      <c r="C276" s="307">
        <f t="shared" si="55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4"/>
        <v>#VALUE!</v>
      </c>
    </row>
    <row r="277" spans="3:34">
      <c r="C277" s="307">
        <f t="shared" si="55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4"/>
        <v>#VALUE!</v>
      </c>
    </row>
    <row r="278" spans="3:34">
      <c r="C278" s="307">
        <f t="shared" si="55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4"/>
        <v>#VALUE!</v>
      </c>
    </row>
    <row r="279" spans="3:34">
      <c r="C279" s="307">
        <f t="shared" si="55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4"/>
        <v>#VALUE!</v>
      </c>
    </row>
    <row r="280" spans="3:34">
      <c r="C280" s="307">
        <f t="shared" si="55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4"/>
        <v>#VALUE!</v>
      </c>
    </row>
    <row r="281" spans="3:34">
      <c r="C281" s="307">
        <f t="shared" si="55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4"/>
        <v>#VALUE!</v>
      </c>
    </row>
    <row r="282" spans="3:34">
      <c r="C282" s="307">
        <f t="shared" si="55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4"/>
        <v>#VALUE!</v>
      </c>
    </row>
    <row r="283" spans="3:34">
      <c r="C283" s="307">
        <f t="shared" si="55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4"/>
        <v>#VALUE!</v>
      </c>
    </row>
    <row r="284" spans="3:34">
      <c r="C284" s="307">
        <f t="shared" si="55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4"/>
        <v>#VALUE!</v>
      </c>
    </row>
    <row r="285" spans="3:34">
      <c r="C285" s="307">
        <f t="shared" si="55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4"/>
        <v>#VALUE!</v>
      </c>
    </row>
    <row r="286" spans="3:34">
      <c r="C286" s="307">
        <f t="shared" si="55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4"/>
        <v>#VALUE!</v>
      </c>
    </row>
    <row r="287" spans="3:34">
      <c r="C287" s="307">
        <f t="shared" si="55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4"/>
        <v>#VALUE!</v>
      </c>
    </row>
    <row r="288" spans="3:34">
      <c r="C288" s="307">
        <f t="shared" si="55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4"/>
        <v>#VALUE!</v>
      </c>
    </row>
    <row r="289" spans="1:34">
      <c r="C289" s="307">
        <f t="shared" si="55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4"/>
        <v>#VALUE!</v>
      </c>
    </row>
    <row r="290" spans="1:34">
      <c r="C290" s="307">
        <f t="shared" si="55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4"/>
        <v>#VALUE!</v>
      </c>
    </row>
    <row r="291" spans="1:34">
      <c r="C291" s="307">
        <f t="shared" si="55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4"/>
        <v>#VALUE!</v>
      </c>
    </row>
    <row r="292" spans="1:34">
      <c r="C292" s="307">
        <f t="shared" si="55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4"/>
        <v>#VALUE!</v>
      </c>
    </row>
    <row r="293" spans="1:34">
      <c r="C293" s="307">
        <f t="shared" si="55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4"/>
        <v>#VALUE!</v>
      </c>
    </row>
    <row r="294" spans="1:34">
      <c r="C294" s="307">
        <f t="shared" si="55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4"/>
        <v>#VALUE!</v>
      </c>
    </row>
    <row r="295" spans="1:34">
      <c r="C295" s="307">
        <f t="shared" si="55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4"/>
        <v>#VALUE!</v>
      </c>
    </row>
    <row r="296" spans="1:34">
      <c r="C296" s="307">
        <f t="shared" si="55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4"/>
        <v>#VALUE!</v>
      </c>
    </row>
    <row r="297" spans="1:34">
      <c r="C297" s="307">
        <f t="shared" si="55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4"/>
        <v>#VALUE!</v>
      </c>
    </row>
    <row r="298" spans="1:34" ht="13.5" thickBot="1">
      <c r="C298" s="307">
        <f t="shared" si="55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4"/>
        <v>#VALUE!</v>
      </c>
    </row>
    <row r="299" spans="1:34" ht="14.25" thickTop="1" thickBot="1">
      <c r="C299" s="311" t="s">
        <v>0</v>
      </c>
      <c r="D299" s="328" t="e">
        <f t="shared" ref="D299:AH299" si="56">SUM(D268:D298)</f>
        <v>#VALUE!</v>
      </c>
      <c r="E299" s="328" t="e">
        <f t="shared" si="56"/>
        <v>#VALUE!</v>
      </c>
      <c r="F299" s="328" t="e">
        <f t="shared" si="56"/>
        <v>#VALUE!</v>
      </c>
      <c r="G299" s="328" t="e">
        <f t="shared" si="56"/>
        <v>#VALUE!</v>
      </c>
      <c r="H299" s="328" t="e">
        <f t="shared" si="56"/>
        <v>#VALUE!</v>
      </c>
      <c r="I299" s="328" t="e">
        <f t="shared" si="56"/>
        <v>#VALUE!</v>
      </c>
      <c r="J299" s="328" t="e">
        <f t="shared" si="56"/>
        <v>#VALUE!</v>
      </c>
      <c r="K299" s="328" t="e">
        <f t="shared" si="56"/>
        <v>#VALUE!</v>
      </c>
      <c r="L299" s="340" t="e">
        <f t="shared" si="56"/>
        <v>#VALUE!</v>
      </c>
      <c r="M299" s="340" t="e">
        <f t="shared" si="56"/>
        <v>#VALUE!</v>
      </c>
      <c r="N299" s="328" t="e">
        <f t="shared" si="56"/>
        <v>#VALUE!</v>
      </c>
      <c r="O299" s="328" t="e">
        <f t="shared" si="56"/>
        <v>#VALUE!</v>
      </c>
      <c r="P299" s="328" t="e">
        <f t="shared" si="56"/>
        <v>#VALUE!</v>
      </c>
      <c r="Q299" s="328" t="e">
        <f t="shared" si="56"/>
        <v>#VALUE!</v>
      </c>
      <c r="R299" s="328" t="e">
        <f t="shared" si="56"/>
        <v>#VALUE!</v>
      </c>
      <c r="S299" s="328" t="e">
        <f t="shared" si="56"/>
        <v>#VALUE!</v>
      </c>
      <c r="T299" s="328" t="e">
        <f t="shared" si="56"/>
        <v>#VALUE!</v>
      </c>
      <c r="U299" s="328" t="e">
        <f t="shared" si="56"/>
        <v>#VALUE!</v>
      </c>
      <c r="V299" s="328" t="e">
        <f t="shared" si="56"/>
        <v>#VALUE!</v>
      </c>
      <c r="W299" s="328" t="e">
        <f t="shared" si="56"/>
        <v>#VALUE!</v>
      </c>
      <c r="X299" s="328" t="e">
        <f t="shared" si="56"/>
        <v>#VALUE!</v>
      </c>
      <c r="Y299" s="328" t="e">
        <f t="shared" si="56"/>
        <v>#VALUE!</v>
      </c>
      <c r="Z299" s="328" t="e">
        <f t="shared" si="56"/>
        <v>#VALUE!</v>
      </c>
      <c r="AA299" s="328" t="e">
        <f t="shared" si="56"/>
        <v>#VALUE!</v>
      </c>
      <c r="AB299" s="328" t="e">
        <f t="shared" si="56"/>
        <v>#VALUE!</v>
      </c>
      <c r="AC299" s="328" t="e">
        <f t="shared" si="56"/>
        <v>#VALUE!</v>
      </c>
      <c r="AD299" s="328" t="e">
        <f t="shared" si="56"/>
        <v>#VALUE!</v>
      </c>
      <c r="AE299" s="328" t="e">
        <f t="shared" si="56"/>
        <v>#VALUE!</v>
      </c>
      <c r="AF299" s="329" t="e">
        <f t="shared" si="56"/>
        <v>#VALUE!</v>
      </c>
      <c r="AG299" s="328" t="e">
        <f t="shared" si="56"/>
        <v>#VALUE!</v>
      </c>
      <c r="AH299" s="315" t="e">
        <f t="shared" si="56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7">D305+1</f>
        <v>2</v>
      </c>
      <c r="F305" s="302">
        <f t="shared" si="57"/>
        <v>3</v>
      </c>
      <c r="G305" s="302">
        <f t="shared" si="57"/>
        <v>4</v>
      </c>
      <c r="H305" s="302">
        <f t="shared" si="57"/>
        <v>5</v>
      </c>
      <c r="I305" s="302">
        <f t="shared" si="57"/>
        <v>6</v>
      </c>
      <c r="J305" s="302">
        <f t="shared" si="57"/>
        <v>7</v>
      </c>
      <c r="K305" s="302">
        <f t="shared" si="57"/>
        <v>8</v>
      </c>
      <c r="L305" s="302">
        <f t="shared" si="57"/>
        <v>9</v>
      </c>
      <c r="M305" s="302">
        <f t="shared" si="57"/>
        <v>10</v>
      </c>
      <c r="N305" s="302">
        <f t="shared" si="57"/>
        <v>11</v>
      </c>
      <c r="O305" s="302">
        <f t="shared" si="57"/>
        <v>12</v>
      </c>
      <c r="P305" s="302">
        <f t="shared" si="57"/>
        <v>13</v>
      </c>
      <c r="Q305" s="302">
        <f t="shared" si="57"/>
        <v>14</v>
      </c>
      <c r="R305" s="302">
        <f t="shared" si="57"/>
        <v>15</v>
      </c>
      <c r="S305" s="302">
        <f t="shared" si="57"/>
        <v>16</v>
      </c>
      <c r="T305" s="302">
        <f t="shared" si="57"/>
        <v>17</v>
      </c>
      <c r="U305" s="302">
        <f t="shared" si="57"/>
        <v>18</v>
      </c>
      <c r="V305" s="302">
        <f t="shared" si="57"/>
        <v>19</v>
      </c>
      <c r="W305" s="302">
        <f t="shared" si="57"/>
        <v>20</v>
      </c>
      <c r="X305" s="302">
        <f t="shared" si="57"/>
        <v>21</v>
      </c>
      <c r="Y305" s="302">
        <f t="shared" si="57"/>
        <v>22</v>
      </c>
      <c r="Z305" s="302">
        <f t="shared" si="57"/>
        <v>23</v>
      </c>
      <c r="AA305" s="302">
        <f t="shared" si="57"/>
        <v>24</v>
      </c>
      <c r="AB305" s="302">
        <f t="shared" si="57"/>
        <v>25</v>
      </c>
      <c r="AC305" s="302">
        <f t="shared" si="57"/>
        <v>26</v>
      </c>
      <c r="AD305" s="302">
        <f t="shared" si="57"/>
        <v>27</v>
      </c>
      <c r="AE305" s="302">
        <f t="shared" si="57"/>
        <v>28</v>
      </c>
      <c r="AF305" s="302">
        <f t="shared" si="57"/>
        <v>29</v>
      </c>
      <c r="AG305" s="302">
        <f t="shared" si="57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8">SUM(D306:AG306)</f>
        <v>0</v>
      </c>
    </row>
    <row r="307" spans="3:34">
      <c r="C307" s="307">
        <f t="shared" ref="C307:C336" si="59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8"/>
        <v>0</v>
      </c>
    </row>
    <row r="308" spans="3:34">
      <c r="C308" s="307">
        <f t="shared" si="59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8"/>
        <v>#VALUE!</v>
      </c>
    </row>
    <row r="309" spans="3:34">
      <c r="C309" s="307">
        <f t="shared" si="59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8"/>
        <v>#VALUE!</v>
      </c>
    </row>
    <row r="310" spans="3:34">
      <c r="C310" s="307">
        <f t="shared" si="59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8"/>
        <v>#VALUE!</v>
      </c>
    </row>
    <row r="311" spans="3:34">
      <c r="C311" s="307">
        <f t="shared" si="59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8"/>
        <v>#VALUE!</v>
      </c>
    </row>
    <row r="312" spans="3:34">
      <c r="C312" s="307">
        <f t="shared" si="59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8"/>
        <v>#VALUE!</v>
      </c>
    </row>
    <row r="313" spans="3:34">
      <c r="C313" s="307">
        <f t="shared" si="59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8"/>
        <v>#VALUE!</v>
      </c>
    </row>
    <row r="314" spans="3:34">
      <c r="C314" s="307">
        <f t="shared" si="59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8"/>
        <v>#VALUE!</v>
      </c>
    </row>
    <row r="315" spans="3:34">
      <c r="C315" s="307">
        <f t="shared" si="59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8"/>
        <v>#VALUE!</v>
      </c>
    </row>
    <row r="316" spans="3:34">
      <c r="C316" s="307">
        <f t="shared" si="59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8"/>
        <v>#VALUE!</v>
      </c>
    </row>
    <row r="317" spans="3:34">
      <c r="C317" s="307">
        <f t="shared" si="59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8"/>
        <v>#VALUE!</v>
      </c>
    </row>
    <row r="318" spans="3:34">
      <c r="C318" s="307">
        <f t="shared" si="59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8"/>
        <v>#VALUE!</v>
      </c>
    </row>
    <row r="319" spans="3:34">
      <c r="C319" s="307">
        <f t="shared" si="59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8"/>
        <v>#VALUE!</v>
      </c>
    </row>
    <row r="320" spans="3:34">
      <c r="C320" s="307">
        <f t="shared" si="59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8"/>
        <v>#VALUE!</v>
      </c>
    </row>
    <row r="321" spans="3:34">
      <c r="C321" s="307">
        <f t="shared" si="59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8"/>
        <v>#VALUE!</v>
      </c>
    </row>
    <row r="322" spans="3:34">
      <c r="C322" s="307">
        <f t="shared" si="59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8"/>
        <v>#VALUE!</v>
      </c>
    </row>
    <row r="323" spans="3:34">
      <c r="C323" s="307">
        <f t="shared" si="59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8"/>
        <v>#VALUE!</v>
      </c>
    </row>
    <row r="324" spans="3:34">
      <c r="C324" s="307">
        <f t="shared" si="59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8"/>
        <v>#VALUE!</v>
      </c>
    </row>
    <row r="325" spans="3:34">
      <c r="C325" s="307">
        <f t="shared" si="59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8"/>
        <v>#VALUE!</v>
      </c>
    </row>
    <row r="326" spans="3:34">
      <c r="C326" s="307">
        <f t="shared" si="59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8"/>
        <v>#VALUE!</v>
      </c>
    </row>
    <row r="327" spans="3:34">
      <c r="C327" s="307">
        <f t="shared" si="59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8"/>
        <v>#VALUE!</v>
      </c>
    </row>
    <row r="328" spans="3:34">
      <c r="C328" s="307">
        <f t="shared" si="59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8"/>
        <v>#VALUE!</v>
      </c>
    </row>
    <row r="329" spans="3:34">
      <c r="C329" s="307">
        <f t="shared" si="59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8"/>
        <v>#VALUE!</v>
      </c>
    </row>
    <row r="330" spans="3:34">
      <c r="C330" s="307">
        <f t="shared" si="59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8"/>
        <v>#VALUE!</v>
      </c>
    </row>
    <row r="331" spans="3:34">
      <c r="C331" s="307">
        <f t="shared" si="59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8"/>
        <v>#VALUE!</v>
      </c>
    </row>
    <row r="332" spans="3:34">
      <c r="C332" s="307">
        <f t="shared" si="59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8"/>
        <v>#VALUE!</v>
      </c>
    </row>
    <row r="333" spans="3:34">
      <c r="C333" s="307">
        <f t="shared" si="59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8"/>
        <v>#VALUE!</v>
      </c>
    </row>
    <row r="334" spans="3:34">
      <c r="C334" s="307">
        <f t="shared" si="59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8"/>
        <v>#VALUE!</v>
      </c>
    </row>
    <row r="335" spans="3:34">
      <c r="C335" s="307">
        <f t="shared" si="59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8"/>
        <v>#VALUE!</v>
      </c>
    </row>
    <row r="336" spans="3:34" ht="13.5" thickBot="1">
      <c r="C336" s="307">
        <f t="shared" si="59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8"/>
        <v>#VALUE!</v>
      </c>
    </row>
    <row r="337" spans="3:34" ht="14.25" thickTop="1" thickBot="1">
      <c r="C337" s="311" t="s">
        <v>0</v>
      </c>
      <c r="D337" s="328" t="e">
        <f t="shared" ref="D337:AH337" si="60">SUM(D306:D336)</f>
        <v>#VALUE!</v>
      </c>
      <c r="E337" s="328" t="e">
        <f t="shared" si="60"/>
        <v>#VALUE!</v>
      </c>
      <c r="F337" s="328" t="e">
        <f t="shared" si="60"/>
        <v>#VALUE!</v>
      </c>
      <c r="G337" s="328" t="e">
        <f t="shared" si="60"/>
        <v>#VALUE!</v>
      </c>
      <c r="H337" s="328" t="e">
        <f t="shared" si="60"/>
        <v>#VALUE!</v>
      </c>
      <c r="I337" s="328" t="e">
        <f t="shared" si="60"/>
        <v>#VALUE!</v>
      </c>
      <c r="J337" s="328" t="e">
        <f t="shared" si="60"/>
        <v>#VALUE!</v>
      </c>
      <c r="K337" s="328" t="e">
        <f t="shared" si="60"/>
        <v>#VALUE!</v>
      </c>
      <c r="L337" s="328" t="e">
        <f t="shared" si="60"/>
        <v>#VALUE!</v>
      </c>
      <c r="M337" s="336" t="e">
        <f t="shared" si="60"/>
        <v>#VALUE!</v>
      </c>
      <c r="N337" s="328" t="e">
        <f t="shared" si="60"/>
        <v>#VALUE!</v>
      </c>
      <c r="O337" s="328" t="e">
        <f t="shared" si="60"/>
        <v>#VALUE!</v>
      </c>
      <c r="P337" s="328" t="e">
        <f t="shared" si="60"/>
        <v>#VALUE!</v>
      </c>
      <c r="Q337" s="328" t="e">
        <f t="shared" si="60"/>
        <v>#VALUE!</v>
      </c>
      <c r="R337" s="328" t="e">
        <f t="shared" si="60"/>
        <v>#VALUE!</v>
      </c>
      <c r="S337" s="328" t="e">
        <f t="shared" si="60"/>
        <v>#VALUE!</v>
      </c>
      <c r="T337" s="328" t="e">
        <f t="shared" si="60"/>
        <v>#VALUE!</v>
      </c>
      <c r="U337" s="328" t="e">
        <f t="shared" si="60"/>
        <v>#VALUE!</v>
      </c>
      <c r="V337" s="328" t="e">
        <f t="shared" si="60"/>
        <v>#VALUE!</v>
      </c>
      <c r="W337" s="328" t="e">
        <f t="shared" si="60"/>
        <v>#VALUE!</v>
      </c>
      <c r="X337" s="328" t="e">
        <f t="shared" si="60"/>
        <v>#VALUE!</v>
      </c>
      <c r="Y337" s="328" t="e">
        <f t="shared" si="60"/>
        <v>#VALUE!</v>
      </c>
      <c r="Z337" s="328" t="e">
        <f t="shared" si="60"/>
        <v>#VALUE!</v>
      </c>
      <c r="AA337" s="328" t="e">
        <f t="shared" si="60"/>
        <v>#VALUE!</v>
      </c>
      <c r="AB337" s="328" t="e">
        <f t="shared" si="60"/>
        <v>#VALUE!</v>
      </c>
      <c r="AC337" s="328" t="e">
        <f t="shared" si="60"/>
        <v>#VALUE!</v>
      </c>
      <c r="AD337" s="328" t="e">
        <f t="shared" si="60"/>
        <v>#VALUE!</v>
      </c>
      <c r="AE337" s="328" t="e">
        <f t="shared" si="60"/>
        <v>#VALUE!</v>
      </c>
      <c r="AF337" s="329" t="e">
        <f t="shared" si="60"/>
        <v>#VALUE!</v>
      </c>
      <c r="AG337" s="329" t="e">
        <f t="shared" si="60"/>
        <v>#VALUE!</v>
      </c>
      <c r="AH337" s="315" t="e">
        <f t="shared" si="60"/>
        <v>#VALUE!</v>
      </c>
    </row>
    <row r="340" spans="3:34">
      <c r="C340" s="301" t="s">
        <v>1</v>
      </c>
      <c r="D340" s="302">
        <v>1</v>
      </c>
      <c r="E340" s="302">
        <f t="shared" ref="E340:AG340" si="61">D340+1</f>
        <v>2</v>
      </c>
      <c r="F340" s="302">
        <f t="shared" si="61"/>
        <v>3</v>
      </c>
      <c r="G340" s="302">
        <f t="shared" si="61"/>
        <v>4</v>
      </c>
      <c r="H340" s="302">
        <f t="shared" si="61"/>
        <v>5</v>
      </c>
      <c r="I340" s="302">
        <f t="shared" si="61"/>
        <v>6</v>
      </c>
      <c r="J340" s="302">
        <f t="shared" si="61"/>
        <v>7</v>
      </c>
      <c r="K340" s="302">
        <f t="shared" si="61"/>
        <v>8</v>
      </c>
      <c r="L340" s="302">
        <f t="shared" si="61"/>
        <v>9</v>
      </c>
      <c r="M340" s="302">
        <f t="shared" si="61"/>
        <v>10</v>
      </c>
      <c r="N340" s="302">
        <f t="shared" si="61"/>
        <v>11</v>
      </c>
      <c r="O340" s="302">
        <f t="shared" si="61"/>
        <v>12</v>
      </c>
      <c r="P340" s="302">
        <f t="shared" si="61"/>
        <v>13</v>
      </c>
      <c r="Q340" s="302">
        <f t="shared" si="61"/>
        <v>14</v>
      </c>
      <c r="R340" s="302">
        <f t="shared" si="61"/>
        <v>15</v>
      </c>
      <c r="S340" s="302">
        <f t="shared" si="61"/>
        <v>16</v>
      </c>
      <c r="T340" s="302">
        <f t="shared" si="61"/>
        <v>17</v>
      </c>
      <c r="U340" s="302">
        <f t="shared" si="61"/>
        <v>18</v>
      </c>
      <c r="V340" s="302">
        <f t="shared" si="61"/>
        <v>19</v>
      </c>
      <c r="W340" s="302">
        <f t="shared" si="61"/>
        <v>20</v>
      </c>
      <c r="X340" s="302">
        <f t="shared" si="61"/>
        <v>21</v>
      </c>
      <c r="Y340" s="302">
        <f t="shared" si="61"/>
        <v>22</v>
      </c>
      <c r="Z340" s="302">
        <f t="shared" si="61"/>
        <v>23</v>
      </c>
      <c r="AA340" s="302">
        <f t="shared" si="61"/>
        <v>24</v>
      </c>
      <c r="AB340" s="302">
        <f t="shared" si="61"/>
        <v>25</v>
      </c>
      <c r="AC340" s="302">
        <f t="shared" si="61"/>
        <v>26</v>
      </c>
      <c r="AD340" s="302">
        <f t="shared" si="61"/>
        <v>27</v>
      </c>
      <c r="AE340" s="302">
        <f t="shared" si="61"/>
        <v>28</v>
      </c>
      <c r="AF340" s="302">
        <f t="shared" si="61"/>
        <v>29</v>
      </c>
      <c r="AG340" s="302">
        <f t="shared" si="61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2">1+C341</f>
        <v>1</v>
      </c>
      <c r="AH342" s="341">
        <f t="shared" ref="AH342:AH371" ca="1" si="63">SUMIF($C$9:$AH$336,C342,$AH$9:$AH$336)</f>
        <v>0</v>
      </c>
    </row>
    <row r="343" spans="3:34">
      <c r="C343" s="307">
        <f t="shared" si="62"/>
        <v>2</v>
      </c>
      <c r="AH343" s="341" t="e">
        <f t="shared" ca="1" si="63"/>
        <v>#VALUE!</v>
      </c>
    </row>
    <row r="344" spans="3:34">
      <c r="C344" s="307">
        <f t="shared" si="62"/>
        <v>3</v>
      </c>
      <c r="AH344" s="341" t="e">
        <f t="shared" ca="1" si="63"/>
        <v>#VALUE!</v>
      </c>
    </row>
    <row r="345" spans="3:34">
      <c r="C345" s="307">
        <f t="shared" si="62"/>
        <v>4</v>
      </c>
      <c r="AH345" s="341" t="e">
        <f t="shared" ca="1" si="63"/>
        <v>#VALUE!</v>
      </c>
    </row>
    <row r="346" spans="3:34">
      <c r="C346" s="307">
        <f t="shared" si="62"/>
        <v>5</v>
      </c>
      <c r="AH346" s="341" t="e">
        <f t="shared" ca="1" si="63"/>
        <v>#VALUE!</v>
      </c>
    </row>
    <row r="347" spans="3:34">
      <c r="C347" s="307">
        <f t="shared" si="62"/>
        <v>6</v>
      </c>
      <c r="AH347" s="341" t="e">
        <f t="shared" ca="1" si="63"/>
        <v>#VALUE!</v>
      </c>
    </row>
    <row r="348" spans="3:34">
      <c r="C348" s="307">
        <f t="shared" si="62"/>
        <v>7</v>
      </c>
      <c r="AH348" s="341" t="e">
        <f t="shared" ca="1" si="63"/>
        <v>#VALUE!</v>
      </c>
    </row>
    <row r="349" spans="3:34">
      <c r="C349" s="307">
        <f t="shared" si="62"/>
        <v>8</v>
      </c>
      <c r="AH349" s="341" t="e">
        <f t="shared" ca="1" si="63"/>
        <v>#VALUE!</v>
      </c>
    </row>
    <row r="350" spans="3:34">
      <c r="C350" s="307">
        <f t="shared" si="62"/>
        <v>9</v>
      </c>
      <c r="AH350" s="341" t="e">
        <f t="shared" ca="1" si="63"/>
        <v>#VALUE!</v>
      </c>
    </row>
    <row r="351" spans="3:34">
      <c r="C351" s="307">
        <f t="shared" si="62"/>
        <v>10</v>
      </c>
      <c r="AH351" s="341" t="e">
        <f t="shared" ca="1" si="63"/>
        <v>#VALUE!</v>
      </c>
    </row>
    <row r="352" spans="3:34">
      <c r="C352" s="307">
        <f t="shared" si="62"/>
        <v>11</v>
      </c>
      <c r="AH352" s="341" t="e">
        <f t="shared" ca="1" si="63"/>
        <v>#VALUE!</v>
      </c>
    </row>
    <row r="353" spans="3:34">
      <c r="C353" s="307">
        <f t="shared" si="62"/>
        <v>12</v>
      </c>
      <c r="AH353" s="341" t="e">
        <f t="shared" ca="1" si="63"/>
        <v>#VALUE!</v>
      </c>
    </row>
    <row r="354" spans="3:34">
      <c r="C354" s="307">
        <f t="shared" si="62"/>
        <v>13</v>
      </c>
      <c r="AH354" s="341" t="e">
        <f t="shared" ca="1" si="63"/>
        <v>#VALUE!</v>
      </c>
    </row>
    <row r="355" spans="3:34">
      <c r="C355" s="307">
        <f t="shared" si="62"/>
        <v>14</v>
      </c>
      <c r="AH355" s="341" t="e">
        <f t="shared" ca="1" si="63"/>
        <v>#VALUE!</v>
      </c>
    </row>
    <row r="356" spans="3:34">
      <c r="C356" s="307">
        <f t="shared" si="62"/>
        <v>15</v>
      </c>
      <c r="AH356" s="341" t="e">
        <f t="shared" ca="1" si="63"/>
        <v>#VALUE!</v>
      </c>
    </row>
    <row r="357" spans="3:34">
      <c r="C357" s="307">
        <f t="shared" si="62"/>
        <v>16</v>
      </c>
      <c r="AH357" s="341" t="e">
        <f t="shared" ca="1" si="63"/>
        <v>#VALUE!</v>
      </c>
    </row>
    <row r="358" spans="3:34">
      <c r="C358" s="307">
        <f t="shared" si="62"/>
        <v>17</v>
      </c>
      <c r="AH358" s="341" t="e">
        <f t="shared" ca="1" si="63"/>
        <v>#VALUE!</v>
      </c>
    </row>
    <row r="359" spans="3:34">
      <c r="C359" s="307">
        <f t="shared" si="62"/>
        <v>18</v>
      </c>
      <c r="AH359" s="341" t="e">
        <f t="shared" ca="1" si="63"/>
        <v>#VALUE!</v>
      </c>
    </row>
    <row r="360" spans="3:34">
      <c r="C360" s="307">
        <f t="shared" si="62"/>
        <v>19</v>
      </c>
      <c r="AH360" s="341" t="e">
        <f t="shared" ca="1" si="63"/>
        <v>#VALUE!</v>
      </c>
    </row>
    <row r="361" spans="3:34">
      <c r="C361" s="307">
        <f t="shared" si="62"/>
        <v>20</v>
      </c>
      <c r="AH361" s="341" t="e">
        <f t="shared" ca="1" si="63"/>
        <v>#VALUE!</v>
      </c>
    </row>
    <row r="362" spans="3:34">
      <c r="C362" s="307">
        <f t="shared" si="62"/>
        <v>21</v>
      </c>
      <c r="AH362" s="341" t="e">
        <f t="shared" ca="1" si="63"/>
        <v>#VALUE!</v>
      </c>
    </row>
    <row r="363" spans="3:34">
      <c r="C363" s="307">
        <f t="shared" si="62"/>
        <v>22</v>
      </c>
      <c r="AH363" s="341" t="e">
        <f t="shared" ca="1" si="63"/>
        <v>#VALUE!</v>
      </c>
    </row>
    <row r="364" spans="3:34">
      <c r="C364" s="307">
        <f t="shared" si="62"/>
        <v>23</v>
      </c>
      <c r="AH364" s="341" t="e">
        <f t="shared" ca="1" si="63"/>
        <v>#VALUE!</v>
      </c>
    </row>
    <row r="365" spans="3:34">
      <c r="C365" s="307">
        <f t="shared" si="62"/>
        <v>24</v>
      </c>
      <c r="AH365" s="341" t="e">
        <f t="shared" ca="1" si="63"/>
        <v>#VALUE!</v>
      </c>
    </row>
    <row r="366" spans="3:34">
      <c r="C366" s="307">
        <f t="shared" si="62"/>
        <v>25</v>
      </c>
      <c r="AH366" s="341" t="e">
        <f t="shared" ca="1" si="63"/>
        <v>#VALUE!</v>
      </c>
    </row>
    <row r="367" spans="3:34">
      <c r="C367" s="307">
        <f t="shared" si="62"/>
        <v>26</v>
      </c>
      <c r="AH367" s="341" t="e">
        <f t="shared" ca="1" si="63"/>
        <v>#VALUE!</v>
      </c>
    </row>
    <row r="368" spans="3:34">
      <c r="C368" s="307">
        <f t="shared" si="62"/>
        <v>27</v>
      </c>
      <c r="AH368" s="341" t="e">
        <f t="shared" ca="1" si="63"/>
        <v>#VALUE!</v>
      </c>
    </row>
    <row r="369" spans="3:34">
      <c r="C369" s="307">
        <f t="shared" si="62"/>
        <v>28</v>
      </c>
      <c r="AH369" s="341" t="e">
        <f t="shared" ca="1" si="63"/>
        <v>#VALUE!</v>
      </c>
    </row>
    <row r="370" spans="3:34">
      <c r="C370" s="307">
        <f t="shared" si="62"/>
        <v>29</v>
      </c>
      <c r="AH370" s="341" t="e">
        <f t="shared" ca="1" si="63"/>
        <v>#VALUE!</v>
      </c>
    </row>
    <row r="371" spans="3:34">
      <c r="C371" s="307">
        <f t="shared" si="62"/>
        <v>30</v>
      </c>
      <c r="AH371" s="341" t="e">
        <f t="shared" ca="1" si="63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AFCB9-77F9-4D50-9503-3CD2BCC92942}">
  <sheetPr>
    <tabColor rgb="FF00FF00"/>
  </sheetPr>
  <dimension ref="A2:AJ66"/>
  <sheetViews>
    <sheetView showGridLines="0" zoomScale="70" zoomScaleNormal="70" workbookViewId="0">
      <selection activeCell="K50" sqref="K50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887</v>
      </c>
      <c r="D2" s="1238" t="s">
        <v>713</v>
      </c>
    </row>
    <row r="3" spans="1:33" ht="23.25">
      <c r="B3" s="1236" t="s">
        <v>910</v>
      </c>
      <c r="D3" s="1239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112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1">
        <f t="shared" si="0"/>
        <v>4027205.9550725189</v>
      </c>
      <c r="L9" s="1211">
        <f t="shared" si="0"/>
        <v>4124118.0901507465</v>
      </c>
      <c r="M9" s="1211">
        <f t="shared" si="0"/>
        <v>4170964.8744247556</v>
      </c>
      <c r="N9" s="1211">
        <f t="shared" si="0"/>
        <v>4402490.2622629525</v>
      </c>
      <c r="O9" s="1211">
        <f t="shared" si="0"/>
        <v>4657815.8042718703</v>
      </c>
      <c r="P9" s="1211">
        <f t="shared" si="0"/>
        <v>4672249.2421313887</v>
      </c>
      <c r="Q9" s="1211">
        <f t="shared" si="0"/>
        <v>4922318.6999909086</v>
      </c>
      <c r="R9" s="1211">
        <f t="shared" si="0"/>
        <v>4948525.2363621332</v>
      </c>
      <c r="S9" s="1211">
        <f t="shared" si="0"/>
        <v>4737186.3312450647</v>
      </c>
      <c r="T9" s="1211">
        <f t="shared" si="0"/>
        <v>4696281.1461279979</v>
      </c>
      <c r="U9" s="1211">
        <f t="shared" si="0"/>
        <v>4701869.9610109283</v>
      </c>
      <c r="V9" s="1211">
        <f t="shared" si="0"/>
        <v>4706899.8944055689</v>
      </c>
      <c r="W9" s="1211">
        <f t="shared" si="0"/>
        <v>4713047.5907767965</v>
      </c>
      <c r="X9" s="1211">
        <f t="shared" si="0"/>
        <v>4719195.2871480193</v>
      </c>
      <c r="Y9" s="1211">
        <f t="shared" si="0"/>
        <v>4723666.3390543666</v>
      </c>
      <c r="Z9" s="1211">
        <f t="shared" si="0"/>
        <v>4728137.390960712</v>
      </c>
      <c r="AA9" s="1211">
        <f t="shared" si="0"/>
        <v>4732608.4428670583</v>
      </c>
      <c r="AB9" s="1211">
        <f t="shared" si="0"/>
        <v>4738197.2577499906</v>
      </c>
      <c r="AC9" s="1211">
        <f t="shared" si="0"/>
        <v>4743786.0726329209</v>
      </c>
      <c r="AD9" s="1211">
        <f t="shared" si="0"/>
        <v>4748816.0060275607</v>
      </c>
      <c r="AE9" s="1211">
        <f t="shared" si="0"/>
        <v>4754404.8209104948</v>
      </c>
      <c r="AF9" s="1211">
        <f t="shared" si="0"/>
        <v>4758316.9913285477</v>
      </c>
      <c r="AG9" s="1213">
        <f t="shared" ref="AG9:AG17" si="1">SUM(C9:AF9)</f>
        <v>126773298.44508676</v>
      </c>
    </row>
    <row r="10" spans="1:33" ht="20.25" customHeight="1">
      <c r="B10" s="1143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14">
        <f>(1+$D$3)*'R1 DRE'!K5</f>
        <v>2236337.5618390017</v>
      </c>
      <c r="L10" s="1214">
        <f>(1+$D$3)*'R1 DRE'!L5</f>
        <v>2231422.6329661855</v>
      </c>
      <c r="M10" s="1214">
        <f>(1+$D$3)*'R1 DRE'!M5</f>
        <v>2230697.1871795147</v>
      </c>
      <c r="N10" s="1214">
        <f>(1+$D$3)*'R1 DRE'!N5</f>
        <v>2231802.0443904921</v>
      </c>
      <c r="O10" s="1214">
        <f>(1+$D$3)*'R1 DRE'!O5</f>
        <v>2230786.8367805546</v>
      </c>
      <c r="P10" s="1214">
        <f>(1+$D$3)*'R1 DRE'!P5</f>
        <v>2233993.5260524</v>
      </c>
      <c r="Q10" s="1214">
        <f>(1+$D$3)*'R1 DRE'!Q5</f>
        <v>2237200.2153242463</v>
      </c>
      <c r="R10" s="1214">
        <f>(1+$D$3)*'R1 DRE'!R5</f>
        <v>2240139.680490104</v>
      </c>
      <c r="S10" s="1214">
        <f>(1+$D$3)*'R1 DRE'!S5</f>
        <v>2242811.9215499754</v>
      </c>
      <c r="T10" s="1214">
        <f>(1+$D$3)*'R1 DRE'!T5</f>
        <v>2245484.1626098468</v>
      </c>
      <c r="U10" s="1214">
        <f>(1+$D$3)*'R1 DRE'!U5</f>
        <v>2248156.4036697173</v>
      </c>
      <c r="V10" s="1214">
        <f>(1+$D$3)*'R1 DRE'!V5</f>
        <v>2250561.4206236023</v>
      </c>
      <c r="W10" s="1214">
        <f>(1+$D$3)*'R1 DRE'!W5</f>
        <v>2253500.8857894614</v>
      </c>
      <c r="X10" s="1214">
        <f>(1+$D$3)*'R1 DRE'!X5</f>
        <v>2256440.3509553187</v>
      </c>
      <c r="Y10" s="1214">
        <f>(1+$D$3)*'R1 DRE'!Y5</f>
        <v>2258578.1438032161</v>
      </c>
      <c r="Z10" s="1214">
        <f>(1+$D$3)*'R1 DRE'!Z5</f>
        <v>2260715.9366511134</v>
      </c>
      <c r="AA10" s="1214">
        <f>(1+$D$3)*'R1 DRE'!AA5</f>
        <v>2262853.7294990104</v>
      </c>
      <c r="AB10" s="1214">
        <f>(1+$D$3)*'R1 DRE'!AB5</f>
        <v>2265525.9705588818</v>
      </c>
      <c r="AC10" s="1214">
        <f>(1+$D$3)*'R1 DRE'!AC5</f>
        <v>2268198.2116187527</v>
      </c>
      <c r="AD10" s="1214">
        <f>(1+$D$3)*'R1 DRE'!AD5</f>
        <v>2270603.2285726368</v>
      </c>
      <c r="AE10" s="1214">
        <f>(1+$D$3)*'R1 DRE'!AE5</f>
        <v>2273275.4696325082</v>
      </c>
      <c r="AF10" s="1214">
        <f>(1+$D$3)*'R1 DRE'!AF5</f>
        <v>2275146.0383744184</v>
      </c>
      <c r="AG10" s="1213">
        <f t="shared" si="1"/>
        <v>64892129.401891261</v>
      </c>
    </row>
    <row r="11" spans="1:33" ht="20.25" customHeight="1">
      <c r="B11" s="1143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22">
        <f>(1+$D$3)*('R1 DRE'!K6+'E7 Reprog Inv Esg'!B49)</f>
        <v>1750534.7303120072</v>
      </c>
      <c r="L11" s="1222">
        <f>(1+$D$3)*('R1 DRE'!L6+'E7 Reprog Inv Esg'!C49)</f>
        <v>1851422.873717722</v>
      </c>
      <c r="M11" s="1222">
        <f>(1+$D$3)*('R1 DRE'!M6+'E7 Reprog Inv Esg'!D49)</f>
        <v>1897049.8671024216</v>
      </c>
      <c r="N11" s="1222">
        <f>(1+$D$3)*('R1 DRE'!N6+'E7 Reprog Inv Esg'!E49)</f>
        <v>2124518.9089391641</v>
      </c>
      <c r="O11" s="1222">
        <f>(1+$D$3)*('R1 DRE'!O6+'E7 Reprog Inv Esg'!F49)</f>
        <v>2380835.4757658513</v>
      </c>
      <c r="P11" s="1222">
        <f>(1+$D$3)*('R1 DRE'!P6+'E7 Reprog Inv Esg'!G49)</f>
        <v>2391995.8225925392</v>
      </c>
      <c r="Q11" s="1222">
        <f>(1+$D$3)*('R1 DRE'!Q6+'E7 Reprog Inv Esg'!H49)</f>
        <v>2638792.1894192277</v>
      </c>
      <c r="R11" s="1222">
        <f>(1+$D$3)*('R1 DRE'!R6+'E7 Reprog Inv Esg'!I49)</f>
        <v>2661998.3923436906</v>
      </c>
      <c r="S11" s="1222">
        <f>(1+$D$3)*('R1 DRE'!S6+'E7 Reprog Inv Esg'!B63)</f>
        <v>2447931.9113659309</v>
      </c>
      <c r="T11" s="1222">
        <f>(1+$D$3)*('R1 DRE'!T6+'E7 Reprog Inv Esg'!C63)</f>
        <v>2404299.1503881705</v>
      </c>
      <c r="U11" s="1222">
        <f>(1+$D$3)*('R1 DRE'!U6+'E7 Reprog Inv Esg'!D63)</f>
        <v>2407160.3894104101</v>
      </c>
      <c r="V11" s="1222">
        <f>(1+$D$3)*('R1 DRE'!V6+'E7 Reprog Inv Esg'!E63)</f>
        <v>2409735.5045304266</v>
      </c>
      <c r="W11" s="1222">
        <f>(1+$D$3)*('R1 DRE'!W6+'E7 Reprog Inv Esg'!F63)</f>
        <v>2412882.8674548911</v>
      </c>
      <c r="X11" s="1222">
        <f>(1+$D$3)*('R1 DRE'!X6+'E7 Reprog Inv Esg'!G63)</f>
        <v>2416030.2303793547</v>
      </c>
      <c r="Y11" s="1222">
        <f>(1+$D$3)*('R1 DRE'!Y6+'E7 Reprog Inv Esg'!H63)</f>
        <v>2418319.2215971467</v>
      </c>
      <c r="Z11" s="1222">
        <f>(1+$D$3)*('R1 DRE'!Z6+'E7 Reprog Inv Esg'!I63)</f>
        <v>2420608.2128149383</v>
      </c>
      <c r="AA11" s="1222">
        <f>(1+$D$3)*('R1 DRE'!AA6+'E7 Reprog Inv Esg'!B77)</f>
        <v>2422897.2040327298</v>
      </c>
      <c r="AB11" s="1222">
        <f>(1+$D$3)*('R1 DRE'!AB6+'E7 Reprog Inv Esg'!C77)</f>
        <v>2425758.4430549708</v>
      </c>
      <c r="AC11" s="1222">
        <f>(1+$D$3)*('R1 DRE'!AC6+'E7 Reprog Inv Esg'!D77)</f>
        <v>2428619.6820772095</v>
      </c>
      <c r="AD11" s="1222">
        <f>(1+$D$3)*('R1 DRE'!AD6+'E7 Reprog Inv Esg'!E77)</f>
        <v>2431194.7971972255</v>
      </c>
      <c r="AE11" s="1222">
        <f>(1+$D$3)*('R1 DRE'!AE6+'E7 Reprog Inv Esg'!F77)</f>
        <v>2434056.036219466</v>
      </c>
      <c r="AF11" s="1222">
        <f>(1+$D$3)*('R1 DRE'!AF6+'E7 Reprog Inv Esg'!G77)</f>
        <v>2436058.903535034</v>
      </c>
      <c r="AG11" s="1213">
        <f t="shared" si="1"/>
        <v>60577191.249674059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14">
        <f>(1+$D$3)*'R1 DRE'!K7</f>
        <v>40333.662921510091</v>
      </c>
      <c r="L12" s="1214">
        <f>(1+$D$3)*'R1 DRE'!L7</f>
        <v>41272.583466839074</v>
      </c>
      <c r="M12" s="1214">
        <f>(1+$D$3)*'R1 DRE'!M7</f>
        <v>43217.820142819364</v>
      </c>
      <c r="N12" s="1214">
        <f>(1+$D$3)*'R1 DRE'!N7</f>
        <v>46169.308933296561</v>
      </c>
      <c r="O12" s="1214">
        <f>(1+$D$3)*'R1 DRE'!O7</f>
        <v>46193.491725464053</v>
      </c>
      <c r="P12" s="1214">
        <f>(1+$D$3)*'R1 DRE'!P7</f>
        <v>46259.893486449393</v>
      </c>
      <c r="Q12" s="1214">
        <f>(1+$D$3)*'R1 DRE'!Q7</f>
        <v>46326.29524743474</v>
      </c>
      <c r="R12" s="1214">
        <f>(1+$D$3)*'R1 DRE'!R7</f>
        <v>46387.163528337944</v>
      </c>
      <c r="S12" s="1214">
        <f>(1+$D$3)*'R1 DRE'!S7</f>
        <v>46442.498329159062</v>
      </c>
      <c r="T12" s="1214">
        <f>(1+$D$3)*'R1 DRE'!T7</f>
        <v>46497.833129980172</v>
      </c>
      <c r="U12" s="1214">
        <f>(1+$D$3)*'R1 DRE'!U7</f>
        <v>46553.167930801268</v>
      </c>
      <c r="V12" s="1214">
        <f>(1+$D$3)*'R1 DRE'!V7</f>
        <v>46602.969251540286</v>
      </c>
      <c r="W12" s="1214">
        <f>(1+$D$3)*'R1 DRE'!W7</f>
        <v>46663.837532443526</v>
      </c>
      <c r="X12" s="1214">
        <f>(1+$D$3)*'R1 DRE'!X7</f>
        <v>46724.705813346729</v>
      </c>
      <c r="Y12" s="1214">
        <f>(1+$D$3)*'R1 DRE'!Y7</f>
        <v>46768.973654003632</v>
      </c>
      <c r="Z12" s="1214">
        <f>(1+$D$3)*'R1 DRE'!Z7</f>
        <v>46813.24149466052</v>
      </c>
      <c r="AA12" s="1214">
        <f>(1+$D$3)*'R1 DRE'!AA7</f>
        <v>46857.509335317409</v>
      </c>
      <c r="AB12" s="1214">
        <f>(1+$D$3)*'R1 DRE'!AB7</f>
        <v>46912.844136138519</v>
      </c>
      <c r="AC12" s="1214">
        <f>(1+$D$3)*'R1 DRE'!AC7</f>
        <v>46968.178936959615</v>
      </c>
      <c r="AD12" s="1214">
        <f>(1+$D$3)*'R1 DRE'!AD7</f>
        <v>47017.980257698626</v>
      </c>
      <c r="AE12" s="1214">
        <f>(1+$D$3)*'R1 DRE'!AE7</f>
        <v>47073.315058519751</v>
      </c>
      <c r="AF12" s="1214">
        <f>(1+$D$3)*'R1 DRE'!AF7</f>
        <v>47112.049419094532</v>
      </c>
      <c r="AG12" s="1213">
        <f t="shared" si="1"/>
        <v>1303977.793521415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2">-SUM(D14:D15)</f>
        <v>-234617.19486967311</v>
      </c>
      <c r="E13" s="1212">
        <f t="shared" si="2"/>
        <v>-255067.11447188459</v>
      </c>
      <c r="F13" s="1212">
        <f t="shared" si="2"/>
        <v>-266470.53804765607</v>
      </c>
      <c r="G13" s="1212">
        <f t="shared" si="2"/>
        <v>-277240.35544356558</v>
      </c>
      <c r="H13" s="1212">
        <f t="shared" si="2"/>
        <v>-305292.86829691898</v>
      </c>
      <c r="I13" s="1212">
        <f t="shared" si="2"/>
        <v>-343021.62437981495</v>
      </c>
      <c r="J13" s="1212">
        <f t="shared" si="2"/>
        <v>-370742.7283114891</v>
      </c>
      <c r="K13" s="1212">
        <f t="shared" si="2"/>
        <v>-372516.55084420799</v>
      </c>
      <c r="L13" s="1212">
        <f t="shared" si="2"/>
        <v>-381480.92333894403</v>
      </c>
      <c r="M13" s="1212">
        <f t="shared" si="2"/>
        <v>-385814.25088428991</v>
      </c>
      <c r="N13" s="1212">
        <f t="shared" si="2"/>
        <v>-407230.34925932309</v>
      </c>
      <c r="O13" s="1212">
        <f t="shared" si="2"/>
        <v>-430847.96189514798</v>
      </c>
      <c r="P13" s="1212">
        <f t="shared" si="2"/>
        <v>-432183.05489715346</v>
      </c>
      <c r="Q13" s="1212">
        <f t="shared" si="2"/>
        <v>-455314.47974915907</v>
      </c>
      <c r="R13" s="1212">
        <f t="shared" si="2"/>
        <v>-457738.58436349733</v>
      </c>
      <c r="S13" s="1212">
        <f t="shared" si="2"/>
        <v>-438189.73564016848</v>
      </c>
      <c r="T13" s="1212">
        <f t="shared" si="2"/>
        <v>-434406.00601683982</v>
      </c>
      <c r="U13" s="1212">
        <f t="shared" si="2"/>
        <v>-434922.97139351082</v>
      </c>
      <c r="V13" s="1212">
        <f t="shared" si="2"/>
        <v>-435388.24023251515</v>
      </c>
      <c r="W13" s="1212">
        <f t="shared" si="2"/>
        <v>-435956.90214685362</v>
      </c>
      <c r="X13" s="1212">
        <f t="shared" si="2"/>
        <v>-436525.56406119181</v>
      </c>
      <c r="Y13" s="1212">
        <f t="shared" si="2"/>
        <v>-436939.13636252889</v>
      </c>
      <c r="Z13" s="1212">
        <f t="shared" si="2"/>
        <v>-437352.70866386587</v>
      </c>
      <c r="AA13" s="1212">
        <f t="shared" si="2"/>
        <v>-437766.2809652029</v>
      </c>
      <c r="AB13" s="1212">
        <f t="shared" si="2"/>
        <v>-438283.24634187412</v>
      </c>
      <c r="AC13" s="1212">
        <f t="shared" si="2"/>
        <v>-438800.21171854518</v>
      </c>
      <c r="AD13" s="1212">
        <f t="shared" si="2"/>
        <v>-439265.48055754934</v>
      </c>
      <c r="AE13" s="1212">
        <f t="shared" si="2"/>
        <v>-439782.4459342208</v>
      </c>
      <c r="AF13" s="1212">
        <f t="shared" si="2"/>
        <v>-440144.32169789064</v>
      </c>
      <c r="AG13" s="1213">
        <f t="shared" si="1"/>
        <v>-11678723.795826204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3">0.076*G9</f>
        <v>227786.67041849715</v>
      </c>
      <c r="H14" s="1214">
        <f t="shared" si="3"/>
        <v>250835.22151963072</v>
      </c>
      <c r="I14" s="1214">
        <f t="shared" si="3"/>
        <v>281833.98327422631</v>
      </c>
      <c r="J14" s="1214">
        <f t="shared" si="3"/>
        <v>304610.24163970997</v>
      </c>
      <c r="K14" s="1214">
        <f t="shared" si="3"/>
        <v>306067.65258551145</v>
      </c>
      <c r="L14" s="1214">
        <f t="shared" si="3"/>
        <v>313432.9748514567</v>
      </c>
      <c r="M14" s="1214">
        <f t="shared" si="3"/>
        <v>316993.33045628143</v>
      </c>
      <c r="N14" s="1214">
        <f t="shared" si="3"/>
        <v>334589.25993198436</v>
      </c>
      <c r="O14" s="1214">
        <f t="shared" si="3"/>
        <v>353994.00112466211</v>
      </c>
      <c r="P14" s="1214">
        <f t="shared" si="3"/>
        <v>355090.94240198552</v>
      </c>
      <c r="Q14" s="1214">
        <f t="shared" si="3"/>
        <v>374096.22119930905</v>
      </c>
      <c r="R14" s="1214">
        <f t="shared" si="3"/>
        <v>376087.91796352214</v>
      </c>
      <c r="S14" s="1214">
        <f t="shared" si="3"/>
        <v>360026.16117462493</v>
      </c>
      <c r="T14" s="1214">
        <f t="shared" si="3"/>
        <v>356917.36710572784</v>
      </c>
      <c r="U14" s="1214">
        <f t="shared" si="3"/>
        <v>357342.11703683052</v>
      </c>
      <c r="V14" s="1214">
        <f t="shared" si="3"/>
        <v>357724.39197482326</v>
      </c>
      <c r="W14" s="1214">
        <f t="shared" si="3"/>
        <v>358191.61689903651</v>
      </c>
      <c r="X14" s="1214">
        <f t="shared" si="3"/>
        <v>358658.84182324947</v>
      </c>
      <c r="Y14" s="1214">
        <f t="shared" si="3"/>
        <v>358998.64176813187</v>
      </c>
      <c r="Z14" s="1214">
        <f t="shared" si="3"/>
        <v>359338.44171301409</v>
      </c>
      <c r="AA14" s="1214">
        <f t="shared" si="3"/>
        <v>359678.24165789643</v>
      </c>
      <c r="AB14" s="1214">
        <f t="shared" si="3"/>
        <v>360102.99158899928</v>
      </c>
      <c r="AC14" s="1214">
        <f t="shared" si="3"/>
        <v>360527.74152010196</v>
      </c>
      <c r="AD14" s="1214">
        <f t="shared" si="3"/>
        <v>360910.01645809459</v>
      </c>
      <c r="AE14" s="1214">
        <f t="shared" si="3"/>
        <v>361334.76638919761</v>
      </c>
      <c r="AF14" s="1214">
        <f t="shared" si="3"/>
        <v>361632.09134096961</v>
      </c>
      <c r="AG14" s="1213">
        <f t="shared" si="1"/>
        <v>9595500.0624899883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4">0.0165*G9</f>
        <v>49453.685025068458</v>
      </c>
      <c r="H15" s="1214">
        <f t="shared" si="4"/>
        <v>54457.646777288253</v>
      </c>
      <c r="I15" s="1214">
        <f t="shared" si="4"/>
        <v>61187.641105588613</v>
      </c>
      <c r="J15" s="1214">
        <f t="shared" si="4"/>
        <v>66132.486671779145</v>
      </c>
      <c r="K15" s="1214">
        <f t="shared" si="4"/>
        <v>66448.898258696572</v>
      </c>
      <c r="L15" s="1214">
        <f t="shared" si="4"/>
        <v>68047.948487487316</v>
      </c>
      <c r="M15" s="1214">
        <f t="shared" si="4"/>
        <v>68820.920428008467</v>
      </c>
      <c r="N15" s="1214">
        <f t="shared" si="4"/>
        <v>72641.089327338719</v>
      </c>
      <c r="O15" s="1214">
        <f t="shared" si="4"/>
        <v>76853.960770485864</v>
      </c>
      <c r="P15" s="1214">
        <f t="shared" si="4"/>
        <v>77092.112495167923</v>
      </c>
      <c r="Q15" s="1214">
        <f t="shared" si="4"/>
        <v>81218.258549849998</v>
      </c>
      <c r="R15" s="1214">
        <f t="shared" si="4"/>
        <v>81650.666399975205</v>
      </c>
      <c r="S15" s="1214">
        <f t="shared" si="4"/>
        <v>78163.57446554357</v>
      </c>
      <c r="T15" s="1214">
        <f t="shared" si="4"/>
        <v>77488.638911111964</v>
      </c>
      <c r="U15" s="1214">
        <f t="shared" si="4"/>
        <v>77580.854356680313</v>
      </c>
      <c r="V15" s="1214">
        <f t="shared" si="4"/>
        <v>77663.84825769189</v>
      </c>
      <c r="W15" s="1214">
        <f t="shared" si="4"/>
        <v>77765.285247817141</v>
      </c>
      <c r="X15" s="1214">
        <f t="shared" si="4"/>
        <v>77866.722237942318</v>
      </c>
      <c r="Y15" s="1214">
        <f t="shared" si="4"/>
        <v>77940.494594397052</v>
      </c>
      <c r="Z15" s="1214">
        <f t="shared" si="4"/>
        <v>78014.266950851757</v>
      </c>
      <c r="AA15" s="1214">
        <f t="shared" si="4"/>
        <v>78088.039307306462</v>
      </c>
      <c r="AB15" s="1214">
        <f t="shared" si="4"/>
        <v>78180.254752874855</v>
      </c>
      <c r="AC15" s="1214">
        <f t="shared" si="4"/>
        <v>78272.470198443203</v>
      </c>
      <c r="AD15" s="1214">
        <f t="shared" si="4"/>
        <v>78355.464099454752</v>
      </c>
      <c r="AE15" s="1214">
        <f t="shared" si="4"/>
        <v>78447.679545023173</v>
      </c>
      <c r="AF15" s="1214">
        <f t="shared" si="4"/>
        <v>78512.230356921034</v>
      </c>
      <c r="AG15" s="1213">
        <f t="shared" si="1"/>
        <v>2083223.7333362135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1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5">D9+D13+D16</f>
        <v>2348736.4306745757</v>
      </c>
      <c r="E17" s="1212">
        <f t="shared" si="5"/>
        <v>2607846.6711710477</v>
      </c>
      <c r="F17" s="1212">
        <f t="shared" si="5"/>
        <v>2673176.6493209945</v>
      </c>
      <c r="G17" s="1212">
        <f t="shared" si="5"/>
        <v>2744549.5840927921</v>
      </c>
      <c r="H17" s="1212">
        <f t="shared" si="5"/>
        <v>3009978.9826078052</v>
      </c>
      <c r="I17" s="1212">
        <f t="shared" si="5"/>
        <v>3344926.3386004027</v>
      </c>
      <c r="J17" s="1212">
        <f t="shared" si="5"/>
        <v>3622302.386444245</v>
      </c>
      <c r="K17" s="1212">
        <f t="shared" si="5"/>
        <v>3651405.8812376517</v>
      </c>
      <c r="L17" s="1212">
        <f t="shared" si="5"/>
        <v>3737895.6180578913</v>
      </c>
      <c r="M17" s="1212">
        <f t="shared" si="5"/>
        <v>3775327.1783267651</v>
      </c>
      <c r="N17" s="1212">
        <f t="shared" si="5"/>
        <v>3980354.8946117195</v>
      </c>
      <c r="O17" s="1212">
        <f t="shared" si="5"/>
        <v>4226845.7192762764</v>
      </c>
      <c r="P17" s="1212">
        <f t="shared" si="5"/>
        <v>4239730.858341259</v>
      </c>
      <c r="Q17" s="1212">
        <f t="shared" si="5"/>
        <v>4466668.8913487736</v>
      </c>
      <c r="R17" s="1212">
        <f t="shared" si="5"/>
        <v>4490479.2671800749</v>
      </c>
      <c r="S17" s="1212">
        <f t="shared" si="5"/>
        <v>4298717.1548607498</v>
      </c>
      <c r="T17" s="1212">
        <f t="shared" si="5"/>
        <v>4261595.699367011</v>
      </c>
      <c r="U17" s="1212">
        <f t="shared" si="5"/>
        <v>4266667.5488732709</v>
      </c>
      <c r="V17" s="1212">
        <f t="shared" si="5"/>
        <v>4271260.1575033218</v>
      </c>
      <c r="W17" s="1212">
        <f t="shared" si="5"/>
        <v>4276783.3038113816</v>
      </c>
      <c r="X17" s="1212">
        <f t="shared" si="5"/>
        <v>4282362.3382682661</v>
      </c>
      <c r="Y17" s="1212">
        <f t="shared" si="5"/>
        <v>4286503.6500965208</v>
      </c>
      <c r="Z17" s="1212">
        <f t="shared" si="5"/>
        <v>4290561.1297015287</v>
      </c>
      <c r="AA17" s="1212">
        <f t="shared" si="5"/>
        <v>4294618.6093065385</v>
      </c>
      <c r="AB17" s="1212">
        <f t="shared" si="5"/>
        <v>4299634.57066397</v>
      </c>
      <c r="AC17" s="1212">
        <f t="shared" si="5"/>
        <v>4304706.4201702299</v>
      </c>
      <c r="AD17" s="1212">
        <f t="shared" si="5"/>
        <v>4309299.0288002789</v>
      </c>
      <c r="AE17" s="1212">
        <f t="shared" si="5"/>
        <v>4314342.9342321269</v>
      </c>
      <c r="AF17" s="1212">
        <f t="shared" si="5"/>
        <v>4317977.0611097543</v>
      </c>
      <c r="AG17" s="1213">
        <f t="shared" si="1"/>
        <v>114878326.17727934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6">D19+D20</f>
        <v>-369565.70052795502</v>
      </c>
      <c r="E18" s="1212">
        <f t="shared" si="6"/>
        <v>-372990.80023137957</v>
      </c>
      <c r="F18" s="1212">
        <f t="shared" si="6"/>
        <v>-365825.26800000004</v>
      </c>
      <c r="G18" s="1212">
        <f t="shared" si="6"/>
        <v>-364530.62316929037</v>
      </c>
      <c r="H18" s="1212">
        <f t="shared" si="6"/>
        <v>-386664.99739602057</v>
      </c>
      <c r="I18" s="1212">
        <f t="shared" si="6"/>
        <v>-368051.52738592168</v>
      </c>
      <c r="J18" s="1212">
        <f t="shared" si="6"/>
        <v>-369563.79094887548</v>
      </c>
      <c r="K18" s="1212">
        <f t="shared" si="6"/>
        <v>-367528.74257447</v>
      </c>
      <c r="L18" s="1212">
        <f t="shared" si="6"/>
        <v>-355534.52255699545</v>
      </c>
      <c r="M18" s="1212">
        <f t="shared" si="6"/>
        <v>-332508.46000000002</v>
      </c>
      <c r="N18" s="1212">
        <f t="shared" si="6"/>
        <v>-322233.52070234844</v>
      </c>
      <c r="O18" s="1212">
        <f t="shared" si="6"/>
        <v>-361343.41326174879</v>
      </c>
      <c r="P18" s="1212">
        <f t="shared" si="6"/>
        <v>-362583.70954566193</v>
      </c>
      <c r="Q18" s="1212">
        <f t="shared" si="6"/>
        <v>-400223.13751965231</v>
      </c>
      <c r="R18" s="1212">
        <f t="shared" si="6"/>
        <v>-403387.7</v>
      </c>
      <c r="S18" s="1212">
        <f t="shared" si="6"/>
        <v>-369894.66594447545</v>
      </c>
      <c r="T18" s="1212">
        <f t="shared" si="6"/>
        <v>-362751.99800359353</v>
      </c>
      <c r="U18" s="1212">
        <f t="shared" si="6"/>
        <v>-362789.80886980717</v>
      </c>
      <c r="V18" s="1212">
        <f t="shared" si="6"/>
        <v>-362825.60956597811</v>
      </c>
      <c r="W18" s="1212">
        <f t="shared" si="6"/>
        <v>-362857.98</v>
      </c>
      <c r="X18" s="1212">
        <f t="shared" si="6"/>
        <v>-362911.24421609647</v>
      </c>
      <c r="Y18" s="1212">
        <f t="shared" si="6"/>
        <v>-362943.6906476072</v>
      </c>
      <c r="Z18" s="1212">
        <f t="shared" si="6"/>
        <v>-362978.11100334622</v>
      </c>
      <c r="AA18" s="1212">
        <f t="shared" si="6"/>
        <v>-363012.92385767959</v>
      </c>
      <c r="AB18" s="1212">
        <f t="shared" si="6"/>
        <v>-363097.00400000002</v>
      </c>
      <c r="AC18" s="1212">
        <f t="shared" si="6"/>
        <v>-363097.00762754027</v>
      </c>
      <c r="AD18" s="1212">
        <f t="shared" si="6"/>
        <v>-363135.18987865513</v>
      </c>
      <c r="AE18" s="1212">
        <f t="shared" si="6"/>
        <v>-363180.18092086643</v>
      </c>
      <c r="AF18" s="1212">
        <f t="shared" si="6"/>
        <v>-363220.56991323736</v>
      </c>
      <c r="AG18" s="1213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22">
        <f>'R1 DRE'!K14-'E7 Reprog Inv Esg'!B42</f>
        <v>-218509.5</v>
      </c>
      <c r="L19" s="1222">
        <f>'R1 DRE'!L14-'E7 Reprog Inv Esg'!C42</f>
        <v>-218706.9</v>
      </c>
      <c r="M19" s="1222">
        <f>'R1 DRE'!M14-'E7 Reprog Inv Esg'!D42</f>
        <v>-204515.1</v>
      </c>
      <c r="N19" s="1222">
        <f>'R1 DRE'!N14-'E7 Reprog Inv Esg'!E42</f>
        <v>-198200.4</v>
      </c>
      <c r="O19" s="1222">
        <f>'R1 DRE'!O14-'E7 Reprog Inv Esg'!F42</f>
        <v>-222186.6</v>
      </c>
      <c r="P19" s="1222">
        <f>'R1 DRE'!P14-'E7 Reprog Inv Esg'!G42</f>
        <v>-222919.5</v>
      </c>
      <c r="Q19" s="1222">
        <f>'R1 DRE'!Q14-'E7 Reprog Inv Esg'!H42</f>
        <v>-246002.7</v>
      </c>
      <c r="R19" s="1222">
        <f>'R1 DRE'!R14-'E7 Reprog Inv Esg'!I42</f>
        <v>-247905.3</v>
      </c>
      <c r="S19" s="1222">
        <f>'R1 DRE'!S14-'E7 Reprog Inv Esg'!B56</f>
        <v>-227329.5</v>
      </c>
      <c r="T19" s="1222">
        <f>'R1 DRE'!T14-'E7 Reprog Inv Esg'!C56</f>
        <v>-222919.5</v>
      </c>
      <c r="U19" s="1222">
        <f>'R1 DRE'!U14-'E7 Reprog Inv Esg'!D56</f>
        <v>-222919.5</v>
      </c>
      <c r="V19" s="1222">
        <f>'R1 DRE'!V14-'E7 Reprog Inv Esg'!E56</f>
        <v>-222919.5</v>
      </c>
      <c r="W19" s="1222">
        <f>'R1 DRE'!W14-'E7 Reprog Inv Esg'!F56</f>
        <v>-222919.5</v>
      </c>
      <c r="X19" s="1222">
        <f>'R1 DRE'!X14-'E7 Reprog Inv Esg'!G56</f>
        <v>-222919.5</v>
      </c>
      <c r="Y19" s="1222">
        <f>'R1 DRE'!Y14-'E7 Reprog Inv Esg'!H56</f>
        <v>-222919.5</v>
      </c>
      <c r="Z19" s="1222">
        <f>'R1 DRE'!Z14-'E7 Reprog Inv Esg'!I56</f>
        <v>-222919.5</v>
      </c>
      <c r="AA19" s="1222">
        <f>'R1 DRE'!AA14-'E7 Reprog Inv Esg'!B70</f>
        <v>-222919.5</v>
      </c>
      <c r="AB19" s="1222">
        <f>'R1 DRE'!AB14-'E7 Reprog Inv Esg'!C70</f>
        <v>-222919.5</v>
      </c>
      <c r="AC19" s="1222">
        <f>'R1 DRE'!AC14-'E7 Reprog Inv Esg'!D70</f>
        <v>-222919.5</v>
      </c>
      <c r="AD19" s="1222">
        <f>'R1 DRE'!AD14-'E7 Reprog Inv Esg'!E70</f>
        <v>-222919.5</v>
      </c>
      <c r="AE19" s="1222">
        <f>'R1 DRE'!AE14-'E7 Reprog Inv Esg'!F70</f>
        <v>-222919.5</v>
      </c>
      <c r="AF19" s="1222">
        <f>'R1 DRE'!AF14-'E7 Reprog Inv Esg'!G70</f>
        <v>-222919.5</v>
      </c>
      <c r="AG19" s="1215">
        <f t="shared" si="7"/>
        <v>-6687585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22">
        <f>'R1 DRE'!K15-'E7 Reprog Inv Esg'!B43</f>
        <v>-149019.24257447</v>
      </c>
      <c r="L20" s="1222">
        <f>'R1 DRE'!L15-'E7 Reprog Inv Esg'!C43</f>
        <v>-136827.62255699545</v>
      </c>
      <c r="M20" s="1222">
        <f>'R1 DRE'!M15-'E7 Reprog Inv Esg'!D43</f>
        <v>-127993.36</v>
      </c>
      <c r="N20" s="1222">
        <f>'R1 DRE'!N15-'E7 Reprog Inv Esg'!E43</f>
        <v>-124033.12070234847</v>
      </c>
      <c r="O20" s="1222">
        <f>'R1 DRE'!O15-'E7 Reprog Inv Esg'!F43</f>
        <v>-139156.81326174879</v>
      </c>
      <c r="P20" s="1222">
        <f>'R1 DRE'!P15-'E7 Reprog Inv Esg'!G43</f>
        <v>-139664.20954566196</v>
      </c>
      <c r="Q20" s="1222">
        <f>'R1 DRE'!Q15-'E7 Reprog Inv Esg'!H43</f>
        <v>-154220.4375196523</v>
      </c>
      <c r="R20" s="1222">
        <f>'R1 DRE'!R15-'E7 Reprog Inv Esg'!I43</f>
        <v>-155482.40000000002</v>
      </c>
      <c r="S20" s="1222">
        <f>'R1 DRE'!S15-'E7 Reprog Inv Esg'!B57</f>
        <v>-142565.16594447548</v>
      </c>
      <c r="T20" s="1222">
        <f>'R1 DRE'!T15-'E7 Reprog Inv Esg'!C57</f>
        <v>-139832.49800359353</v>
      </c>
      <c r="U20" s="1222">
        <f>'R1 DRE'!U15-'E7 Reprog Inv Esg'!D57</f>
        <v>-139870.30886980714</v>
      </c>
      <c r="V20" s="1222">
        <f>'R1 DRE'!V15-'E7 Reprog Inv Esg'!E57</f>
        <v>-139906.10956597811</v>
      </c>
      <c r="W20" s="1222">
        <f>'R1 DRE'!W15-'E7 Reprog Inv Esg'!F57</f>
        <v>-139938.48000000001</v>
      </c>
      <c r="X20" s="1222">
        <f>'R1 DRE'!X15-'E7 Reprog Inv Esg'!G57</f>
        <v>-139991.74421609644</v>
      </c>
      <c r="Y20" s="1222">
        <f>'R1 DRE'!Y15-'E7 Reprog Inv Esg'!H57</f>
        <v>-140024.19064760717</v>
      </c>
      <c r="Z20" s="1222">
        <f>'R1 DRE'!Z15-'E7 Reprog Inv Esg'!I57</f>
        <v>-140058.61100334622</v>
      </c>
      <c r="AA20" s="1222">
        <f>'R1 DRE'!AA15-'E7 Reprog Inv Esg'!B71</f>
        <v>-140093.42385767962</v>
      </c>
      <c r="AB20" s="1222">
        <f>'R1 DRE'!AB15-'E7 Reprog Inv Esg'!C71</f>
        <v>-140177.50400000002</v>
      </c>
      <c r="AC20" s="1222">
        <f>'R1 DRE'!AC15-'E7 Reprog Inv Esg'!D71</f>
        <v>-140177.5076275403</v>
      </c>
      <c r="AD20" s="1222">
        <f>'R1 DRE'!AD15-'E7 Reprog Inv Esg'!E71</f>
        <v>-140215.68987865516</v>
      </c>
      <c r="AE20" s="1222">
        <f>'R1 DRE'!AE15-'E7 Reprog Inv Esg'!F71</f>
        <v>-140260.68092086641</v>
      </c>
      <c r="AF20" s="1222">
        <f>'R1 DRE'!AF15-'E7 Reprog Inv Esg'!G71</f>
        <v>-140301.06991323733</v>
      </c>
      <c r="AG20" s="1215">
        <f t="shared" si="7"/>
        <v>-4365715.761531244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8">D22+D23+D24+D25</f>
        <v>-1230326.5123160521</v>
      </c>
      <c r="E21" s="1212">
        <f t="shared" si="8"/>
        <v>-1446948.7737891045</v>
      </c>
      <c r="F21" s="1212">
        <f t="shared" si="8"/>
        <v>-1394729.7694170631</v>
      </c>
      <c r="G21" s="1212">
        <f t="shared" si="8"/>
        <v>-1372431.1735002932</v>
      </c>
      <c r="H21" s="1212">
        <f t="shared" si="8"/>
        <v>-1372166.094364627</v>
      </c>
      <c r="I21" s="1212">
        <f t="shared" si="8"/>
        <v>-1366336.9765073925</v>
      </c>
      <c r="J21" s="1212">
        <f t="shared" si="8"/>
        <v>-1415767.7581980655</v>
      </c>
      <c r="K21" s="1212">
        <f t="shared" si="8"/>
        <v>-1410033.6579406383</v>
      </c>
      <c r="L21" s="1212">
        <f t="shared" si="8"/>
        <v>-1432137.187200658</v>
      </c>
      <c r="M21" s="1212">
        <f t="shared" si="8"/>
        <v>-1340404.0063060189</v>
      </c>
      <c r="N21" s="1212">
        <f t="shared" si="8"/>
        <v>-1300312.2235940488</v>
      </c>
      <c r="O21" s="1212">
        <f t="shared" si="8"/>
        <v>-1458042.5767342837</v>
      </c>
      <c r="P21" s="1212">
        <f t="shared" si="8"/>
        <v>-1463629.9098745186</v>
      </c>
      <c r="Q21" s="1212">
        <f t="shared" si="8"/>
        <v>-1615452.0630147536</v>
      </c>
      <c r="R21" s="1212">
        <f t="shared" si="8"/>
        <v>-1628552.4027858539</v>
      </c>
      <c r="S21" s="1212">
        <f t="shared" si="8"/>
        <v>-1494573.7318946985</v>
      </c>
      <c r="T21" s="1212">
        <f t="shared" si="8"/>
        <v>-1466364.5052424648</v>
      </c>
      <c r="U21" s="1212">
        <f t="shared" si="8"/>
        <v>-1467109.2785902307</v>
      </c>
      <c r="V21" s="1212">
        <f t="shared" si="8"/>
        <v>-1467754.0519379969</v>
      </c>
      <c r="W21" s="1212">
        <f t="shared" si="8"/>
        <v>-1468528.6735217113</v>
      </c>
      <c r="X21" s="1212">
        <f t="shared" si="8"/>
        <v>-1469110.8389274431</v>
      </c>
      <c r="Y21" s="1212">
        <f t="shared" si="8"/>
        <v>-1469661.4495864294</v>
      </c>
      <c r="Z21" s="1212">
        <f t="shared" si="8"/>
        <v>-1470212.0602454157</v>
      </c>
      <c r="AA21" s="1212">
        <f t="shared" si="8"/>
        <v>-1470762.6709044017</v>
      </c>
      <c r="AB21" s="1212">
        <f t="shared" si="8"/>
        <v>-1471525.5055295818</v>
      </c>
      <c r="AC21" s="1212">
        <f t="shared" si="8"/>
        <v>-1472131.1268811177</v>
      </c>
      <c r="AD21" s="1212">
        <f t="shared" si="8"/>
        <v>-1472720.3189069431</v>
      </c>
      <c r="AE21" s="1212">
        <f t="shared" si="8"/>
        <v>-1473335.4033433762</v>
      </c>
      <c r="AF21" s="1212">
        <f t="shared" si="8"/>
        <v>-1473706.477100356</v>
      </c>
      <c r="AG21" s="1213">
        <f t="shared" si="7"/>
        <v>-42912486.362427264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22">
        <f>'R1 DRE'!K17-'E7 Reprog Inv Esg'!B44</f>
        <v>-473710.18706838228</v>
      </c>
      <c r="L22" s="1222">
        <f>'R1 DRE'!L17-'E7 Reprog Inv Esg'!C44</f>
        <v>-480174.88199934782</v>
      </c>
      <c r="M22" s="1222">
        <f>'R1 DRE'!M17-'E7 Reprog Inv Esg'!D44</f>
        <v>-449719.27603734477</v>
      </c>
      <c r="N22" s="1222">
        <f>'R1 DRE'!N17-'E7 Reprog Inv Esg'!E44</f>
        <v>-436538.53706209268</v>
      </c>
      <c r="O22" s="1222">
        <f>'R1 DRE'!O17-'E7 Reprog Inv Esg'!F44</f>
        <v>-490012.38348001952</v>
      </c>
      <c r="P22" s="1222">
        <f>'R1 DRE'!P17-'E7 Reprog Inv Esg'!G44</f>
        <v>-492328.96989794611</v>
      </c>
      <c r="Q22" s="1222">
        <f>'R1 DRE'!Q17-'E7 Reprog Inv Esg'!H44</f>
        <v>-543816.21631587273</v>
      </c>
      <c r="R22" s="1222">
        <f>'R1 DRE'!R17-'E7 Reprog Inv Esg'!I44</f>
        <v>-548580.77936735167</v>
      </c>
      <c r="S22" s="1222">
        <f>'R1 DRE'!S17-'E7 Reprog Inv Esg'!B58</f>
        <v>-503888.17130256217</v>
      </c>
      <c r="T22" s="1222">
        <f>'R1 DRE'!T17-'E7 Reprog Inv Esg'!C58</f>
        <v>-494759.40497506119</v>
      </c>
      <c r="U22" s="1222">
        <f>'R1 DRE'!U17-'E7 Reprog Inv Esg'!D58</f>
        <v>-495332.63864756015</v>
      </c>
      <c r="V22" s="1222">
        <f>'R1 DRE'!V17-'E7 Reprog Inv Esg'!E58</f>
        <v>-495905.87232005922</v>
      </c>
      <c r="W22" s="1222">
        <f>'R1 DRE'!W17-'E7 Reprog Inv Esg'!F58</f>
        <v>-496595.18385540805</v>
      </c>
      <c r="X22" s="1222">
        <f>'R1 DRE'!X17-'E7 Reprog Inv Esg'!G58</f>
        <v>-497111.64190462325</v>
      </c>
      <c r="Y22" s="1222">
        <f>'R1 DRE'!Y17-'E7 Reprog Inv Esg'!H58</f>
        <v>-497601.16502573498</v>
      </c>
      <c r="Z22" s="1222">
        <f>'R1 DRE'!Z17-'E7 Reprog Inv Esg'!I58</f>
        <v>-498090.68814684672</v>
      </c>
      <c r="AA22" s="1222">
        <f>'R1 DRE'!AA17-'E7 Reprog Inv Esg'!B72</f>
        <v>-498580.2112679584</v>
      </c>
      <c r="AB22" s="1222">
        <f>'R1 DRE'!AB17-'E7 Reprog Inv Esg'!C72</f>
        <v>-499259.46152948157</v>
      </c>
      <c r="AC22" s="1222">
        <f>'R1 DRE'!AC17-'E7 Reprog Inv Esg'!D72</f>
        <v>-499796.89372358366</v>
      </c>
      <c r="AD22" s="1222">
        <f>'R1 DRE'!AD17-'E7 Reprog Inv Esg'!E72</f>
        <v>-500320.77892254677</v>
      </c>
      <c r="AE22" s="1222">
        <f>'R1 DRE'!AE17-'E7 Reprog Inv Esg'!F72</f>
        <v>-500867.7180223316</v>
      </c>
      <c r="AF22" s="1222">
        <f>'R1 DRE'!AF17-'E7 Reprog Inv Esg'!G72</f>
        <v>-501196.36969936022</v>
      </c>
      <c r="AG22" s="1215">
        <f t="shared" si="7"/>
        <v>-14615965.937531691</v>
      </c>
      <c r="AI22" s="1216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-'16 R1 OPEX'!E9</f>
        <v>-14599.065768930037</v>
      </c>
      <c r="H23" s="1214">
        <f>-'16 R1 OPEX'!E10</f>
        <v>-15057.798117373999</v>
      </c>
      <c r="I23" s="1214">
        <f>-'16 R1 OPEX'!E11</f>
        <v>-15064.87973247327</v>
      </c>
      <c r="J23" s="1214">
        <f>-'16 R1 OPEX'!E12</f>
        <v>-15072.495622356846</v>
      </c>
      <c r="K23" s="1222">
        <f>'R1 DRE'!K18-'E7 Reprog Inv Esg'!B45</f>
        <v>-14814.826253067265</v>
      </c>
      <c r="L23" s="1222">
        <f>'R1 DRE'!L18-'E7 Reprog Inv Esg'!C45</f>
        <v>-14986.042255394672</v>
      </c>
      <c r="M23" s="1222">
        <f>'R1 DRE'!M18-'E7 Reprog Inv Esg'!D45</f>
        <v>-14054.275172996442</v>
      </c>
      <c r="N23" s="1222">
        <f>'R1 DRE'!N18-'E7 Reprog Inv Esg'!E45</f>
        <v>-13959.737646812109</v>
      </c>
      <c r="O23" s="1222">
        <f>'R1 DRE'!O18-'E7 Reprog Inv Esg'!F45</f>
        <v>-16038.75888608165</v>
      </c>
      <c r="P23" s="1222">
        <f>'R1 DRE'!P18-'E7 Reprog Inv Esg'!G45</f>
        <v>-16124.640125351203</v>
      </c>
      <c r="Q23" s="1222">
        <f>'R1 DRE'!Q18-'E7 Reprog Inv Esg'!H45</f>
        <v>-18126.26136462075</v>
      </c>
      <c r="R23" s="1222">
        <f>'R1 DRE'!R18-'E7 Reprog Inv Esg'!I45</f>
        <v>-18307.783434356836</v>
      </c>
      <c r="S23" s="1222">
        <f>'R1 DRE'!S18-'E7 Reprog Inv Esg'!B59</f>
        <v>-16562.911737817845</v>
      </c>
      <c r="T23" s="1222">
        <f>'R1 DRE'!T18-'E7 Reprog Inv Esg'!C59</f>
        <v>-16203.680041278865</v>
      </c>
      <c r="U23" s="1222">
        <f>'R1 DRE'!U18-'E7 Reprog Inv Esg'!D59</f>
        <v>-16222.448344739874</v>
      </c>
      <c r="V23" s="1222">
        <f>'R1 DRE'!V18-'E7 Reprog Inv Esg'!E59</f>
        <v>-16241.216648200887</v>
      </c>
      <c r="W23" s="1222">
        <f>'R1 DRE'!W18-'E7 Reprog Inv Esg'!F59</f>
        <v>-16264.319313534354</v>
      </c>
      <c r="X23" s="1222">
        <f>'R1 DRE'!X18-'E7 Reprog Inv Esg'!G59</f>
        <v>-16280.34814305808</v>
      </c>
      <c r="Y23" s="1222">
        <f>'R1 DRE'!Y18-'E7 Reprog Inv Esg'!H59</f>
        <v>-16296.376972581807</v>
      </c>
      <c r="Z23" s="1222">
        <f>'R1 DRE'!Z18-'E7 Reprog Inv Esg'!I59</f>
        <v>-16312.405802105539</v>
      </c>
      <c r="AA23" s="1222">
        <f>'R1 DRE'!AA18-'E7 Reprog Inv Esg'!B73</f>
        <v>-16328.434631629261</v>
      </c>
      <c r="AB23" s="1222">
        <f>'R1 DRE'!AB18-'E7 Reprog Inv Esg'!C73</f>
        <v>-16351.537299443749</v>
      </c>
      <c r="AC23" s="1222">
        <f>'R1 DRE'!AC18-'E7 Reprog Inv Esg'!D73</f>
        <v>-16368.34292048484</v>
      </c>
      <c r="AD23" s="1222">
        <f>'R1 DRE'!AD18-'E7 Reprog Inv Esg'!E73</f>
        <v>-16385.557657312653</v>
      </c>
      <c r="AE23" s="1222">
        <f>'R1 DRE'!AE18-'E7 Reprog Inv Esg'!F73</f>
        <v>-16403.549179438916</v>
      </c>
      <c r="AF23" s="1222">
        <f>'R1 DRE'!AF18-'E7 Reprog Inv Esg'!G73</f>
        <v>-16413.322066103116</v>
      </c>
      <c r="AG23" s="1215">
        <f t="shared" si="7"/>
        <v>-477854.63306233136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22">
        <f>'R1 DRE'!K19-'E7 Reprog Inv Esg'!B46</f>
        <v>-542415.9</v>
      </c>
      <c r="L24" s="1222">
        <f>'R1 DRE'!L19-'E7 Reprog Inv Esg'!C46</f>
        <v>-542900.94000000006</v>
      </c>
      <c r="M24" s="1222">
        <f>'R1 DRE'!M19-'E7 Reprog Inv Esg'!D46</f>
        <v>-508029.66000000003</v>
      </c>
      <c r="N24" s="1222">
        <f>'R1 DRE'!N19-'E7 Reprog Inv Esg'!E46</f>
        <v>-492513.54000000004</v>
      </c>
      <c r="O24" s="1222">
        <f>'R1 DRE'!O19-'E7 Reprog Inv Esg'!F46</f>
        <v>-551451.06000000006</v>
      </c>
      <c r="P24" s="1222">
        <f>'R1 DRE'!P19-'E7 Reprog Inv Esg'!G46</f>
        <v>-553251.9</v>
      </c>
      <c r="Q24" s="1222">
        <f>'R1 DRE'!Q19-'E7 Reprog Inv Esg'!H46</f>
        <v>-609970.62</v>
      </c>
      <c r="R24" s="1222">
        <f>'R1 DRE'!R19-'E7 Reprog Inv Esg'!I46</f>
        <v>-614645.58000000007</v>
      </c>
      <c r="S24" s="1222">
        <f>'R1 DRE'!S19-'E7 Reprog Inv Esg'!B60</f>
        <v>-564087.9</v>
      </c>
      <c r="T24" s="1222">
        <f>'R1 DRE'!T19-'E7 Reprog Inv Esg'!C60</f>
        <v>-553251.9</v>
      </c>
      <c r="U24" s="1222">
        <f>'R1 DRE'!U19-'E7 Reprog Inv Esg'!D60</f>
        <v>-553251.9</v>
      </c>
      <c r="V24" s="1222">
        <f>'R1 DRE'!V19-'E7 Reprog Inv Esg'!E60</f>
        <v>-553251.9</v>
      </c>
      <c r="W24" s="1222">
        <f>'R1 DRE'!W19-'E7 Reprog Inv Esg'!F60</f>
        <v>-553251.9</v>
      </c>
      <c r="X24" s="1222">
        <f>'R1 DRE'!X19-'E7 Reprog Inv Esg'!G60</f>
        <v>-553251.9</v>
      </c>
      <c r="Y24" s="1222">
        <f>'R1 DRE'!Y19-'E7 Reprog Inv Esg'!H60</f>
        <v>-553251.9</v>
      </c>
      <c r="Z24" s="1222">
        <f>'R1 DRE'!Z19-'E7 Reprog Inv Esg'!I60</f>
        <v>-553251.9</v>
      </c>
      <c r="AA24" s="1222">
        <f>'R1 DRE'!AA19-'E7 Reprog Inv Esg'!B74</f>
        <v>-553251.9</v>
      </c>
      <c r="AB24" s="1222">
        <f>'R1 DRE'!AB19-'E7 Reprog Inv Esg'!C74</f>
        <v>-553251.9</v>
      </c>
      <c r="AC24" s="1222">
        <f>'R1 DRE'!AC19-'E7 Reprog Inv Esg'!D74</f>
        <v>-553251.9</v>
      </c>
      <c r="AD24" s="1222">
        <f>'R1 DRE'!AD19-'E7 Reprog Inv Esg'!E74</f>
        <v>-553251.9</v>
      </c>
      <c r="AE24" s="1222">
        <f>'R1 DRE'!AE19-'E7 Reprog Inv Esg'!F74</f>
        <v>-553251.9</v>
      </c>
      <c r="AF24" s="1222">
        <f>'R1 DRE'!AF19-'E7 Reprog Inv Esg'!G74</f>
        <v>-553251.9</v>
      </c>
      <c r="AG24" s="1215">
        <f t="shared" si="7"/>
        <v>-16472445.540000007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22">
        <f>'R1 DRE'!K20-'E7 Reprog Inv Esg'!B47</f>
        <v>-379092.74461918877</v>
      </c>
      <c r="L25" s="1222">
        <f>'R1 DRE'!L20-'E7 Reprog Inv Esg'!C47</f>
        <v>-394075.32294591534</v>
      </c>
      <c r="M25" s="1222">
        <f>'R1 DRE'!M20-'E7 Reprog Inv Esg'!D47</f>
        <v>-368600.79509567772</v>
      </c>
      <c r="N25" s="1222">
        <f>'R1 DRE'!N20-'E7 Reprog Inv Esg'!E47</f>
        <v>-357300.40888514387</v>
      </c>
      <c r="O25" s="1222">
        <f>'R1 DRE'!O20-'E7 Reprog Inv Esg'!F47</f>
        <v>-400540.37436818262</v>
      </c>
      <c r="P25" s="1222">
        <f>'R1 DRE'!P20-'E7 Reprog Inv Esg'!G47</f>
        <v>-401924.39985122136</v>
      </c>
      <c r="Q25" s="1222">
        <f>'R1 DRE'!Q20-'E7 Reprog Inv Esg'!H47</f>
        <v>-443538.96533426025</v>
      </c>
      <c r="R25" s="1222">
        <f>'R1 DRE'!R20-'E7 Reprog Inv Esg'!I47</f>
        <v>-447018.25998414529</v>
      </c>
      <c r="S25" s="1222">
        <f>'R1 DRE'!S20-'E7 Reprog Inv Esg'!B61</f>
        <v>-410034.74885431846</v>
      </c>
      <c r="T25" s="1222">
        <f>'R1 DRE'!T20-'E7 Reprog Inv Esg'!C61</f>
        <v>-402149.52022612467</v>
      </c>
      <c r="U25" s="1222">
        <f>'R1 DRE'!U20-'E7 Reprog Inv Esg'!D61</f>
        <v>-402302.29159793071</v>
      </c>
      <c r="V25" s="1222">
        <f>'R1 DRE'!V20-'E7 Reprog Inv Esg'!E61</f>
        <v>-402355.06296973687</v>
      </c>
      <c r="W25" s="1222">
        <f>'R1 DRE'!W20-'E7 Reprog Inv Esg'!F61</f>
        <v>-402417.270352769</v>
      </c>
      <c r="X25" s="1222">
        <f>'R1 DRE'!X20-'E7 Reprog Inv Esg'!G61</f>
        <v>-402466.94887976174</v>
      </c>
      <c r="Y25" s="1222">
        <f>'R1 DRE'!Y20-'E7 Reprog Inv Esg'!H61</f>
        <v>-402512.00758811249</v>
      </c>
      <c r="Z25" s="1222">
        <f>'R1 DRE'!Z20-'E7 Reprog Inv Esg'!I61</f>
        <v>-402557.06629646337</v>
      </c>
      <c r="AA25" s="1222">
        <f>'R1 DRE'!AA20-'E7 Reprog Inv Esg'!B75</f>
        <v>-402602.12500481395</v>
      </c>
      <c r="AB25" s="1222">
        <f>'R1 DRE'!AB20-'E7 Reprog Inv Esg'!C75</f>
        <v>-402662.60670065647</v>
      </c>
      <c r="AC25" s="1222">
        <f>'R1 DRE'!AC20-'E7 Reprog Inv Esg'!D75</f>
        <v>-402713.99023704906</v>
      </c>
      <c r="AD25" s="1222">
        <f>'R1 DRE'!AD20-'E7 Reprog Inv Esg'!E75</f>
        <v>-402762.08232708368</v>
      </c>
      <c r="AE25" s="1222">
        <f>'R1 DRE'!AE20-'E7 Reprog Inv Esg'!F75</f>
        <v>-402812.23614160577</v>
      </c>
      <c r="AF25" s="1222">
        <f>'R1 DRE'!AF20-'E7 Reprog Inv Esg'!G75</f>
        <v>-402844.88533489278</v>
      </c>
      <c r="AG25" s="1215">
        <f t="shared" si="7"/>
        <v>-11346220.251833241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9">-D17*0.01</f>
        <v>-23487.364306745756</v>
      </c>
      <c r="E26" s="1212">
        <f t="shared" si="9"/>
        <v>-26078.466711710476</v>
      </c>
      <c r="F26" s="1212">
        <f t="shared" si="9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0">-I17*0.005</f>
        <v>-16724.631693002015</v>
      </c>
      <c r="J26" s="1212">
        <f t="shared" si="10"/>
        <v>-18111.511932221227</v>
      </c>
      <c r="K26" s="1212">
        <f t="shared" si="10"/>
        <v>-18257.02940618826</v>
      </c>
      <c r="L26" s="1212">
        <f t="shared" si="10"/>
        <v>-18689.478090289456</v>
      </c>
      <c r="M26" s="1212">
        <f t="shared" si="10"/>
        <v>-18876.635891633825</v>
      </c>
      <c r="N26" s="1212">
        <f t="shared" si="10"/>
        <v>-19901.774473058598</v>
      </c>
      <c r="O26" s="1212">
        <f t="shared" si="10"/>
        <v>-21134.228596381381</v>
      </c>
      <c r="P26" s="1212">
        <f t="shared" si="10"/>
        <v>-21198.654291706294</v>
      </c>
      <c r="Q26" s="1212">
        <f t="shared" si="10"/>
        <v>-22333.344456743867</v>
      </c>
      <c r="R26" s="1212">
        <f t="shared" si="10"/>
        <v>-22452.396335900376</v>
      </c>
      <c r="S26" s="1212">
        <f t="shared" si="10"/>
        <v>-21493.585774303749</v>
      </c>
      <c r="T26" s="1212">
        <f t="shared" si="10"/>
        <v>-21307.978496835054</v>
      </c>
      <c r="U26" s="1212">
        <f t="shared" si="10"/>
        <v>-21333.337744366356</v>
      </c>
      <c r="V26" s="1212">
        <f t="shared" si="10"/>
        <v>-21356.300787516608</v>
      </c>
      <c r="W26" s="1212">
        <f t="shared" si="10"/>
        <v>-21383.916519056907</v>
      </c>
      <c r="X26" s="1212">
        <f t="shared" si="10"/>
        <v>-21411.811691341332</v>
      </c>
      <c r="Y26" s="1212">
        <f t="shared" si="10"/>
        <v>-21432.518250482604</v>
      </c>
      <c r="Z26" s="1212">
        <f t="shared" si="10"/>
        <v>-21452.805648507645</v>
      </c>
      <c r="AA26" s="1212">
        <f t="shared" si="10"/>
        <v>-21473.093046532693</v>
      </c>
      <c r="AB26" s="1212">
        <f t="shared" si="10"/>
        <v>-21498.172853319851</v>
      </c>
      <c r="AC26" s="1212">
        <f t="shared" si="10"/>
        <v>-21523.532100851149</v>
      </c>
      <c r="AD26" s="1212">
        <f t="shared" si="10"/>
        <v>-21546.495144001394</v>
      </c>
      <c r="AE26" s="1212">
        <f t="shared" si="10"/>
        <v>-21571.714671160636</v>
      </c>
      <c r="AF26" s="1212">
        <f t="shared" si="10"/>
        <v>-21589.885305548771</v>
      </c>
      <c r="AG26" s="1213">
        <f>SUM(C26:AF26)</f>
        <v>-628817.15969857248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1">D17+D18+D21+D26</f>
        <v>725356.85352382285</v>
      </c>
      <c r="E27" s="1212">
        <f t="shared" si="11"/>
        <v>761828.63043885329</v>
      </c>
      <c r="F27" s="1212">
        <f t="shared" si="11"/>
        <v>885889.84541072126</v>
      </c>
      <c r="G27" s="1212">
        <f t="shared" si="11"/>
        <v>987003.66554251267</v>
      </c>
      <c r="H27" s="1212">
        <f t="shared" si="11"/>
        <v>1236097.9959341185</v>
      </c>
      <c r="I27" s="1212">
        <f t="shared" si="11"/>
        <v>1593813.2030140865</v>
      </c>
      <c r="J27" s="1212">
        <f t="shared" si="11"/>
        <v>1818859.3253650826</v>
      </c>
      <c r="K27" s="1212">
        <f t="shared" si="11"/>
        <v>1855586.451316355</v>
      </c>
      <c r="L27" s="1212">
        <f t="shared" si="11"/>
        <v>1931534.4302099482</v>
      </c>
      <c r="M27" s="1212">
        <f t="shared" si="11"/>
        <v>2083538.0761291126</v>
      </c>
      <c r="N27" s="1212">
        <f t="shared" si="11"/>
        <v>2337907.3758422635</v>
      </c>
      <c r="O27" s="1212">
        <f t="shared" si="11"/>
        <v>2386325.5006838623</v>
      </c>
      <c r="P27" s="1212">
        <f t="shared" si="11"/>
        <v>2392318.5846293727</v>
      </c>
      <c r="Q27" s="1212">
        <f t="shared" si="11"/>
        <v>2428660.3463576236</v>
      </c>
      <c r="R27" s="1212">
        <f t="shared" si="11"/>
        <v>2436086.7680583205</v>
      </c>
      <c r="S27" s="1212">
        <f t="shared" si="11"/>
        <v>2412755.1712472718</v>
      </c>
      <c r="T27" s="1212">
        <f t="shared" si="11"/>
        <v>2411171.2176241172</v>
      </c>
      <c r="U27" s="1212">
        <f t="shared" si="11"/>
        <v>2415435.1236688667</v>
      </c>
      <c r="V27" s="1212">
        <f t="shared" si="11"/>
        <v>2419324.1952118305</v>
      </c>
      <c r="W27" s="1212">
        <f t="shared" si="11"/>
        <v>2424012.7337706136</v>
      </c>
      <c r="X27" s="1212">
        <f t="shared" si="11"/>
        <v>2428928.4434333849</v>
      </c>
      <c r="Y27" s="1212">
        <f t="shared" si="11"/>
        <v>2432465.9916120018</v>
      </c>
      <c r="Z27" s="1212">
        <f t="shared" si="11"/>
        <v>2435918.1528042592</v>
      </c>
      <c r="AA27" s="1212">
        <f t="shared" si="11"/>
        <v>2439369.9214979247</v>
      </c>
      <c r="AB27" s="1212">
        <f t="shared" si="11"/>
        <v>2443513.8882810678</v>
      </c>
      <c r="AC27" s="1212">
        <f t="shared" si="11"/>
        <v>2447954.7535607205</v>
      </c>
      <c r="AD27" s="1212">
        <f t="shared" si="11"/>
        <v>2451897.0248706797</v>
      </c>
      <c r="AE27" s="1212">
        <f t="shared" si="11"/>
        <v>2456255.6352967238</v>
      </c>
      <c r="AF27" s="1212">
        <f t="shared" si="11"/>
        <v>2459460.1287906123</v>
      </c>
      <c r="AG27" s="1213">
        <f t="shared" ref="AG27:AG33" si="12">SUM(C27:AF27)</f>
        <v>60283721.893622257</v>
      </c>
    </row>
    <row r="28" spans="1:36" s="1127" customFormat="1" ht="20.25" customHeight="1">
      <c r="B28" s="1128" t="s">
        <v>221</v>
      </c>
      <c r="C28" s="1211">
        <f t="array" ref="C28:AF28">-TRANSPOSE('E7 R2 DEPR'!AH10:AH39)</f>
        <v>0</v>
      </c>
      <c r="D28" s="1211">
        <v>-19422.835502517231</v>
      </c>
      <c r="E28" s="1211">
        <v>-31767.091368703179</v>
      </c>
      <c r="F28" s="1211">
        <v>-42964.776963557146</v>
      </c>
      <c r="G28" s="1211">
        <v>-96570.054420457061</v>
      </c>
      <c r="H28" s="1211">
        <v>-304965.65942868049</v>
      </c>
      <c r="I28" s="1211">
        <v>-335294.75656698272</v>
      </c>
      <c r="J28" s="1211">
        <v>-409777.60554813145</v>
      </c>
      <c r="K28" s="1211">
        <v>-463947.68852428254</v>
      </c>
      <c r="L28" s="1211">
        <v>-503790.29927751789</v>
      </c>
      <c r="M28" s="1211">
        <v>-523637.64569011494</v>
      </c>
      <c r="N28" s="1211">
        <v>-560928.29555916227</v>
      </c>
      <c r="O28" s="1211">
        <v>-563558.17076761427</v>
      </c>
      <c r="P28" s="1211">
        <v>-566342.74451773998</v>
      </c>
      <c r="Q28" s="1211">
        <v>-570616.91662724852</v>
      </c>
      <c r="R28" s="1211">
        <v>-735931.00482614269</v>
      </c>
      <c r="S28" s="1211">
        <v>-922424.79255255149</v>
      </c>
      <c r="T28" s="1211">
        <v>-927278.54284117743</v>
      </c>
      <c r="U28" s="1211">
        <v>-932536.77232052211</v>
      </c>
      <c r="V28" s="1211">
        <v>-938273.02266162541</v>
      </c>
      <c r="W28" s="1211">
        <v>-944582.89803683909</v>
      </c>
      <c r="X28" s="1211">
        <v>-952226.6484537432</v>
      </c>
      <c r="Y28" s="1211">
        <v>-959656.49267276027</v>
      </c>
      <c r="Z28" s="1211">
        <v>-968147.74320877984</v>
      </c>
      <c r="AA28" s="1211">
        <v>-978054.20216746931</v>
      </c>
      <c r="AB28" s="1211">
        <v>-989941.95291789668</v>
      </c>
      <c r="AC28" s="1211">
        <v>-1007140.3913559308</v>
      </c>
      <c r="AD28" s="1211">
        <v>-1027224.642606643</v>
      </c>
      <c r="AE28" s="1211">
        <v>-1057758.0194827113</v>
      </c>
      <c r="AF28" s="1211">
        <v>-1179490.0212315808</v>
      </c>
      <c r="AG28" s="1217">
        <f t="shared" si="12"/>
        <v>-19514251.688099083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3">D27+D28</f>
        <v>705934.01802130567</v>
      </c>
      <c r="E29" s="1212">
        <f t="shared" si="13"/>
        <v>730061.53907015012</v>
      </c>
      <c r="F29" s="1212">
        <f t="shared" si="13"/>
        <v>842925.06844716414</v>
      </c>
      <c r="G29" s="1212">
        <f t="shared" si="13"/>
        <v>890433.61112205556</v>
      </c>
      <c r="H29" s="1212">
        <f t="shared" si="13"/>
        <v>931132.33650543797</v>
      </c>
      <c r="I29" s="1212">
        <f t="shared" si="13"/>
        <v>1258518.4464471037</v>
      </c>
      <c r="J29" s="1212">
        <f t="shared" si="13"/>
        <v>1409081.7198169511</v>
      </c>
      <c r="K29" s="1212">
        <f t="shared" si="13"/>
        <v>1391638.7627920725</v>
      </c>
      <c r="L29" s="1212">
        <f t="shared" si="13"/>
        <v>1427744.1309324303</v>
      </c>
      <c r="M29" s="1212">
        <f t="shared" si="13"/>
        <v>1559900.4304389977</v>
      </c>
      <c r="N29" s="1212">
        <f t="shared" si="13"/>
        <v>1776979.0802831012</v>
      </c>
      <c r="O29" s="1212">
        <f t="shared" si="13"/>
        <v>1822767.3299162481</v>
      </c>
      <c r="P29" s="1212">
        <f t="shared" si="13"/>
        <v>1825975.8401116328</v>
      </c>
      <c r="Q29" s="1212">
        <f t="shared" si="13"/>
        <v>1858043.4297303751</v>
      </c>
      <c r="R29" s="1212">
        <f t="shared" si="13"/>
        <v>1700155.7632321778</v>
      </c>
      <c r="S29" s="1212">
        <f t="shared" si="13"/>
        <v>1490330.3786947203</v>
      </c>
      <c r="T29" s="1212">
        <f t="shared" si="13"/>
        <v>1483892.6747829397</v>
      </c>
      <c r="U29" s="1212">
        <f t="shared" si="13"/>
        <v>1482898.3513483447</v>
      </c>
      <c r="V29" s="1212">
        <f t="shared" si="13"/>
        <v>1481051.1725502051</v>
      </c>
      <c r="W29" s="1212">
        <f t="shared" si="13"/>
        <v>1479429.8357337746</v>
      </c>
      <c r="X29" s="1212">
        <f t="shared" si="13"/>
        <v>1476701.7949796417</v>
      </c>
      <c r="Y29" s="1212">
        <f t="shared" si="13"/>
        <v>1472809.4989392415</v>
      </c>
      <c r="Z29" s="1212">
        <f t="shared" si="13"/>
        <v>1467770.4095954793</v>
      </c>
      <c r="AA29" s="1212">
        <f t="shared" si="13"/>
        <v>1461315.7193304554</v>
      </c>
      <c r="AB29" s="1212">
        <f t="shared" si="13"/>
        <v>1453571.9353631712</v>
      </c>
      <c r="AC29" s="1212">
        <f t="shared" si="13"/>
        <v>1440814.3622047896</v>
      </c>
      <c r="AD29" s="1212">
        <f t="shared" si="13"/>
        <v>1424672.3822640367</v>
      </c>
      <c r="AE29" s="1212">
        <f t="shared" si="13"/>
        <v>1398497.6158140125</v>
      </c>
      <c r="AF29" s="1212">
        <f t="shared" si="13"/>
        <v>1279970.1075590316</v>
      </c>
      <c r="AG29" s="1213">
        <f t="shared" si="12"/>
        <v>40769470.205523171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4">D31+D32</f>
        <v>-216017.56612724392</v>
      </c>
      <c r="E30" s="1212">
        <f t="shared" si="14"/>
        <v>-224220.92328385104</v>
      </c>
      <c r="F30" s="1212">
        <f t="shared" si="14"/>
        <v>-262594.52327203582</v>
      </c>
      <c r="G30" s="1212">
        <f t="shared" si="14"/>
        <v>-278747.42778149887</v>
      </c>
      <c r="H30" s="1212">
        <f t="shared" si="14"/>
        <v>-292584.99441184889</v>
      </c>
      <c r="I30" s="1212">
        <f t="shared" si="14"/>
        <v>-403896.27179201529</v>
      </c>
      <c r="J30" s="1212">
        <f t="shared" si="14"/>
        <v>-455087.78473776334</v>
      </c>
      <c r="K30" s="1212">
        <f t="shared" si="14"/>
        <v>-449157.17934930464</v>
      </c>
      <c r="L30" s="1212">
        <f t="shared" si="14"/>
        <v>-461433.0045170263</v>
      </c>
      <c r="M30" s="1212">
        <f t="shared" si="14"/>
        <v>-506366.14634925919</v>
      </c>
      <c r="N30" s="1212">
        <f t="shared" si="14"/>
        <v>-580172.8872962544</v>
      </c>
      <c r="O30" s="1212">
        <f t="shared" si="14"/>
        <v>-595740.89217152435</v>
      </c>
      <c r="P30" s="1212">
        <f t="shared" si="14"/>
        <v>-596831.78563795518</v>
      </c>
      <c r="Q30" s="1212">
        <f t="shared" si="14"/>
        <v>-607734.76610832755</v>
      </c>
      <c r="R30" s="1212">
        <f t="shared" si="14"/>
        <v>-554052.9594989405</v>
      </c>
      <c r="S30" s="1212">
        <f t="shared" si="14"/>
        <v>-482712.32875620492</v>
      </c>
      <c r="T30" s="1212">
        <f t="shared" si="14"/>
        <v>-480523.50942619948</v>
      </c>
      <c r="U30" s="1212">
        <f t="shared" si="14"/>
        <v>-480185.43945843721</v>
      </c>
      <c r="V30" s="1212">
        <f t="shared" si="14"/>
        <v>-479557.39866706973</v>
      </c>
      <c r="W30" s="1212">
        <f t="shared" si="14"/>
        <v>-479006.14414948336</v>
      </c>
      <c r="X30" s="1212">
        <f t="shared" si="14"/>
        <v>-478078.61029307818</v>
      </c>
      <c r="Y30" s="1212">
        <f t="shared" si="14"/>
        <v>-476755.22963934211</v>
      </c>
      <c r="Z30" s="1212">
        <f t="shared" si="14"/>
        <v>-475041.93926246295</v>
      </c>
      <c r="AA30" s="1212">
        <f t="shared" si="14"/>
        <v>-472847.34457235481</v>
      </c>
      <c r="AB30" s="1212">
        <f t="shared" si="14"/>
        <v>-470214.45802347816</v>
      </c>
      <c r="AC30" s="1212">
        <f t="shared" si="14"/>
        <v>-465876.88314962847</v>
      </c>
      <c r="AD30" s="1212">
        <f t="shared" si="14"/>
        <v>-460388.60996977246</v>
      </c>
      <c r="AE30" s="1212">
        <f t="shared" si="14"/>
        <v>-451489.18937676423</v>
      </c>
      <c r="AF30" s="1212">
        <f t="shared" si="14"/>
        <v>-411189.83657007071</v>
      </c>
      <c r="AG30" s="1213">
        <f t="shared" si="12"/>
        <v>-13048506.033649193</v>
      </c>
    </row>
    <row r="31" spans="1:36" s="89" customFormat="1" ht="20.25" customHeight="1">
      <c r="B31" s="477" t="s">
        <v>224</v>
      </c>
      <c r="C31" s="1214"/>
      <c r="D31" s="1214">
        <f t="shared" ref="D31:AF31" si="15">-((D29*0.15)+((D29-240000)*0.1))</f>
        <v>-152483.50450532642</v>
      </c>
      <c r="E31" s="1214">
        <f t="shared" si="15"/>
        <v>-158515.38476753753</v>
      </c>
      <c r="F31" s="1214">
        <f t="shared" si="15"/>
        <v>-186731.26711179104</v>
      </c>
      <c r="G31" s="1214">
        <f t="shared" si="15"/>
        <v>-198608.40278051386</v>
      </c>
      <c r="H31" s="1214">
        <f t="shared" si="15"/>
        <v>-208783.08412635949</v>
      </c>
      <c r="I31" s="1214">
        <f t="shared" si="15"/>
        <v>-290629.61161177594</v>
      </c>
      <c r="J31" s="1214">
        <f t="shared" si="15"/>
        <v>-328270.42995423777</v>
      </c>
      <c r="K31" s="1214">
        <f t="shared" si="15"/>
        <v>-323909.69069801812</v>
      </c>
      <c r="L31" s="1214">
        <f t="shared" si="15"/>
        <v>-332936.03273310757</v>
      </c>
      <c r="M31" s="1214">
        <f t="shared" si="15"/>
        <v>-365975.10760974942</v>
      </c>
      <c r="N31" s="1214">
        <f t="shared" si="15"/>
        <v>-420244.7700707753</v>
      </c>
      <c r="O31" s="1214">
        <f t="shared" si="15"/>
        <v>-431691.83247906202</v>
      </c>
      <c r="P31" s="1214">
        <f t="shared" si="15"/>
        <v>-432493.96002790821</v>
      </c>
      <c r="Q31" s="1214">
        <f t="shared" si="15"/>
        <v>-440510.85743259377</v>
      </c>
      <c r="R31" s="1214">
        <f t="shared" si="15"/>
        <v>-401038.94080804446</v>
      </c>
      <c r="S31" s="1214">
        <f t="shared" si="15"/>
        <v>-348582.59467368008</v>
      </c>
      <c r="T31" s="1214">
        <f t="shared" si="15"/>
        <v>-346973.16869573493</v>
      </c>
      <c r="U31" s="1214">
        <f t="shared" si="15"/>
        <v>-346724.58783708618</v>
      </c>
      <c r="V31" s="1214">
        <f t="shared" si="15"/>
        <v>-346262.79313755129</v>
      </c>
      <c r="W31" s="1214">
        <f t="shared" si="15"/>
        <v>-345857.45893344365</v>
      </c>
      <c r="X31" s="1214">
        <f t="shared" si="15"/>
        <v>-345175.44874491042</v>
      </c>
      <c r="Y31" s="1214">
        <f t="shared" si="15"/>
        <v>-344202.37473481038</v>
      </c>
      <c r="Z31" s="1214">
        <f t="shared" si="15"/>
        <v>-342942.60239886981</v>
      </c>
      <c r="AA31" s="1214">
        <f t="shared" si="15"/>
        <v>-341328.92983261385</v>
      </c>
      <c r="AB31" s="1214">
        <f t="shared" si="15"/>
        <v>-339392.98384079279</v>
      </c>
      <c r="AC31" s="1214">
        <f t="shared" si="15"/>
        <v>-336203.59055119741</v>
      </c>
      <c r="AD31" s="1214">
        <f t="shared" si="15"/>
        <v>-332168.09556600917</v>
      </c>
      <c r="AE31" s="1214">
        <f t="shared" si="15"/>
        <v>-325624.40395350312</v>
      </c>
      <c r="AF31" s="1214">
        <f t="shared" si="15"/>
        <v>-295992.52688975789</v>
      </c>
      <c r="AG31" s="1213">
        <f t="shared" si="12"/>
        <v>-9410254.4365067612</v>
      </c>
    </row>
    <row r="32" spans="1:36" s="89" customFormat="1" ht="20.25" customHeight="1">
      <c r="B32" s="477" t="s">
        <v>225</v>
      </c>
      <c r="C32" s="1214"/>
      <c r="D32" s="1214">
        <f t="shared" ref="D32:AF32" si="16">-(D29*0.09)</f>
        <v>-63534.061621917506</v>
      </c>
      <c r="E32" s="1214">
        <f t="shared" si="16"/>
        <v>-65705.538516313507</v>
      </c>
      <c r="F32" s="1214">
        <f t="shared" si="16"/>
        <v>-75863.256160244768</v>
      </c>
      <c r="G32" s="1214">
        <f t="shared" si="16"/>
        <v>-80139.025000984999</v>
      </c>
      <c r="H32" s="1214">
        <f t="shared" si="16"/>
        <v>-83801.910285489415</v>
      </c>
      <c r="I32" s="1214">
        <f t="shared" si="16"/>
        <v>-113266.66018023933</v>
      </c>
      <c r="J32" s="1214">
        <f t="shared" si="16"/>
        <v>-126817.35478352559</v>
      </c>
      <c r="K32" s="1214">
        <f t="shared" si="16"/>
        <v>-125247.48865128652</v>
      </c>
      <c r="L32" s="1214">
        <f t="shared" si="16"/>
        <v>-128496.97178391872</v>
      </c>
      <c r="M32" s="1214">
        <f t="shared" si="16"/>
        <v>-140391.03873950979</v>
      </c>
      <c r="N32" s="1214">
        <f t="shared" si="16"/>
        <v>-159928.1172254791</v>
      </c>
      <c r="O32" s="1214">
        <f t="shared" si="16"/>
        <v>-164049.05969246232</v>
      </c>
      <c r="P32" s="1214">
        <f t="shared" si="16"/>
        <v>-164337.82561004694</v>
      </c>
      <c r="Q32" s="1214">
        <f t="shared" si="16"/>
        <v>-167223.90867573375</v>
      </c>
      <c r="R32" s="1214">
        <f t="shared" si="16"/>
        <v>-153014.01869089599</v>
      </c>
      <c r="S32" s="1214">
        <f t="shared" si="16"/>
        <v>-134129.73408252484</v>
      </c>
      <c r="T32" s="1214">
        <f t="shared" si="16"/>
        <v>-133550.34073046458</v>
      </c>
      <c r="U32" s="1214">
        <f t="shared" si="16"/>
        <v>-133460.85162135103</v>
      </c>
      <c r="V32" s="1214">
        <f t="shared" si="16"/>
        <v>-133294.60552951845</v>
      </c>
      <c r="W32" s="1214">
        <f t="shared" si="16"/>
        <v>-133148.68521603971</v>
      </c>
      <c r="X32" s="1214">
        <f t="shared" si="16"/>
        <v>-132903.16154816776</v>
      </c>
      <c r="Y32" s="1214">
        <f t="shared" si="16"/>
        <v>-132552.85490453173</v>
      </c>
      <c r="Z32" s="1214">
        <f t="shared" si="16"/>
        <v>-132099.33686359314</v>
      </c>
      <c r="AA32" s="1214">
        <f t="shared" si="16"/>
        <v>-131518.41473974098</v>
      </c>
      <c r="AB32" s="1214">
        <f t="shared" si="16"/>
        <v>-130821.4741826854</v>
      </c>
      <c r="AC32" s="1214">
        <f t="shared" si="16"/>
        <v>-129673.29259843106</v>
      </c>
      <c r="AD32" s="1214">
        <f t="shared" si="16"/>
        <v>-128220.5144037633</v>
      </c>
      <c r="AE32" s="1214">
        <f t="shared" si="16"/>
        <v>-125864.78542326111</v>
      </c>
      <c r="AF32" s="1214">
        <f t="shared" si="16"/>
        <v>-115197.30968031284</v>
      </c>
      <c r="AG32" s="1213">
        <f t="shared" si="12"/>
        <v>-3638251.5971424342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7">D29+D30</f>
        <v>489916.45189406176</v>
      </c>
      <c r="E33" s="1219">
        <f t="shared" si="17"/>
        <v>505840.61578629911</v>
      </c>
      <c r="F33" s="1219">
        <f t="shared" si="17"/>
        <v>580330.54517512838</v>
      </c>
      <c r="G33" s="1219">
        <f t="shared" si="17"/>
        <v>611686.18334055669</v>
      </c>
      <c r="H33" s="1219">
        <f t="shared" si="17"/>
        <v>638547.34209358902</v>
      </c>
      <c r="I33" s="1219">
        <f t="shared" si="17"/>
        <v>854622.17465508846</v>
      </c>
      <c r="J33" s="1219">
        <f t="shared" si="17"/>
        <v>953993.93507918774</v>
      </c>
      <c r="K33" s="1219">
        <f t="shared" si="17"/>
        <v>942481.58344276785</v>
      </c>
      <c r="L33" s="1219">
        <f t="shared" si="17"/>
        <v>966311.12641540403</v>
      </c>
      <c r="M33" s="1219">
        <f t="shared" si="17"/>
        <v>1053534.2840897385</v>
      </c>
      <c r="N33" s="1219">
        <f t="shared" si="17"/>
        <v>1196806.1929868469</v>
      </c>
      <c r="O33" s="1219">
        <f t="shared" si="17"/>
        <v>1227026.4377447236</v>
      </c>
      <c r="P33" s="1219">
        <f t="shared" si="17"/>
        <v>1229144.0544736777</v>
      </c>
      <c r="Q33" s="1219">
        <f t="shared" si="17"/>
        <v>1250308.6636220475</v>
      </c>
      <c r="R33" s="1219">
        <f t="shared" si="17"/>
        <v>1146102.8037332373</v>
      </c>
      <c r="S33" s="1219">
        <f t="shared" si="17"/>
        <v>1007618.0499385154</v>
      </c>
      <c r="T33" s="1219">
        <f t="shared" si="17"/>
        <v>1003369.1653567402</v>
      </c>
      <c r="U33" s="1219">
        <f t="shared" si="17"/>
        <v>1002712.9118899074</v>
      </c>
      <c r="V33" s="1219">
        <f t="shared" si="17"/>
        <v>1001493.7738831354</v>
      </c>
      <c r="W33" s="1219">
        <f t="shared" si="17"/>
        <v>1000423.6915842912</v>
      </c>
      <c r="X33" s="1219">
        <f t="shared" si="17"/>
        <v>998623.18468656344</v>
      </c>
      <c r="Y33" s="1219">
        <f t="shared" si="17"/>
        <v>996054.26929989946</v>
      </c>
      <c r="Z33" s="1219">
        <f t="shared" si="17"/>
        <v>992728.47033301624</v>
      </c>
      <c r="AA33" s="1219">
        <f t="shared" si="17"/>
        <v>988468.3747581006</v>
      </c>
      <c r="AB33" s="1219">
        <f t="shared" si="17"/>
        <v>983357.477339693</v>
      </c>
      <c r="AC33" s="1219">
        <f t="shared" si="17"/>
        <v>974937.47905516112</v>
      </c>
      <c r="AD33" s="1219">
        <f t="shared" si="17"/>
        <v>964283.77229426429</v>
      </c>
      <c r="AE33" s="1219">
        <f t="shared" si="17"/>
        <v>947008.42643724824</v>
      </c>
      <c r="AF33" s="1219">
        <f t="shared" si="17"/>
        <v>868780.27098896087</v>
      </c>
      <c r="AG33" s="1220">
        <f t="shared" si="12"/>
        <v>27720964.171873972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139669.85047581568</v>
      </c>
      <c r="I35" s="135">
        <f t="shared" si="18"/>
        <v>188777.76696706555</v>
      </c>
      <c r="J35" s="135">
        <f t="shared" si="18"/>
        <v>211362.25797254266</v>
      </c>
      <c r="K35" s="135">
        <f t="shared" si="18"/>
        <v>208745.81441881086</v>
      </c>
      <c r="L35" s="135">
        <f t="shared" si="18"/>
        <v>214161.61963986454</v>
      </c>
      <c r="M35" s="135">
        <f t="shared" si="18"/>
        <v>233985.06456584964</v>
      </c>
      <c r="N35" s="135">
        <f t="shared" si="18"/>
        <v>266546.86204246519</v>
      </c>
      <c r="O35" s="135">
        <f t="shared" si="18"/>
        <v>273415.09948743723</v>
      </c>
      <c r="P35" s="135">
        <f t="shared" si="18"/>
        <v>273896.37601674494</v>
      </c>
      <c r="Q35" s="135">
        <f t="shared" si="18"/>
        <v>278706.51445955626</v>
      </c>
      <c r="R35" s="135">
        <f t="shared" si="18"/>
        <v>255023.36448482666</v>
      </c>
      <c r="S35" s="135">
        <f t="shared" si="18"/>
        <v>223549.55680420806</v>
      </c>
      <c r="T35" s="135">
        <f t="shared" si="18"/>
        <v>222583.90121744096</v>
      </c>
      <c r="U35" s="135">
        <f t="shared" si="18"/>
        <v>222434.75270225169</v>
      </c>
      <c r="V35" s="135">
        <f t="shared" si="18"/>
        <v>222157.67588253078</v>
      </c>
      <c r="W35" s="135">
        <f t="shared" si="18"/>
        <v>221914.47536006619</v>
      </c>
      <c r="X35" s="135">
        <f t="shared" si="18"/>
        <v>221505.26924694623</v>
      </c>
      <c r="Y35" s="135">
        <f t="shared" si="18"/>
        <v>220921.42484088623</v>
      </c>
      <c r="Z35" s="135">
        <f t="shared" si="18"/>
        <v>220165.56143932187</v>
      </c>
      <c r="AA35" s="135">
        <f t="shared" si="18"/>
        <v>219197.35789956831</v>
      </c>
      <c r="AB35" s="135">
        <f t="shared" si="18"/>
        <v>218035.79030447567</v>
      </c>
      <c r="AC35" s="135">
        <f t="shared" si="18"/>
        <v>216122.15433071845</v>
      </c>
      <c r="AD35" s="135">
        <f t="shared" si="18"/>
        <v>213700.85733960549</v>
      </c>
      <c r="AE35" s="135">
        <f t="shared" si="18"/>
        <v>209774.64237210187</v>
      </c>
      <c r="AF35" s="135">
        <f t="shared" si="18"/>
        <v>191995.51613385472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69113.2336505438</v>
      </c>
      <c r="I36" s="135">
        <f t="shared" si="19"/>
        <v>101851.84464471038</v>
      </c>
      <c r="J36" s="135">
        <f t="shared" si="19"/>
        <v>116908.17198169511</v>
      </c>
      <c r="K36" s="135">
        <f t="shared" si="19"/>
        <v>115163.87627920725</v>
      </c>
      <c r="L36" s="135">
        <f t="shared" si="19"/>
        <v>118774.41309324303</v>
      </c>
      <c r="M36" s="135">
        <f t="shared" si="19"/>
        <v>131990.04304389979</v>
      </c>
      <c r="N36" s="135">
        <f t="shared" si="19"/>
        <v>153697.90802831014</v>
      </c>
      <c r="O36" s="135">
        <f t="shared" si="19"/>
        <v>158276.73299162483</v>
      </c>
      <c r="P36" s="135">
        <f t="shared" si="19"/>
        <v>158597.5840111633</v>
      </c>
      <c r="Q36" s="135">
        <f t="shared" si="19"/>
        <v>161804.34297303751</v>
      </c>
      <c r="R36" s="135">
        <f t="shared" si="19"/>
        <v>146015.5763232178</v>
      </c>
      <c r="S36" s="135">
        <f t="shared" si="19"/>
        <v>125033.03786947204</v>
      </c>
      <c r="T36" s="135">
        <f t="shared" si="19"/>
        <v>124389.26747829397</v>
      </c>
      <c r="U36" s="135">
        <f t="shared" si="19"/>
        <v>124289.83513483447</v>
      </c>
      <c r="V36" s="135">
        <f t="shared" si="19"/>
        <v>124105.11725502052</v>
      </c>
      <c r="W36" s="135">
        <f t="shared" si="19"/>
        <v>123942.98357337747</v>
      </c>
      <c r="X36" s="135">
        <f t="shared" si="19"/>
        <v>123670.17949796417</v>
      </c>
      <c r="Y36" s="135">
        <f t="shared" si="19"/>
        <v>123280.94989392416</v>
      </c>
      <c r="Z36" s="135">
        <f t="shared" si="19"/>
        <v>122777.04095954793</v>
      </c>
      <c r="AA36" s="135">
        <f t="shared" si="19"/>
        <v>122131.57193304555</v>
      </c>
      <c r="AB36" s="135">
        <f t="shared" si="19"/>
        <v>121357.19353631712</v>
      </c>
      <c r="AC36" s="135">
        <f t="shared" si="19"/>
        <v>120081.43622047896</v>
      </c>
      <c r="AD36" s="135">
        <f t="shared" si="19"/>
        <v>118467.23822640367</v>
      </c>
      <c r="AE36" s="135">
        <f t="shared" si="19"/>
        <v>115849.76158140125</v>
      </c>
      <c r="AF36" s="135">
        <f t="shared" si="19"/>
        <v>103997.01075590316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208783.08412635949</v>
      </c>
      <c r="I37" s="135">
        <f t="shared" si="20"/>
        <v>290629.61161177594</v>
      </c>
      <c r="J37" s="135">
        <f t="shared" si="20"/>
        <v>328270.42995423777</v>
      </c>
      <c r="K37" s="135">
        <f t="shared" si="20"/>
        <v>323909.69069801812</v>
      </c>
      <c r="L37" s="135">
        <f t="shared" si="20"/>
        <v>332936.03273310757</v>
      </c>
      <c r="M37" s="135">
        <f t="shared" si="20"/>
        <v>365975.10760974942</v>
      </c>
      <c r="N37" s="135">
        <f t="shared" si="20"/>
        <v>420244.7700707753</v>
      </c>
      <c r="O37" s="135">
        <f t="shared" si="20"/>
        <v>431691.83247906202</v>
      </c>
      <c r="P37" s="135">
        <f t="shared" si="20"/>
        <v>432493.96002790821</v>
      </c>
      <c r="Q37" s="135">
        <f t="shared" si="20"/>
        <v>440510.85743259377</v>
      </c>
      <c r="R37" s="135">
        <f t="shared" si="20"/>
        <v>401038.94080804446</v>
      </c>
      <c r="S37" s="135">
        <f t="shared" si="20"/>
        <v>348582.59467368008</v>
      </c>
      <c r="T37" s="135">
        <f t="shared" si="20"/>
        <v>346973.16869573493</v>
      </c>
      <c r="U37" s="135">
        <f t="shared" si="20"/>
        <v>346724.58783708618</v>
      </c>
      <c r="V37" s="135">
        <f t="shared" si="20"/>
        <v>346262.79313755129</v>
      </c>
      <c r="W37" s="135">
        <f t="shared" si="20"/>
        <v>345857.45893344365</v>
      </c>
      <c r="X37" s="135">
        <f t="shared" si="20"/>
        <v>345175.44874491042</v>
      </c>
      <c r="Y37" s="135">
        <f t="shared" si="20"/>
        <v>344202.37473481038</v>
      </c>
      <c r="Z37" s="135">
        <f t="shared" si="20"/>
        <v>342942.60239886981</v>
      </c>
      <c r="AA37" s="135">
        <f t="shared" si="20"/>
        <v>341328.92983261385</v>
      </c>
      <c r="AB37" s="135">
        <f t="shared" si="20"/>
        <v>339392.98384079279</v>
      </c>
      <c r="AC37" s="135">
        <f t="shared" si="20"/>
        <v>336203.59055119741</v>
      </c>
      <c r="AD37" s="135">
        <f t="shared" si="20"/>
        <v>332168.09556600917</v>
      </c>
      <c r="AE37" s="135">
        <f t="shared" si="20"/>
        <v>325624.40395350312</v>
      </c>
      <c r="AF37" s="135">
        <f t="shared" si="20"/>
        <v>295992.52688975789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2">D27</f>
        <v>725356.85352382285</v>
      </c>
      <c r="E45" s="1227">
        <f t="shared" si="22"/>
        <v>761828.63043885329</v>
      </c>
      <c r="F45" s="1227">
        <f t="shared" si="22"/>
        <v>885889.84541072126</v>
      </c>
      <c r="G45" s="1227">
        <f t="shared" si="22"/>
        <v>987003.66554251267</v>
      </c>
      <c r="H45" s="1227">
        <f t="shared" si="22"/>
        <v>1236097.9959341185</v>
      </c>
      <c r="I45" s="1227">
        <f t="shared" si="22"/>
        <v>1593813.2030140865</v>
      </c>
      <c r="J45" s="1227">
        <f t="shared" si="22"/>
        <v>1818859.3253650826</v>
      </c>
      <c r="K45" s="1227">
        <f t="shared" si="22"/>
        <v>1855586.451316355</v>
      </c>
      <c r="L45" s="1227">
        <f t="shared" si="22"/>
        <v>1931534.4302099482</v>
      </c>
      <c r="M45" s="1227">
        <f t="shared" si="22"/>
        <v>2083538.0761291126</v>
      </c>
      <c r="N45" s="1227">
        <f t="shared" si="22"/>
        <v>2337907.3758422635</v>
      </c>
      <c r="O45" s="1227">
        <f t="shared" si="22"/>
        <v>2386325.5006838623</v>
      </c>
      <c r="P45" s="1227">
        <f t="shared" si="22"/>
        <v>2392318.5846293727</v>
      </c>
      <c r="Q45" s="1227">
        <f t="shared" si="22"/>
        <v>2428660.3463576236</v>
      </c>
      <c r="R45" s="1227">
        <f t="shared" si="22"/>
        <v>2436086.7680583205</v>
      </c>
      <c r="S45" s="1227">
        <f t="shared" si="22"/>
        <v>2412755.1712472718</v>
      </c>
      <c r="T45" s="1227">
        <f t="shared" si="22"/>
        <v>2411171.2176241172</v>
      </c>
      <c r="U45" s="1227">
        <f t="shared" si="22"/>
        <v>2415435.1236688667</v>
      </c>
      <c r="V45" s="1227">
        <f t="shared" si="22"/>
        <v>2419324.1952118305</v>
      </c>
      <c r="W45" s="1227">
        <f t="shared" si="22"/>
        <v>2424012.7337706136</v>
      </c>
      <c r="X45" s="1227">
        <f t="shared" si="22"/>
        <v>2428928.4434333849</v>
      </c>
      <c r="Y45" s="1227">
        <f t="shared" si="22"/>
        <v>2432465.9916120018</v>
      </c>
      <c r="Z45" s="1227">
        <f t="shared" si="22"/>
        <v>2435918.1528042592</v>
      </c>
      <c r="AA45" s="1227">
        <f t="shared" si="22"/>
        <v>2439369.9214979247</v>
      </c>
      <c r="AB45" s="1227">
        <f t="shared" si="22"/>
        <v>2443513.8882810678</v>
      </c>
      <c r="AC45" s="1227">
        <f t="shared" si="22"/>
        <v>2447954.7535607205</v>
      </c>
      <c r="AD45" s="1227">
        <f t="shared" si="22"/>
        <v>2451897.0248706797</v>
      </c>
      <c r="AE45" s="1227">
        <f t="shared" si="22"/>
        <v>2456255.6352967238</v>
      </c>
      <c r="AF45" s="1227">
        <f t="shared" si="22"/>
        <v>2459460.1287906123</v>
      </c>
      <c r="AG45" s="1229">
        <f>SUM(C45:AF45)</f>
        <v>60283721.893622257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5" si="23">SUM(C46:AF46)</f>
        <v>0</v>
      </c>
    </row>
    <row r="47" spans="2:34" s="205" customFormat="1" ht="21" customHeight="1">
      <c r="B47" s="468" t="s">
        <v>229</v>
      </c>
      <c r="C47" s="1212">
        <f t="shared" ref="C47:AF47" si="24">C48+C52</f>
        <v>-563262.22957299976</v>
      </c>
      <c r="D47" s="1212">
        <f t="shared" si="24"/>
        <v>-561656.73038045038</v>
      </c>
      <c r="E47" s="1212">
        <f t="shared" si="24"/>
        <v>-526558.43434490811</v>
      </c>
      <c r="F47" s="1212">
        <f t="shared" si="24"/>
        <v>-1656331.7371514337</v>
      </c>
      <c r="G47" s="1212">
        <f t="shared" si="24"/>
        <v>-5488637.5529870847</v>
      </c>
      <c r="H47" s="1212">
        <f t="shared" si="24"/>
        <v>-1020483.3257311017</v>
      </c>
      <c r="I47" s="1212">
        <f t="shared" si="24"/>
        <v>-2117001.7983584367</v>
      </c>
      <c r="J47" s="1212">
        <f t="shared" si="24"/>
        <v>-1646829.6102130874</v>
      </c>
      <c r="K47" s="1212">
        <f t="shared" si="24"/>
        <v>-1285852.0051672468</v>
      </c>
      <c r="L47" s="1212">
        <f t="shared" si="24"/>
        <v>-858379.9327689677</v>
      </c>
      <c r="M47" s="1212">
        <f t="shared" si="24"/>
        <v>-1214888.4938611574</v>
      </c>
      <c r="N47" s="1212">
        <f t="shared" si="24"/>
        <v>-627510.641048391</v>
      </c>
      <c r="O47" s="1212">
        <f t="shared" si="24"/>
        <v>-643078.64592366095</v>
      </c>
      <c r="P47" s="1212">
        <f t="shared" si="24"/>
        <v>-665218.53939009178</v>
      </c>
      <c r="Q47" s="1212">
        <f t="shared" si="24"/>
        <v>-3087446.089091741</v>
      </c>
      <c r="R47" s="1212">
        <f t="shared" si="24"/>
        <v>-3164965.9876686637</v>
      </c>
      <c r="S47" s="1212">
        <f t="shared" si="24"/>
        <v>-545811.08250834153</v>
      </c>
      <c r="T47" s="1212">
        <f t="shared" si="24"/>
        <v>-543622.26317833608</v>
      </c>
      <c r="U47" s="1212">
        <f t="shared" si="24"/>
        <v>-543284.19321057375</v>
      </c>
      <c r="V47" s="1212">
        <f t="shared" si="24"/>
        <v>-542656.15241920634</v>
      </c>
      <c r="W47" s="1212">
        <f t="shared" si="24"/>
        <v>-547799.8979016199</v>
      </c>
      <c r="X47" s="1212">
        <f t="shared" si="24"/>
        <v>-537517.36404521472</v>
      </c>
      <c r="Y47" s="1212">
        <f t="shared" si="24"/>
        <v>-536193.98339147866</v>
      </c>
      <c r="Z47" s="1212">
        <f t="shared" si="24"/>
        <v>-534480.6930145995</v>
      </c>
      <c r="AA47" s="1212">
        <f t="shared" si="24"/>
        <v>-532286.09832449141</v>
      </c>
      <c r="AB47" s="1212">
        <f t="shared" si="24"/>
        <v>-539008.21177561476</v>
      </c>
      <c r="AC47" s="1212">
        <f t="shared" si="24"/>
        <v>-526129.63690176501</v>
      </c>
      <c r="AD47" s="1212">
        <f t="shared" si="24"/>
        <v>-521455.363721909</v>
      </c>
      <c r="AE47" s="1212">
        <f t="shared" si="24"/>
        <v>-513773.94312890084</v>
      </c>
      <c r="AF47" s="1228">
        <f t="shared" si="24"/>
        <v>-470637.08456680365</v>
      </c>
      <c r="AG47" s="1231">
        <f t="shared" si="23"/>
        <v>-32562757.721748278</v>
      </c>
    </row>
    <row r="48" spans="2:34" s="206" customFormat="1" ht="21" customHeight="1">
      <c r="B48" s="468" t="s">
        <v>230</v>
      </c>
      <c r="C48" s="1212">
        <f t="shared" ref="C48:AF48" si="25">SUM(C49:C51)</f>
        <v>-563262.22957299976</v>
      </c>
      <c r="D48" s="1212">
        <f t="shared" si="25"/>
        <v>-345639.16425320646</v>
      </c>
      <c r="E48" s="1212">
        <f t="shared" si="25"/>
        <v>-302337.51106105704</v>
      </c>
      <c r="F48" s="1212">
        <f t="shared" si="25"/>
        <v>-1393737.2138793978</v>
      </c>
      <c r="G48" s="1212">
        <f t="shared" si="25"/>
        <v>-5209890.1252055857</v>
      </c>
      <c r="H48" s="1212">
        <f t="shared" si="25"/>
        <v>-727898.33131925284</v>
      </c>
      <c r="I48" s="1212">
        <f t="shared" si="25"/>
        <v>-1713105.5265664214</v>
      </c>
      <c r="J48" s="1212">
        <f t="shared" si="25"/>
        <v>-1191741.8254753242</v>
      </c>
      <c r="K48" s="1211">
        <f t="shared" si="25"/>
        <v>-836694.82581794215</v>
      </c>
      <c r="L48" s="1211">
        <f t="shared" si="25"/>
        <v>-396946.92825194134</v>
      </c>
      <c r="M48" s="1211">
        <f t="shared" si="25"/>
        <v>-708522.34751189826</v>
      </c>
      <c r="N48" s="1211">
        <f t="shared" si="25"/>
        <v>-47337.753752136574</v>
      </c>
      <c r="O48" s="1211">
        <f t="shared" si="25"/>
        <v>-47337.753752136574</v>
      </c>
      <c r="P48" s="1211">
        <f t="shared" si="25"/>
        <v>-68386.753752136574</v>
      </c>
      <c r="Q48" s="1211">
        <f t="shared" si="25"/>
        <v>-2479711.3229834135</v>
      </c>
      <c r="R48" s="1211">
        <f t="shared" si="25"/>
        <v>-2610913.0281697232</v>
      </c>
      <c r="S48" s="1211">
        <f t="shared" si="25"/>
        <v>-63098.753752136574</v>
      </c>
      <c r="T48" s="1211">
        <f t="shared" si="25"/>
        <v>-63098.753752136574</v>
      </c>
      <c r="U48" s="1211">
        <f t="shared" si="25"/>
        <v>-63098.753752136574</v>
      </c>
      <c r="V48" s="1211">
        <f t="shared" si="25"/>
        <v>-63098.753752136574</v>
      </c>
      <c r="W48" s="1211">
        <f t="shared" si="25"/>
        <v>-68793.753752136574</v>
      </c>
      <c r="X48" s="1211">
        <f t="shared" si="25"/>
        <v>-59438.753752136574</v>
      </c>
      <c r="Y48" s="1211">
        <f t="shared" si="25"/>
        <v>-59438.753752136574</v>
      </c>
      <c r="Z48" s="1211">
        <f t="shared" si="25"/>
        <v>-59438.753752136574</v>
      </c>
      <c r="AA48" s="1211">
        <f t="shared" si="25"/>
        <v>-59438.753752136574</v>
      </c>
      <c r="AB48" s="1211">
        <f t="shared" si="25"/>
        <v>-68793.753752136574</v>
      </c>
      <c r="AC48" s="1211">
        <f t="shared" si="25"/>
        <v>-60252.753752136574</v>
      </c>
      <c r="AD48" s="1211">
        <f t="shared" si="25"/>
        <v>-61066.753752136574</v>
      </c>
      <c r="AE48" s="1211">
        <f t="shared" si="25"/>
        <v>-62284.753752136574</v>
      </c>
      <c r="AF48" s="1211">
        <f t="shared" si="25"/>
        <v>-59447.247996732927</v>
      </c>
      <c r="AG48" s="1231">
        <f t="shared" si="23"/>
        <v>-19514251.688099056</v>
      </c>
      <c r="AH48" s="207"/>
    </row>
    <row r="49" spans="2:34" s="206" customFormat="1" ht="21" customHeight="1">
      <c r="B49" s="470" t="s">
        <v>231</v>
      </c>
      <c r="C49" s="1214">
        <f t="array" ref="C49:AF49">-TRANSPOSE('18 R1 Invest Total'!C4:C33)</f>
        <v>-408428.3754822117</v>
      </c>
      <c r="D49" s="1214">
        <v>-329783.01199834509</v>
      </c>
      <c r="E49" s="1214">
        <v>-226602.31678867349</v>
      </c>
      <c r="F49" s="1214">
        <v>-1359859.3479073208</v>
      </c>
      <c r="G49" s="1214">
        <v>-423362.0777800596</v>
      </c>
      <c r="H49" s="1214">
        <v>-99278.617780059591</v>
      </c>
      <c r="I49" s="1214">
        <v>-14581.887780059598</v>
      </c>
      <c r="J49" s="1214">
        <v>-14581.887780059598</v>
      </c>
      <c r="K49" s="1214">
        <v>-14581.887780059598</v>
      </c>
      <c r="L49" s="1214">
        <v>-15189.887780059598</v>
      </c>
      <c r="M49" s="1214">
        <v>-14785.887780059598</v>
      </c>
      <c r="N49" s="1214">
        <v>-14275.887780059598</v>
      </c>
      <c r="O49" s="1214">
        <v>-14275.887780059598</v>
      </c>
      <c r="P49" s="1214">
        <v>-14275.887780059598</v>
      </c>
      <c r="Q49" s="1214">
        <v>-14275.887780059598</v>
      </c>
      <c r="R49" s="1214">
        <v>-12851.887780059598</v>
      </c>
      <c r="S49" s="1214">
        <v>-12851.887780059598</v>
      </c>
      <c r="T49" s="1214">
        <v>-12851.887780059598</v>
      </c>
      <c r="U49" s="1214">
        <v>-12851.887780059598</v>
      </c>
      <c r="V49" s="1214">
        <v>-12851.887780059598</v>
      </c>
      <c r="W49" s="1214">
        <v>-14377.887780059598</v>
      </c>
      <c r="X49" s="1214">
        <v>-11835.887780059598</v>
      </c>
      <c r="Y49" s="1214">
        <v>-11835.887780059598</v>
      </c>
      <c r="Z49" s="1214">
        <v>-11835.887780059598</v>
      </c>
      <c r="AA49" s="1214">
        <v>-11835.887780059598</v>
      </c>
      <c r="AB49" s="1214">
        <v>-14377.887780059598</v>
      </c>
      <c r="AC49" s="1214">
        <v>-12039.887780059598</v>
      </c>
      <c r="AD49" s="1214">
        <v>-12243.887780059598</v>
      </c>
      <c r="AE49" s="1214">
        <v>-12647.887780059598</v>
      </c>
      <c r="AF49" s="1230">
        <v>-9773.2620246559418</v>
      </c>
      <c r="AG49" s="1231">
        <f t="shared" si="23"/>
        <v>-3165202.4287026967</v>
      </c>
    </row>
    <row r="50" spans="2:34" s="1531" customFormat="1" ht="21" customHeight="1">
      <c r="B50" s="1258" t="s">
        <v>232</v>
      </c>
      <c r="C50" s="1214">
        <f>'R1 FC'!C9</f>
        <v>-37879.125589369905</v>
      </c>
      <c r="D50" s="1214">
        <f>'R1 FC'!D9</f>
        <v>-571.94869673148537</v>
      </c>
      <c r="E50" s="1214">
        <f>'R1 FC'!E9</f>
        <v>-9420.8028316306008</v>
      </c>
      <c r="F50" s="1214">
        <f>'R1 FC'!F9</f>
        <v>-816</v>
      </c>
      <c r="G50" s="1214">
        <f>'R1 FC'!G9</f>
        <v>-4753466.1814534497</v>
      </c>
      <c r="H50" s="1214">
        <f>'R1 FC'!H9</f>
        <v>-595557.84756711626</v>
      </c>
      <c r="I50" s="1214">
        <f>'R1 FC'!I9</f>
        <v>-1665461.7728142848</v>
      </c>
      <c r="J50" s="1214">
        <f>'R1 FC'!J9</f>
        <v>-1144098.0717231876</v>
      </c>
      <c r="K50" s="1222">
        <f>IF('R1 FC'!K9-'E7 Reprog Inv Esg'!B41&lt;0,'R1 FC'!K9-'E7 Reprog Inv Esg'!B41,0)</f>
        <v>-789051.07206580555</v>
      </c>
      <c r="L50" s="1222">
        <f>IF('R1 FC'!L9-'E7 Reprog Inv Esg'!C41&lt;0,'R1 FC'!L9-'E7 Reprog Inv Esg'!C41,0)</f>
        <v>-348695.17449980474</v>
      </c>
      <c r="M50" s="1222">
        <f>IF('R1 FC'!M9-'E7 Reprog Inv Esg'!D41&lt;0,'R1 FC'!M9-'E7 Reprog Inv Esg'!D41,0)</f>
        <v>-660674.59375976166</v>
      </c>
      <c r="N50" s="1222">
        <f>IF('R1 FC'!N9-'E7 Reprog Inv Esg'!E41&lt;0,'R1 FC'!N9-'E7 Reprog Inv Esg'!E41,0)</f>
        <v>0</v>
      </c>
      <c r="O50" s="1222">
        <f>IF('R1 FC'!O9-'E7 Reprog Inv Esg'!F41&lt;0,'R1 FC'!O9-'E7 Reprog Inv Esg'!F41,0)</f>
        <v>0</v>
      </c>
      <c r="P50" s="1222">
        <f>IF('R1 FC'!P9-'E7 Reprog Inv Esg'!G41&lt;0,'R1 FC'!P9-'E7 Reprog Inv Esg'!G41,0)</f>
        <v>-21049</v>
      </c>
      <c r="Q50" s="1222">
        <f>IF('R1 FC'!Q9-'E7 Reprog Inv Esg'!H41&lt;0,'R1 FC'!Q9-'E7 Reprog Inv Esg'!H41,0)</f>
        <v>-2432373.5692312769</v>
      </c>
      <c r="R50" s="1222">
        <f>IF('R1 FC'!R9-'E7 Reprog Inv Esg'!I41&lt;0,'R1 FC'!R9-'E7 Reprog Inv Esg'!I41,0)</f>
        <v>-2564999.2744175866</v>
      </c>
      <c r="S50" s="1222">
        <f>IF('R1 FC'!S9-'E7 Reprog Inv Esg'!J41&lt;0,'R1 FC'!S9-'E7 Reprog Inv Esg'!J41,0)</f>
        <v>-17185</v>
      </c>
      <c r="T50" s="1222">
        <f>IF('R1 FC'!T9-'E7 Reprog Inv Esg'!K41&lt;0,'R1 FC'!T9-'E7 Reprog Inv Esg'!K41,0)</f>
        <v>-17185</v>
      </c>
      <c r="U50" s="1222">
        <f>IF('R1 FC'!U9-'E7 Reprog Inv Esg'!L41&lt;0,'R1 FC'!U9-'E7 Reprog Inv Esg'!L41,0)</f>
        <v>-17185</v>
      </c>
      <c r="V50" s="1222">
        <f>IF('R1 FC'!V9-'E7 Reprog Inv Esg'!M41&lt;0,'R1 FC'!V9-'E7 Reprog Inv Esg'!M41,0)</f>
        <v>-17185</v>
      </c>
      <c r="W50" s="1222">
        <f>IF('R1 FC'!W9-'E7 Reprog Inv Esg'!N41&lt;0,'R1 FC'!W9-'E7 Reprog Inv Esg'!N41,0)</f>
        <v>-21354</v>
      </c>
      <c r="X50" s="1222">
        <f>IF('R1 FC'!X9-'E7 Reprog Inv Esg'!O41&lt;0,'R1 FC'!X9-'E7 Reprog Inv Esg'!O41,0)</f>
        <v>-14541</v>
      </c>
      <c r="Y50" s="1222">
        <f>IF('R1 FC'!Y9-'E7 Reprog Inv Esg'!P41&lt;0,'R1 FC'!Y9-'E7 Reprog Inv Esg'!P41,0)</f>
        <v>-14541</v>
      </c>
      <c r="Z50" s="1222">
        <f>IF('R1 FC'!Z9-'E7 Reprog Inv Esg'!Q41&lt;0,'R1 FC'!Z9-'E7 Reprog Inv Esg'!Q41,0)</f>
        <v>-14541</v>
      </c>
      <c r="AA50" s="1222">
        <f>IF('R1 FC'!AA9-'E7 Reprog Inv Esg'!R41&lt;0,'R1 FC'!AA9-'E7 Reprog Inv Esg'!R41,0)</f>
        <v>-14541</v>
      </c>
      <c r="AB50" s="1222">
        <f>IF('R1 FC'!AB9-'E7 Reprog Inv Esg'!S41&lt;0,'R1 FC'!AB9-'E7 Reprog Inv Esg'!S41,0)</f>
        <v>-21354</v>
      </c>
      <c r="AC50" s="1222">
        <f>IF('R1 FC'!AC9-'E7 Reprog Inv Esg'!T41&lt;0,'R1 FC'!AC9-'E7 Reprog Inv Esg'!T41,0)</f>
        <v>-15151</v>
      </c>
      <c r="AD50" s="1222">
        <f>IF('R1 FC'!AD9-'E7 Reprog Inv Esg'!U41&lt;0,'R1 FC'!AD9-'E7 Reprog Inv Esg'!U41,0)</f>
        <v>-15761</v>
      </c>
      <c r="AE50" s="1222">
        <f>IF('R1 FC'!AE9-'E7 Reprog Inv Esg'!V41&lt;0,'R1 FC'!AE9-'E7 Reprog Inv Esg'!V41,0)</f>
        <v>-16575</v>
      </c>
      <c r="AF50" s="1222">
        <f>IF('R1 FC'!AF9-'E7 Reprog Inv Esg'!W41&lt;0,'R1 FC'!AF9-'E7 Reprog Inv Esg'!W41,0)</f>
        <v>-16612.120000000003</v>
      </c>
      <c r="AG50" s="1532">
        <f t="shared" si="23"/>
        <v>-15257825.554650005</v>
      </c>
    </row>
    <row r="51" spans="2:34" s="206" customFormat="1" ht="21" customHeight="1">
      <c r="B51" s="470" t="s">
        <v>233</v>
      </c>
      <c r="C51" s="1214">
        <f t="array" ref="C51:AF51">-TRANSPOSE('18 R1 Invest Total'!E4:E33)</f>
        <v>-116954.72850141811</v>
      </c>
      <c r="D51" s="1214">
        <v>-15284.203558129915</v>
      </c>
      <c r="E51" s="1214">
        <v>-66314.391440752952</v>
      </c>
      <c r="F51" s="1214">
        <v>-33061.865972076979</v>
      </c>
      <c r="G51" s="1214">
        <v>-33061.865972076979</v>
      </c>
      <c r="H51" s="1214">
        <v>-33061.865972076979</v>
      </c>
      <c r="I51" s="1214">
        <v>-33061.865972076979</v>
      </c>
      <c r="J51" s="1214">
        <v>-33061.865972076979</v>
      </c>
      <c r="K51" s="1214">
        <v>-33061.865972076979</v>
      </c>
      <c r="L51" s="1214">
        <v>-33061.865972076979</v>
      </c>
      <c r="M51" s="1214">
        <v>-33061.865972076979</v>
      </c>
      <c r="N51" s="1214">
        <v>-33061.865972076979</v>
      </c>
      <c r="O51" s="1214">
        <v>-33061.865972076979</v>
      </c>
      <c r="P51" s="1214">
        <v>-33061.865972076979</v>
      </c>
      <c r="Q51" s="1214">
        <v>-33061.865972076979</v>
      </c>
      <c r="R51" s="1214">
        <v>-33061.865972076979</v>
      </c>
      <c r="S51" s="1214">
        <v>-33061.865972076979</v>
      </c>
      <c r="T51" s="1214">
        <v>-33061.865972076979</v>
      </c>
      <c r="U51" s="1214">
        <v>-33061.865972076979</v>
      </c>
      <c r="V51" s="1214">
        <v>-33061.865972076979</v>
      </c>
      <c r="W51" s="1214">
        <v>-33061.865972076979</v>
      </c>
      <c r="X51" s="1214">
        <v>-33061.865972076979</v>
      </c>
      <c r="Y51" s="1214">
        <v>-33061.865972076979</v>
      </c>
      <c r="Z51" s="1214">
        <v>-33061.865972076979</v>
      </c>
      <c r="AA51" s="1214">
        <v>-33061.865972076979</v>
      </c>
      <c r="AB51" s="1214">
        <v>-33061.865972076979</v>
      </c>
      <c r="AC51" s="1214">
        <v>-33061.865972076979</v>
      </c>
      <c r="AD51" s="1214">
        <v>-33061.865972076979</v>
      </c>
      <c r="AE51" s="1214">
        <v>-33061.865972076979</v>
      </c>
      <c r="AF51" s="1230">
        <v>-33061.865972076979</v>
      </c>
      <c r="AG51" s="1231">
        <f t="shared" si="23"/>
        <v>-1091223.70474638</v>
      </c>
    </row>
    <row r="52" spans="2:34" s="206" customFormat="1" ht="21" customHeight="1">
      <c r="B52" s="468" t="s">
        <v>234</v>
      </c>
      <c r="C52" s="1212">
        <f>C53+C54</f>
        <v>0</v>
      </c>
      <c r="D52" s="1212">
        <f t="shared" ref="D52:AF52" si="26">D53+D54</f>
        <v>-216017.56612724392</v>
      </c>
      <c r="E52" s="1212">
        <f t="shared" si="26"/>
        <v>-224220.92328385104</v>
      </c>
      <c r="F52" s="1212">
        <f t="shared" si="26"/>
        <v>-262594.52327203582</v>
      </c>
      <c r="G52" s="1212">
        <f t="shared" si="26"/>
        <v>-278747.42778149887</v>
      </c>
      <c r="H52" s="1212">
        <f t="shared" si="26"/>
        <v>-292584.99441184889</v>
      </c>
      <c r="I52" s="1212">
        <f t="shared" si="26"/>
        <v>-403896.27179201529</v>
      </c>
      <c r="J52" s="1212">
        <f t="shared" si="26"/>
        <v>-455087.78473776334</v>
      </c>
      <c r="K52" s="1212">
        <f t="shared" si="26"/>
        <v>-449157.17934930464</v>
      </c>
      <c r="L52" s="1212">
        <f t="shared" si="26"/>
        <v>-461433.0045170263</v>
      </c>
      <c r="M52" s="1212">
        <f t="shared" si="26"/>
        <v>-506366.14634925919</v>
      </c>
      <c r="N52" s="1212">
        <f t="shared" si="26"/>
        <v>-580172.8872962544</v>
      </c>
      <c r="O52" s="1212">
        <f t="shared" si="26"/>
        <v>-595740.89217152435</v>
      </c>
      <c r="P52" s="1212">
        <f t="shared" si="26"/>
        <v>-596831.78563795518</v>
      </c>
      <c r="Q52" s="1212">
        <f t="shared" si="26"/>
        <v>-607734.76610832755</v>
      </c>
      <c r="R52" s="1212">
        <f t="shared" si="26"/>
        <v>-554052.9594989405</v>
      </c>
      <c r="S52" s="1212">
        <f t="shared" si="26"/>
        <v>-482712.32875620492</v>
      </c>
      <c r="T52" s="1212">
        <f t="shared" si="26"/>
        <v>-480523.50942619948</v>
      </c>
      <c r="U52" s="1212">
        <f t="shared" si="26"/>
        <v>-480185.43945843721</v>
      </c>
      <c r="V52" s="1212">
        <f t="shared" si="26"/>
        <v>-479557.39866706973</v>
      </c>
      <c r="W52" s="1212">
        <f t="shared" si="26"/>
        <v>-479006.14414948336</v>
      </c>
      <c r="X52" s="1212">
        <f t="shared" si="26"/>
        <v>-478078.61029307818</v>
      </c>
      <c r="Y52" s="1212">
        <f t="shared" si="26"/>
        <v>-476755.22963934211</v>
      </c>
      <c r="Z52" s="1212">
        <f t="shared" si="26"/>
        <v>-475041.93926246295</v>
      </c>
      <c r="AA52" s="1212">
        <f t="shared" si="26"/>
        <v>-472847.34457235481</v>
      </c>
      <c r="AB52" s="1212">
        <f t="shared" si="26"/>
        <v>-470214.45802347816</v>
      </c>
      <c r="AC52" s="1212">
        <f t="shared" si="26"/>
        <v>-465876.88314962847</v>
      </c>
      <c r="AD52" s="1212">
        <f t="shared" si="26"/>
        <v>-460388.60996977246</v>
      </c>
      <c r="AE52" s="1212">
        <f t="shared" si="26"/>
        <v>-451489.18937676423</v>
      </c>
      <c r="AF52" s="1228">
        <f t="shared" si="26"/>
        <v>-411189.83657007071</v>
      </c>
      <c r="AG52" s="1231">
        <f t="shared" si="23"/>
        <v>-13048506.033649193</v>
      </c>
    </row>
    <row r="53" spans="2:34" s="206" customFormat="1" ht="21" customHeight="1">
      <c r="B53" s="469" t="s">
        <v>235</v>
      </c>
      <c r="C53" s="1214">
        <f>C31</f>
        <v>0</v>
      </c>
      <c r="D53" s="1214">
        <f t="shared" ref="D53:AF54" si="27">D31</f>
        <v>-152483.50450532642</v>
      </c>
      <c r="E53" s="1214">
        <f t="shared" si="27"/>
        <v>-158515.38476753753</v>
      </c>
      <c r="F53" s="1214">
        <f t="shared" si="27"/>
        <v>-186731.26711179104</v>
      </c>
      <c r="G53" s="1214">
        <f t="shared" si="27"/>
        <v>-198608.40278051386</v>
      </c>
      <c r="H53" s="1214">
        <f t="shared" si="27"/>
        <v>-208783.08412635949</v>
      </c>
      <c r="I53" s="1214">
        <f t="shared" si="27"/>
        <v>-290629.61161177594</v>
      </c>
      <c r="J53" s="1214">
        <f t="shared" si="27"/>
        <v>-328270.42995423777</v>
      </c>
      <c r="K53" s="1214">
        <f t="shared" si="27"/>
        <v>-323909.69069801812</v>
      </c>
      <c r="L53" s="1214">
        <f t="shared" si="27"/>
        <v>-332936.03273310757</v>
      </c>
      <c r="M53" s="1214">
        <f t="shared" si="27"/>
        <v>-365975.10760974942</v>
      </c>
      <c r="N53" s="1214">
        <f t="shared" si="27"/>
        <v>-420244.7700707753</v>
      </c>
      <c r="O53" s="1214">
        <f t="shared" si="27"/>
        <v>-431691.83247906202</v>
      </c>
      <c r="P53" s="1214">
        <f t="shared" si="27"/>
        <v>-432493.96002790821</v>
      </c>
      <c r="Q53" s="1214">
        <f t="shared" si="27"/>
        <v>-440510.85743259377</v>
      </c>
      <c r="R53" s="1214">
        <f t="shared" si="27"/>
        <v>-401038.94080804446</v>
      </c>
      <c r="S53" s="1214">
        <f t="shared" si="27"/>
        <v>-348582.59467368008</v>
      </c>
      <c r="T53" s="1214">
        <f t="shared" si="27"/>
        <v>-346973.16869573493</v>
      </c>
      <c r="U53" s="1214">
        <f t="shared" si="27"/>
        <v>-346724.58783708618</v>
      </c>
      <c r="V53" s="1214">
        <f t="shared" si="27"/>
        <v>-346262.79313755129</v>
      </c>
      <c r="W53" s="1214">
        <f t="shared" si="27"/>
        <v>-345857.45893344365</v>
      </c>
      <c r="X53" s="1214">
        <f t="shared" si="27"/>
        <v>-345175.44874491042</v>
      </c>
      <c r="Y53" s="1214">
        <f t="shared" si="27"/>
        <v>-344202.37473481038</v>
      </c>
      <c r="Z53" s="1214">
        <f t="shared" si="27"/>
        <v>-342942.60239886981</v>
      </c>
      <c r="AA53" s="1214">
        <f t="shared" si="27"/>
        <v>-341328.92983261385</v>
      </c>
      <c r="AB53" s="1214">
        <f t="shared" si="27"/>
        <v>-339392.98384079279</v>
      </c>
      <c r="AC53" s="1214">
        <f t="shared" si="27"/>
        <v>-336203.59055119741</v>
      </c>
      <c r="AD53" s="1214">
        <f t="shared" si="27"/>
        <v>-332168.09556600917</v>
      </c>
      <c r="AE53" s="1214">
        <f t="shared" si="27"/>
        <v>-325624.40395350312</v>
      </c>
      <c r="AF53" s="1214">
        <f t="shared" si="27"/>
        <v>-295992.52688975789</v>
      </c>
      <c r="AG53" s="1231">
        <f t="shared" si="23"/>
        <v>-9410254.4365067612</v>
      </c>
    </row>
    <row r="54" spans="2:34" s="206" customFormat="1" ht="21" customHeight="1" thickBot="1">
      <c r="B54" s="476" t="s">
        <v>236</v>
      </c>
      <c r="C54" s="1214">
        <f>C32</f>
        <v>0</v>
      </c>
      <c r="D54" s="1214">
        <f t="shared" si="27"/>
        <v>-63534.061621917506</v>
      </c>
      <c r="E54" s="1214">
        <f t="shared" si="27"/>
        <v>-65705.538516313507</v>
      </c>
      <c r="F54" s="1214">
        <f t="shared" si="27"/>
        <v>-75863.256160244768</v>
      </c>
      <c r="G54" s="1214">
        <f t="shared" si="27"/>
        <v>-80139.025000984999</v>
      </c>
      <c r="H54" s="1214">
        <f t="shared" si="27"/>
        <v>-83801.910285489415</v>
      </c>
      <c r="I54" s="1214">
        <f t="shared" si="27"/>
        <v>-113266.66018023933</v>
      </c>
      <c r="J54" s="1214">
        <f t="shared" si="27"/>
        <v>-126817.35478352559</v>
      </c>
      <c r="K54" s="1214">
        <f t="shared" si="27"/>
        <v>-125247.48865128652</v>
      </c>
      <c r="L54" s="1214">
        <f t="shared" si="27"/>
        <v>-128496.97178391872</v>
      </c>
      <c r="M54" s="1214">
        <f t="shared" si="27"/>
        <v>-140391.03873950979</v>
      </c>
      <c r="N54" s="1214">
        <f t="shared" si="27"/>
        <v>-159928.1172254791</v>
      </c>
      <c r="O54" s="1214">
        <f t="shared" si="27"/>
        <v>-164049.05969246232</v>
      </c>
      <c r="P54" s="1214">
        <f t="shared" si="27"/>
        <v>-164337.82561004694</v>
      </c>
      <c r="Q54" s="1214">
        <f t="shared" si="27"/>
        <v>-167223.90867573375</v>
      </c>
      <c r="R54" s="1214">
        <f t="shared" si="27"/>
        <v>-153014.01869089599</v>
      </c>
      <c r="S54" s="1214">
        <f t="shared" si="27"/>
        <v>-134129.73408252484</v>
      </c>
      <c r="T54" s="1214">
        <f t="shared" si="27"/>
        <v>-133550.34073046458</v>
      </c>
      <c r="U54" s="1214">
        <f t="shared" si="27"/>
        <v>-133460.85162135103</v>
      </c>
      <c r="V54" s="1214">
        <f t="shared" si="27"/>
        <v>-133294.60552951845</v>
      </c>
      <c r="W54" s="1214">
        <f t="shared" si="27"/>
        <v>-133148.68521603971</v>
      </c>
      <c r="X54" s="1214">
        <f t="shared" si="27"/>
        <v>-132903.16154816776</v>
      </c>
      <c r="Y54" s="1214">
        <f t="shared" si="27"/>
        <v>-132552.85490453173</v>
      </c>
      <c r="Z54" s="1214">
        <f t="shared" si="27"/>
        <v>-132099.33686359314</v>
      </c>
      <c r="AA54" s="1214">
        <f t="shared" si="27"/>
        <v>-131518.41473974098</v>
      </c>
      <c r="AB54" s="1214">
        <f t="shared" si="27"/>
        <v>-130821.4741826854</v>
      </c>
      <c r="AC54" s="1214">
        <f t="shared" si="27"/>
        <v>-129673.29259843106</v>
      </c>
      <c r="AD54" s="1214">
        <f t="shared" si="27"/>
        <v>-128220.5144037633</v>
      </c>
      <c r="AE54" s="1214">
        <f t="shared" si="27"/>
        <v>-125864.78542326111</v>
      </c>
      <c r="AF54" s="1214">
        <f t="shared" si="27"/>
        <v>-115197.30968031284</v>
      </c>
      <c r="AG54" s="1232">
        <f t="shared" si="23"/>
        <v>-3638251.5971424342</v>
      </c>
    </row>
    <row r="55" spans="2:34" s="206" customFormat="1" ht="21" customHeight="1" thickBot="1">
      <c r="B55" s="472" t="s">
        <v>237</v>
      </c>
      <c r="C55" s="1233">
        <f>C45+C47</f>
        <v>-218809.77007688157</v>
      </c>
      <c r="D55" s="1233">
        <f t="shared" ref="D55:AF55" si="28">D45+D47</f>
        <v>163700.12314337248</v>
      </c>
      <c r="E55" s="1233">
        <f t="shared" si="28"/>
        <v>235270.19609394518</v>
      </c>
      <c r="F55" s="1233">
        <f t="shared" si="28"/>
        <v>-770441.89174071245</v>
      </c>
      <c r="G55" s="1233">
        <f t="shared" si="28"/>
        <v>-4501633.8874445725</v>
      </c>
      <c r="H55" s="1233">
        <f t="shared" si="28"/>
        <v>215614.67020301684</v>
      </c>
      <c r="I55" s="1233">
        <f t="shared" si="28"/>
        <v>-523188.59534435021</v>
      </c>
      <c r="J55" s="1233">
        <f t="shared" si="28"/>
        <v>172029.71515199519</v>
      </c>
      <c r="K55" s="1233">
        <f t="shared" si="28"/>
        <v>569734.44614910823</v>
      </c>
      <c r="L55" s="1233">
        <f t="shared" si="28"/>
        <v>1073154.4974409805</v>
      </c>
      <c r="M55" s="1233">
        <f t="shared" si="28"/>
        <v>868649.58226795518</v>
      </c>
      <c r="N55" s="1233">
        <f t="shared" si="28"/>
        <v>1710396.7347938726</v>
      </c>
      <c r="O55" s="1233">
        <f t="shared" si="28"/>
        <v>1743246.8547602012</v>
      </c>
      <c r="P55" s="1233">
        <f t="shared" si="28"/>
        <v>1727100.0452392809</v>
      </c>
      <c r="Q55" s="1233">
        <f t="shared" si="28"/>
        <v>-658785.74273411743</v>
      </c>
      <c r="R55" s="1233">
        <f t="shared" si="28"/>
        <v>-728879.21961034322</v>
      </c>
      <c r="S55" s="1233">
        <f t="shared" si="28"/>
        <v>1866944.0887389304</v>
      </c>
      <c r="T55" s="1233">
        <f t="shared" si="28"/>
        <v>1867548.9544457812</v>
      </c>
      <c r="U55" s="1233">
        <f t="shared" si="28"/>
        <v>1872150.9304582928</v>
      </c>
      <c r="V55" s="1233">
        <f t="shared" si="28"/>
        <v>1876668.0427926243</v>
      </c>
      <c r="W55" s="1233">
        <f t="shared" si="28"/>
        <v>1876212.8358689938</v>
      </c>
      <c r="X55" s="1233">
        <f t="shared" si="28"/>
        <v>1891411.07938817</v>
      </c>
      <c r="Y55" s="1233">
        <f t="shared" si="28"/>
        <v>1896272.0082205231</v>
      </c>
      <c r="Z55" s="1233">
        <f t="shared" si="28"/>
        <v>1901437.4597896598</v>
      </c>
      <c r="AA55" s="1233">
        <f t="shared" si="28"/>
        <v>1907083.8231734333</v>
      </c>
      <c r="AB55" s="1233">
        <f t="shared" si="28"/>
        <v>1904505.676505453</v>
      </c>
      <c r="AC55" s="1233">
        <f t="shared" si="28"/>
        <v>1921825.1166589553</v>
      </c>
      <c r="AD55" s="1233">
        <f t="shared" si="28"/>
        <v>1930441.6611487707</v>
      </c>
      <c r="AE55" s="1233">
        <f t="shared" si="28"/>
        <v>1942481.692167823</v>
      </c>
      <c r="AF55" s="1234">
        <f t="shared" si="28"/>
        <v>1988823.0442238087</v>
      </c>
      <c r="AG55" s="1235">
        <f t="shared" si="23"/>
        <v>27720964.171873968</v>
      </c>
      <c r="AH55" s="207"/>
    </row>
    <row r="56" spans="2:34" s="206" customFormat="1" ht="21" customHeight="1" thickBot="1">
      <c r="B56" s="472" t="s">
        <v>238</v>
      </c>
      <c r="C56" s="886">
        <f>IRR(C55:AF55)</f>
        <v>0.14279155971808333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714</v>
      </c>
      <c r="C58" s="886">
        <v>0.1203</v>
      </c>
    </row>
    <row r="59" spans="2:34" ht="15" thickBot="1"/>
    <row r="60" spans="2:34" ht="15.75" thickBot="1">
      <c r="B60" s="472" t="s">
        <v>659</v>
      </c>
      <c r="C60" s="886">
        <f>C56-C58</f>
        <v>2.2491559718083323E-2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9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1D551-E3D7-4662-AAA7-794687D1BD4F}">
  <sheetPr>
    <tabColor rgb="FF00FF00"/>
  </sheetPr>
  <dimension ref="A2:AJ66"/>
  <sheetViews>
    <sheetView showGridLines="0" zoomScale="70" zoomScaleNormal="70" workbookViewId="0">
      <selection activeCell="D4" sqref="D4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887</v>
      </c>
      <c r="D2" s="1238" t="s">
        <v>713</v>
      </c>
    </row>
    <row r="3" spans="1:33" ht="23.25">
      <c r="B3" s="1236" t="s">
        <v>910</v>
      </c>
      <c r="D3" s="1239">
        <v>-9.4500000000000001E-2</v>
      </c>
    </row>
    <row r="5" spans="1:33">
      <c r="D5" s="1237">
        <f>C56</f>
        <v>0.12027162580955553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112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1">
        <f t="shared" si="0"/>
        <v>3646634.9923181664</v>
      </c>
      <c r="L9" s="1211">
        <f t="shared" si="0"/>
        <v>3734388.9306315007</v>
      </c>
      <c r="M9" s="1211">
        <f t="shared" si="0"/>
        <v>3776808.6937916162</v>
      </c>
      <c r="N9" s="1211">
        <f t="shared" si="0"/>
        <v>3986454.9324791036</v>
      </c>
      <c r="O9" s="1211">
        <f t="shared" si="0"/>
        <v>4217652.2107681781</v>
      </c>
      <c r="P9" s="1211">
        <f t="shared" si="0"/>
        <v>4230721.6887499718</v>
      </c>
      <c r="Q9" s="1211">
        <f t="shared" si="0"/>
        <v>4457159.5828417679</v>
      </c>
      <c r="R9" s="1211">
        <f t="shared" si="0"/>
        <v>4480889.6015259111</v>
      </c>
      <c r="S9" s="1211">
        <f t="shared" si="0"/>
        <v>4247421.9059424065</v>
      </c>
      <c r="T9" s="1211">
        <f t="shared" si="0"/>
        <v>4252482.5778189013</v>
      </c>
      <c r="U9" s="1211">
        <f t="shared" si="0"/>
        <v>4257543.2496953961</v>
      </c>
      <c r="V9" s="1211">
        <f t="shared" si="0"/>
        <v>4262097.8543842426</v>
      </c>
      <c r="W9" s="1211">
        <f t="shared" si="0"/>
        <v>4267664.5934483884</v>
      </c>
      <c r="X9" s="1211">
        <f t="shared" si="0"/>
        <v>4273231.3325125324</v>
      </c>
      <c r="Y9" s="1211">
        <f t="shared" si="0"/>
        <v>4277279.8700137287</v>
      </c>
      <c r="Z9" s="1211">
        <f t="shared" si="0"/>
        <v>4281328.4075149242</v>
      </c>
      <c r="AA9" s="1211">
        <f t="shared" si="0"/>
        <v>4285376.9450161206</v>
      </c>
      <c r="AB9" s="1211">
        <f t="shared" si="0"/>
        <v>4290437.6168926163</v>
      </c>
      <c r="AC9" s="1211">
        <f t="shared" si="0"/>
        <v>4295498.288769111</v>
      </c>
      <c r="AD9" s="1211">
        <f t="shared" si="0"/>
        <v>4300052.8934579566</v>
      </c>
      <c r="AE9" s="1211">
        <f t="shared" si="0"/>
        <v>4305113.5653344514</v>
      </c>
      <c r="AF9" s="1211">
        <f t="shared" si="0"/>
        <v>4308656.0356479986</v>
      </c>
      <c r="AG9" s="1213">
        <f t="shared" ref="AG9:AG17" si="1">SUM(C9:AF9)</f>
        <v>117080092.51772845</v>
      </c>
    </row>
    <row r="10" spans="1:33" ht="20.25" customHeight="1">
      <c r="B10" s="1143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22">
        <f>(1+$D$3)*'R1 DRE'!K5</f>
        <v>2025003.6622452161</v>
      </c>
      <c r="L10" s="1222">
        <f>(1+$D$3)*'R1 DRE'!L5</f>
        <v>2020553.1941508809</v>
      </c>
      <c r="M10" s="1222">
        <f>(1+$D$3)*'R1 DRE'!M5</f>
        <v>2019896.3029910505</v>
      </c>
      <c r="N10" s="1222">
        <f>(1+$D$3)*'R1 DRE'!N5</f>
        <v>2020896.7511955905</v>
      </c>
      <c r="O10" s="1222">
        <f>(1+$D$3)*'R1 DRE'!O5</f>
        <v>2019977.4807047921</v>
      </c>
      <c r="P10" s="1222">
        <f>(1+$D$3)*'R1 DRE'!P5</f>
        <v>2022881.1378404482</v>
      </c>
      <c r="Q10" s="1222">
        <f>(1+$D$3)*'R1 DRE'!Q5</f>
        <v>2025784.794976105</v>
      </c>
      <c r="R10" s="1222">
        <f>(1+$D$3)*'R1 DRE'!R5</f>
        <v>2028446.4806837891</v>
      </c>
      <c r="S10" s="1222">
        <f>(1+$D$3)*'R1 DRE'!S5</f>
        <v>2030866.1949635027</v>
      </c>
      <c r="T10" s="1222">
        <f>(1+$D$3)*'R1 DRE'!T5</f>
        <v>2033285.9092432163</v>
      </c>
      <c r="U10" s="1222">
        <f>(1+$D$3)*'R1 DRE'!U5</f>
        <v>2035705.6235229289</v>
      </c>
      <c r="V10" s="1222">
        <f>(1+$D$3)*'R1 DRE'!V5</f>
        <v>2037883.3663746719</v>
      </c>
      <c r="W10" s="1222">
        <f>(1+$D$3)*'R1 DRE'!W5</f>
        <v>2040545.0520823572</v>
      </c>
      <c r="X10" s="1222">
        <f>(1+$D$3)*'R1 DRE'!X5</f>
        <v>2043206.7377900409</v>
      </c>
      <c r="Y10" s="1222">
        <f>(1+$D$3)*'R1 DRE'!Y5</f>
        <v>2045142.5092138122</v>
      </c>
      <c r="Z10" s="1222">
        <f>(1+$D$3)*'R1 DRE'!Z5</f>
        <v>2047078.2806375832</v>
      </c>
      <c r="AA10" s="1222">
        <f>(1+$D$3)*'R1 DRE'!AA5</f>
        <v>2049014.0520613538</v>
      </c>
      <c r="AB10" s="1222">
        <f>(1+$D$3)*'R1 DRE'!AB5</f>
        <v>2051433.7663410674</v>
      </c>
      <c r="AC10" s="1222">
        <f>(1+$D$3)*'R1 DRE'!AC5</f>
        <v>2053853.4806207805</v>
      </c>
      <c r="AD10" s="1222">
        <f>(1+$D$3)*'R1 DRE'!AD5</f>
        <v>2056031.2234725226</v>
      </c>
      <c r="AE10" s="1222">
        <f>(1+$D$3)*'R1 DRE'!AE5</f>
        <v>2058450.9377522361</v>
      </c>
      <c r="AF10" s="1222">
        <f>(1+$D$3)*'R1 DRE'!AF5</f>
        <v>2060144.7377480357</v>
      </c>
      <c r="AG10" s="1213">
        <f t="shared" si="1"/>
        <v>60213979.519572303</v>
      </c>
    </row>
    <row r="11" spans="1:33" ht="20.25" customHeight="1">
      <c r="B11" s="1143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22">
        <f>(1+$D$3)*('R1 DRE'!K6+'E7 Reprog Inv Esg'!B49)</f>
        <v>1585109.1982975225</v>
      </c>
      <c r="L11" s="1222">
        <f>(1+$D$3)*('R1 DRE'!L6+'E7 Reprog Inv Esg'!C49)</f>
        <v>1676463.4121513972</v>
      </c>
      <c r="M11" s="1222">
        <f>(1+$D$3)*('R1 DRE'!M6+'E7 Reprog Inv Esg'!D49)</f>
        <v>1717778.6546612426</v>
      </c>
      <c r="N11" s="1222">
        <f>(1+$D$3)*('R1 DRE'!N6+'E7 Reprog Inv Esg'!E49)</f>
        <v>1923751.8720444131</v>
      </c>
      <c r="O11" s="1222">
        <f>(1+$D$3)*('R1 DRE'!O6+'E7 Reprog Inv Esg'!F49)</f>
        <v>2155846.5233059782</v>
      </c>
      <c r="P11" s="1222">
        <f>(1+$D$3)*('R1 DRE'!P6+'E7 Reprog Inv Esg'!G49)</f>
        <v>2165952.2173575442</v>
      </c>
      <c r="Q11" s="1222">
        <f>(1+$D$3)*('R1 DRE'!Q6+'E7 Reprog Inv Esg'!H49)</f>
        <v>2389426.3275191104</v>
      </c>
      <c r="R11" s="1222">
        <f>(1+$D$3)*('R1 DRE'!R6+'E7 Reprog Inv Esg'!I49)</f>
        <v>2410439.5442672116</v>
      </c>
      <c r="S11" s="1222">
        <f>(1+$D$3)*('R1 DRE'!S6+'E7 Reprog Inv Esg'!J49)</f>
        <v>2174502.0287418505</v>
      </c>
      <c r="T11" s="1222">
        <f>(1+$D$3)*('R1 DRE'!T6+'E7 Reprog Inv Esg'!K49)</f>
        <v>2177092.8806764884</v>
      </c>
      <c r="U11" s="1222">
        <f>(1+$D$3)*('R1 DRE'!U6+'E7 Reprog Inv Esg'!L49)</f>
        <v>2179683.7326111263</v>
      </c>
      <c r="V11" s="1222">
        <f>(1+$D$3)*('R1 DRE'!V6+'E7 Reprog Inv Esg'!M49)</f>
        <v>2182015.499352301</v>
      </c>
      <c r="W11" s="1222">
        <f>(1+$D$3)*('R1 DRE'!W6+'E7 Reprog Inv Esg'!N49)</f>
        <v>2184865.4364804039</v>
      </c>
      <c r="X11" s="1222">
        <f>(1+$D$3)*('R1 DRE'!X6+'E7 Reprog Inv Esg'!O49)</f>
        <v>2187715.3736085058</v>
      </c>
      <c r="Y11" s="1222">
        <f>(1+$D$3)*('R1 DRE'!Y6+'E7 Reprog Inv Esg'!P49)</f>
        <v>2189788.0551562165</v>
      </c>
      <c r="Z11" s="1222">
        <f>(1+$D$3)*('R1 DRE'!Z6+'E7 Reprog Inv Esg'!Q49)</f>
        <v>2191860.7367039267</v>
      </c>
      <c r="AA11" s="1222">
        <f>(1+$D$3)*('R1 DRE'!AA6+'E7 Reprog Inv Esg'!R49)</f>
        <v>2193933.4182516369</v>
      </c>
      <c r="AB11" s="1222">
        <f>(1+$D$3)*('R1 DRE'!AB6+'E7 Reprog Inv Esg'!S49)</f>
        <v>2196524.2701862762</v>
      </c>
      <c r="AC11" s="1222">
        <f>(1+$D$3)*('R1 DRE'!AC6+'E7 Reprog Inv Esg'!T49)</f>
        <v>2199115.1221209131</v>
      </c>
      <c r="AD11" s="1222">
        <f>(1+$D$3)*('R1 DRE'!AD6+'E7 Reprog Inv Esg'!U49)</f>
        <v>2201446.8888620879</v>
      </c>
      <c r="AE11" s="1222">
        <f>(1+$D$3)*('R1 DRE'!AE6+'E7 Reprog Inv Esg'!V49)</f>
        <v>2204037.7407967262</v>
      </c>
      <c r="AF11" s="1222">
        <f>(1+$D$3)*('R1 DRE'!AF6+'E7 Reprog Inv Esg'!W49)</f>
        <v>2205851.3371509733</v>
      </c>
      <c r="AG11" s="1213">
        <f t="shared" si="1"/>
        <v>55657690.705727383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22">
        <f>(1+$D$3)*'R1 DRE'!K7</f>
        <v>36522.131775427384</v>
      </c>
      <c r="L12" s="1222">
        <f>(1+$D$3)*'R1 DRE'!L7</f>
        <v>37372.324329222778</v>
      </c>
      <c r="M12" s="1222">
        <f>(1+$D$3)*'R1 DRE'!M7</f>
        <v>39133.736139322937</v>
      </c>
      <c r="N12" s="1222">
        <f>(1+$D$3)*'R1 DRE'!N7</f>
        <v>41806.309239100032</v>
      </c>
      <c r="O12" s="1222">
        <f>(1+$D$3)*'R1 DRE'!O7</f>
        <v>41828.206757407701</v>
      </c>
      <c r="P12" s="1222">
        <f>(1+$D$3)*'R1 DRE'!P7</f>
        <v>41888.333551979922</v>
      </c>
      <c r="Q12" s="1222">
        <f>(1+$D$3)*'R1 DRE'!Q7</f>
        <v>41948.460346552158</v>
      </c>
      <c r="R12" s="1222">
        <f>(1+$D$3)*'R1 DRE'!R7</f>
        <v>42003.57657491001</v>
      </c>
      <c r="S12" s="1222">
        <f>(1+$D$3)*'R1 DRE'!S7</f>
        <v>42053.68223705353</v>
      </c>
      <c r="T12" s="1222">
        <f>(1+$D$3)*'R1 DRE'!T7</f>
        <v>42103.787899197043</v>
      </c>
      <c r="U12" s="1222">
        <f>(1+$D$3)*'R1 DRE'!U7</f>
        <v>42153.893561340548</v>
      </c>
      <c r="V12" s="1222">
        <f>(1+$D$3)*'R1 DRE'!V7</f>
        <v>42198.988657269729</v>
      </c>
      <c r="W12" s="1222">
        <f>(1+$D$3)*'R1 DRE'!W7</f>
        <v>42254.10488562761</v>
      </c>
      <c r="X12" s="1222">
        <f>(1+$D$3)*'R1 DRE'!X7</f>
        <v>42309.221113985463</v>
      </c>
      <c r="Y12" s="1222">
        <f>(1+$D$3)*'R1 DRE'!Y7</f>
        <v>42349.305643700289</v>
      </c>
      <c r="Z12" s="1222">
        <f>(1+$D$3)*'R1 DRE'!Z7</f>
        <v>42389.3901734151</v>
      </c>
      <c r="AA12" s="1222">
        <f>(1+$D$3)*'R1 DRE'!AA7</f>
        <v>42429.474703129912</v>
      </c>
      <c r="AB12" s="1222">
        <f>(1+$D$3)*'R1 DRE'!AB7</f>
        <v>42479.580365273425</v>
      </c>
      <c r="AC12" s="1222">
        <f>(1+$D$3)*'R1 DRE'!AC7</f>
        <v>42529.68602741693</v>
      </c>
      <c r="AD12" s="1222">
        <f>(1+$D$3)*'R1 DRE'!AD7</f>
        <v>42574.781123346103</v>
      </c>
      <c r="AE12" s="1222">
        <f>(1+$D$3)*'R1 DRE'!AE7</f>
        <v>42624.886785489631</v>
      </c>
      <c r="AF12" s="1222">
        <f>(1+$D$3)*'R1 DRE'!AF7</f>
        <v>42659.960748990095</v>
      </c>
      <c r="AG12" s="1213">
        <f t="shared" si="1"/>
        <v>1208422.2924287585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2">-SUM(D14:D15)</f>
        <v>-234617.19486967311</v>
      </c>
      <c r="E13" s="1212">
        <f t="shared" si="2"/>
        <v>-255067.11447188459</v>
      </c>
      <c r="F13" s="1212">
        <f t="shared" si="2"/>
        <v>-266470.53804765607</v>
      </c>
      <c r="G13" s="1212">
        <f t="shared" si="2"/>
        <v>-277240.35544356558</v>
      </c>
      <c r="H13" s="1212">
        <f t="shared" si="2"/>
        <v>-305292.86829691898</v>
      </c>
      <c r="I13" s="1212">
        <f t="shared" si="2"/>
        <v>-343021.62437981495</v>
      </c>
      <c r="J13" s="1212">
        <f t="shared" si="2"/>
        <v>-370742.7283114891</v>
      </c>
      <c r="K13" s="1212">
        <f t="shared" si="2"/>
        <v>-337313.73678943043</v>
      </c>
      <c r="L13" s="1212">
        <f t="shared" si="2"/>
        <v>-345430.97608341381</v>
      </c>
      <c r="M13" s="1212">
        <f t="shared" si="2"/>
        <v>-349354.80417572451</v>
      </c>
      <c r="N13" s="1212">
        <f t="shared" si="2"/>
        <v>-368747.08125431708</v>
      </c>
      <c r="O13" s="1212">
        <f t="shared" si="2"/>
        <v>-390132.82949605648</v>
      </c>
      <c r="P13" s="1212">
        <f t="shared" si="2"/>
        <v>-391341.75620937243</v>
      </c>
      <c r="Q13" s="1212">
        <f t="shared" si="2"/>
        <v>-412287.2614128635</v>
      </c>
      <c r="R13" s="1212">
        <f t="shared" si="2"/>
        <v>-414482.28814114677</v>
      </c>
      <c r="S13" s="1212">
        <f t="shared" si="2"/>
        <v>-392886.52629967261</v>
      </c>
      <c r="T13" s="1212">
        <f t="shared" si="2"/>
        <v>-393354.63844824833</v>
      </c>
      <c r="U13" s="1212">
        <f t="shared" si="2"/>
        <v>-393822.7505968241</v>
      </c>
      <c r="V13" s="1212">
        <f t="shared" si="2"/>
        <v>-394244.05153054243</v>
      </c>
      <c r="W13" s="1212">
        <f t="shared" si="2"/>
        <v>-394758.97489397594</v>
      </c>
      <c r="X13" s="1212">
        <f t="shared" si="2"/>
        <v>-395273.89825740928</v>
      </c>
      <c r="Y13" s="1212">
        <f t="shared" si="2"/>
        <v>-395648.38797626994</v>
      </c>
      <c r="Z13" s="1212">
        <f t="shared" si="2"/>
        <v>-396022.87769513048</v>
      </c>
      <c r="AA13" s="1212">
        <f t="shared" si="2"/>
        <v>-396397.36741399113</v>
      </c>
      <c r="AB13" s="1212">
        <f t="shared" si="2"/>
        <v>-396865.47956256702</v>
      </c>
      <c r="AC13" s="1212">
        <f t="shared" si="2"/>
        <v>-397333.5917111428</v>
      </c>
      <c r="AD13" s="1212">
        <f t="shared" si="2"/>
        <v>-397754.89264486101</v>
      </c>
      <c r="AE13" s="1212">
        <f t="shared" si="2"/>
        <v>-398223.00479343673</v>
      </c>
      <c r="AF13" s="1212">
        <f t="shared" si="2"/>
        <v>-398550.68329743989</v>
      </c>
      <c r="AG13" s="1213">
        <f t="shared" si="1"/>
        <v>-10782102.247545563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3">0.076*G9</f>
        <v>227786.67041849715</v>
      </c>
      <c r="H14" s="1214">
        <f t="shared" si="3"/>
        <v>250835.22151963072</v>
      </c>
      <c r="I14" s="1214">
        <f t="shared" si="3"/>
        <v>281833.98327422631</v>
      </c>
      <c r="J14" s="1214">
        <f t="shared" si="3"/>
        <v>304610.24163970997</v>
      </c>
      <c r="K14" s="1214">
        <f t="shared" si="3"/>
        <v>277144.25941618066</v>
      </c>
      <c r="L14" s="1214">
        <f t="shared" si="3"/>
        <v>283813.55872799404</v>
      </c>
      <c r="M14" s="1214">
        <f t="shared" si="3"/>
        <v>287037.46072816284</v>
      </c>
      <c r="N14" s="1214">
        <f t="shared" si="3"/>
        <v>302970.57486841187</v>
      </c>
      <c r="O14" s="1214">
        <f t="shared" si="3"/>
        <v>320541.56801838154</v>
      </c>
      <c r="P14" s="1214">
        <f t="shared" si="3"/>
        <v>321534.84834499785</v>
      </c>
      <c r="Q14" s="1214">
        <f t="shared" si="3"/>
        <v>338744.12829597434</v>
      </c>
      <c r="R14" s="1214">
        <f t="shared" si="3"/>
        <v>340547.60971596924</v>
      </c>
      <c r="S14" s="1214">
        <f t="shared" si="3"/>
        <v>322804.06485162291</v>
      </c>
      <c r="T14" s="1214">
        <f t="shared" si="3"/>
        <v>323188.67591423646</v>
      </c>
      <c r="U14" s="1214">
        <f t="shared" si="3"/>
        <v>323573.28697685007</v>
      </c>
      <c r="V14" s="1214">
        <f t="shared" si="3"/>
        <v>323919.43693320244</v>
      </c>
      <c r="W14" s="1214">
        <f t="shared" si="3"/>
        <v>324342.50910207751</v>
      </c>
      <c r="X14" s="1214">
        <f t="shared" si="3"/>
        <v>324765.58127095248</v>
      </c>
      <c r="Y14" s="1214">
        <f t="shared" si="3"/>
        <v>325073.27012104337</v>
      </c>
      <c r="Z14" s="1214">
        <f t="shared" si="3"/>
        <v>325380.95897113421</v>
      </c>
      <c r="AA14" s="1214">
        <f t="shared" si="3"/>
        <v>325688.64782122517</v>
      </c>
      <c r="AB14" s="1214">
        <f t="shared" si="3"/>
        <v>326073.25888383883</v>
      </c>
      <c r="AC14" s="1214">
        <f t="shared" si="3"/>
        <v>326457.86994645244</v>
      </c>
      <c r="AD14" s="1214">
        <f t="shared" si="3"/>
        <v>326804.01990280469</v>
      </c>
      <c r="AE14" s="1214">
        <f t="shared" si="3"/>
        <v>327188.6309654183</v>
      </c>
      <c r="AF14" s="1214">
        <f t="shared" si="3"/>
        <v>327457.8587092479</v>
      </c>
      <c r="AG14" s="1213">
        <f t="shared" si="1"/>
        <v>8858816.4120107573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4">0.0165*G9</f>
        <v>49453.685025068458</v>
      </c>
      <c r="H15" s="1214">
        <f t="shared" si="4"/>
        <v>54457.646777288253</v>
      </c>
      <c r="I15" s="1214">
        <f t="shared" si="4"/>
        <v>61187.641105588613</v>
      </c>
      <c r="J15" s="1214">
        <f t="shared" si="4"/>
        <v>66132.486671779145</v>
      </c>
      <c r="K15" s="1214">
        <f t="shared" si="4"/>
        <v>60169.477373249749</v>
      </c>
      <c r="L15" s="1214">
        <f t="shared" si="4"/>
        <v>61617.417355419762</v>
      </c>
      <c r="M15" s="1214">
        <f t="shared" si="4"/>
        <v>62317.343447561674</v>
      </c>
      <c r="N15" s="1214">
        <f t="shared" si="4"/>
        <v>65776.506385905217</v>
      </c>
      <c r="O15" s="1214">
        <f t="shared" si="4"/>
        <v>69591.26147767494</v>
      </c>
      <c r="P15" s="1214">
        <f t="shared" si="4"/>
        <v>69806.907864374545</v>
      </c>
      <c r="Q15" s="1214">
        <f t="shared" si="4"/>
        <v>73543.133116889177</v>
      </c>
      <c r="R15" s="1214">
        <f t="shared" si="4"/>
        <v>73934.678425177539</v>
      </c>
      <c r="S15" s="1214">
        <f t="shared" si="4"/>
        <v>70082.461448049711</v>
      </c>
      <c r="T15" s="1214">
        <f t="shared" si="4"/>
        <v>70165.96253401188</v>
      </c>
      <c r="U15" s="1214">
        <f t="shared" si="4"/>
        <v>70249.463619974034</v>
      </c>
      <c r="V15" s="1214">
        <f t="shared" si="4"/>
        <v>70324.614597340013</v>
      </c>
      <c r="W15" s="1214">
        <f t="shared" si="4"/>
        <v>70416.465791898416</v>
      </c>
      <c r="X15" s="1214">
        <f t="shared" si="4"/>
        <v>70508.31698645679</v>
      </c>
      <c r="Y15" s="1214">
        <f t="shared" si="4"/>
        <v>70575.117855226534</v>
      </c>
      <c r="Z15" s="1214">
        <f t="shared" si="4"/>
        <v>70641.918723996248</v>
      </c>
      <c r="AA15" s="1214">
        <f t="shared" si="4"/>
        <v>70708.719592765992</v>
      </c>
      <c r="AB15" s="1214">
        <f t="shared" si="4"/>
        <v>70792.220678728176</v>
      </c>
      <c r="AC15" s="1214">
        <f t="shared" si="4"/>
        <v>70875.72176469033</v>
      </c>
      <c r="AD15" s="1214">
        <f t="shared" si="4"/>
        <v>70950.872742056294</v>
      </c>
      <c r="AE15" s="1214">
        <f t="shared" si="4"/>
        <v>71034.373828018448</v>
      </c>
      <c r="AF15" s="1214">
        <f t="shared" si="4"/>
        <v>71092.824588191987</v>
      </c>
      <c r="AG15" s="1213">
        <f t="shared" si="1"/>
        <v>1923285.8355348017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1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5">D9+D13+D16</f>
        <v>2348736.4306745757</v>
      </c>
      <c r="E17" s="1212">
        <f t="shared" si="5"/>
        <v>2607846.6711710477</v>
      </c>
      <c r="F17" s="1212">
        <f t="shared" si="5"/>
        <v>2673176.6493209945</v>
      </c>
      <c r="G17" s="1212">
        <f t="shared" si="5"/>
        <v>2744549.5840927921</v>
      </c>
      <c r="H17" s="1212">
        <f t="shared" si="5"/>
        <v>3009978.9826078052</v>
      </c>
      <c r="I17" s="1212">
        <f t="shared" si="5"/>
        <v>3344926.3386004027</v>
      </c>
      <c r="J17" s="1212">
        <f t="shared" si="5"/>
        <v>3622302.386444245</v>
      </c>
      <c r="K17" s="1212">
        <f t="shared" si="5"/>
        <v>3306037.7325380766</v>
      </c>
      <c r="L17" s="1212">
        <f t="shared" si="5"/>
        <v>3384216.4057941758</v>
      </c>
      <c r="M17" s="1212">
        <f t="shared" si="5"/>
        <v>3417630.4444021909</v>
      </c>
      <c r="N17" s="1212">
        <f t="shared" si="5"/>
        <v>3602802.8328328766</v>
      </c>
      <c r="O17" s="1212">
        <f t="shared" si="5"/>
        <v>3827397.2581716762</v>
      </c>
      <c r="P17" s="1212">
        <f t="shared" si="5"/>
        <v>3839044.6036476232</v>
      </c>
      <c r="Q17" s="1212">
        <f t="shared" si="5"/>
        <v>4044536.9925359283</v>
      </c>
      <c r="R17" s="1212">
        <f t="shared" si="5"/>
        <v>4066099.9285662039</v>
      </c>
      <c r="S17" s="1212">
        <f t="shared" si="5"/>
        <v>3854255.9388985871</v>
      </c>
      <c r="T17" s="1212">
        <f t="shared" si="5"/>
        <v>3858848.4986265064</v>
      </c>
      <c r="U17" s="1212">
        <f t="shared" si="5"/>
        <v>3863441.0583544252</v>
      </c>
      <c r="V17" s="1212">
        <f t="shared" si="5"/>
        <v>3867602.3061839682</v>
      </c>
      <c r="W17" s="1212">
        <f t="shared" si="5"/>
        <v>3872598.233735851</v>
      </c>
      <c r="X17" s="1212">
        <f t="shared" si="5"/>
        <v>3877650.0494365618</v>
      </c>
      <c r="Y17" s="1212">
        <f t="shared" si="5"/>
        <v>3881407.9294421412</v>
      </c>
      <c r="Z17" s="1212">
        <f t="shared" si="5"/>
        <v>3885081.9772244762</v>
      </c>
      <c r="AA17" s="1212">
        <f t="shared" si="5"/>
        <v>3888756.0250068121</v>
      </c>
      <c r="AB17" s="1212">
        <f t="shared" si="5"/>
        <v>3893292.6965859025</v>
      </c>
      <c r="AC17" s="1212">
        <f t="shared" si="5"/>
        <v>3897885.2563138222</v>
      </c>
      <c r="AD17" s="1212">
        <f t="shared" si="5"/>
        <v>3902046.5041433638</v>
      </c>
      <c r="AE17" s="1212">
        <f t="shared" si="5"/>
        <v>3906611.1197968679</v>
      </c>
      <c r="AF17" s="1212">
        <f t="shared" si="5"/>
        <v>3909909.7438296559</v>
      </c>
      <c r="AG17" s="1213">
        <f t="shared" si="1"/>
        <v>106081741.79820165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6">D19+D20</f>
        <v>-369565.70052795502</v>
      </c>
      <c r="E18" s="1212">
        <f t="shared" si="6"/>
        <v>-372990.80023137957</v>
      </c>
      <c r="F18" s="1212">
        <f t="shared" si="6"/>
        <v>-365825.26800000004</v>
      </c>
      <c r="G18" s="1212">
        <f t="shared" si="6"/>
        <v>-364530.62316929037</v>
      </c>
      <c r="H18" s="1212">
        <f t="shared" si="6"/>
        <v>-386664.99739602057</v>
      </c>
      <c r="I18" s="1212">
        <f t="shared" si="6"/>
        <v>-368051.52738592168</v>
      </c>
      <c r="J18" s="1212">
        <f t="shared" si="6"/>
        <v>-369563.79094887548</v>
      </c>
      <c r="K18" s="1212">
        <f t="shared" si="6"/>
        <v>-367528.74257447</v>
      </c>
      <c r="L18" s="1212">
        <f t="shared" si="6"/>
        <v>-355534.52255699545</v>
      </c>
      <c r="M18" s="1212">
        <f t="shared" si="6"/>
        <v>-332508.46000000002</v>
      </c>
      <c r="N18" s="1212">
        <f t="shared" si="6"/>
        <v>-322233.52070234844</v>
      </c>
      <c r="O18" s="1212">
        <f t="shared" si="6"/>
        <v>-361343.41326174879</v>
      </c>
      <c r="P18" s="1212">
        <f t="shared" si="6"/>
        <v>-362583.70954566193</v>
      </c>
      <c r="Q18" s="1212">
        <f t="shared" si="6"/>
        <v>-400223.13751965231</v>
      </c>
      <c r="R18" s="1212">
        <f t="shared" si="6"/>
        <v>-403387.7</v>
      </c>
      <c r="S18" s="1212">
        <f t="shared" si="6"/>
        <v>-369894.66594447545</v>
      </c>
      <c r="T18" s="1212">
        <f t="shared" si="6"/>
        <v>-362751.99800359353</v>
      </c>
      <c r="U18" s="1212">
        <f t="shared" si="6"/>
        <v>-362789.80886980717</v>
      </c>
      <c r="V18" s="1212">
        <f t="shared" si="6"/>
        <v>-362825.60956597811</v>
      </c>
      <c r="W18" s="1212">
        <f t="shared" si="6"/>
        <v>-362857.98</v>
      </c>
      <c r="X18" s="1212">
        <f t="shared" si="6"/>
        <v>-362911.24421609647</v>
      </c>
      <c r="Y18" s="1212">
        <f t="shared" si="6"/>
        <v>-362943.6906476072</v>
      </c>
      <c r="Z18" s="1212">
        <f t="shared" si="6"/>
        <v>-362978.11100334622</v>
      </c>
      <c r="AA18" s="1212">
        <f t="shared" si="6"/>
        <v>-363012.92385767959</v>
      </c>
      <c r="AB18" s="1212">
        <f t="shared" si="6"/>
        <v>-363097.00400000002</v>
      </c>
      <c r="AC18" s="1212">
        <f t="shared" si="6"/>
        <v>-363097.00762754027</v>
      </c>
      <c r="AD18" s="1212">
        <f t="shared" si="6"/>
        <v>-363135.18987865513</v>
      </c>
      <c r="AE18" s="1212">
        <f t="shared" si="6"/>
        <v>-363180.18092086643</v>
      </c>
      <c r="AF18" s="1212">
        <f t="shared" si="6"/>
        <v>-363220.56991323736</v>
      </c>
      <c r="AG18" s="1213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22">
        <f>'R1 DRE'!K14-'E7 Reprog Inv Esg'!B42</f>
        <v>-218509.5</v>
      </c>
      <c r="L19" s="1222">
        <f>'R1 DRE'!L14-'E7 Reprog Inv Esg'!C42</f>
        <v>-218706.9</v>
      </c>
      <c r="M19" s="1222">
        <f>'R1 DRE'!M14-'E7 Reprog Inv Esg'!D42</f>
        <v>-204515.1</v>
      </c>
      <c r="N19" s="1222">
        <f>'R1 DRE'!N14-'E7 Reprog Inv Esg'!E42</f>
        <v>-198200.4</v>
      </c>
      <c r="O19" s="1222">
        <f>'R1 DRE'!O14-'E7 Reprog Inv Esg'!F42</f>
        <v>-222186.6</v>
      </c>
      <c r="P19" s="1222">
        <f>'R1 DRE'!P14-'E7 Reprog Inv Esg'!G42</f>
        <v>-222919.5</v>
      </c>
      <c r="Q19" s="1222">
        <f>'R1 DRE'!Q14-'E7 Reprog Inv Esg'!H42</f>
        <v>-246002.7</v>
      </c>
      <c r="R19" s="1222">
        <f>'R1 DRE'!R14-'E7 Reprog Inv Esg'!I42</f>
        <v>-247905.3</v>
      </c>
      <c r="S19" s="1222">
        <f>'R1 DRE'!S14-'E7 Reprog Inv Esg'!B56</f>
        <v>-227329.5</v>
      </c>
      <c r="T19" s="1222">
        <f>'R1 DRE'!T14-'E7 Reprog Inv Esg'!C56</f>
        <v>-222919.5</v>
      </c>
      <c r="U19" s="1222">
        <f>'R1 DRE'!U14-'E7 Reprog Inv Esg'!D56</f>
        <v>-222919.5</v>
      </c>
      <c r="V19" s="1222">
        <f>'R1 DRE'!V14-'E7 Reprog Inv Esg'!E56</f>
        <v>-222919.5</v>
      </c>
      <c r="W19" s="1222">
        <f>'R1 DRE'!W14-'E7 Reprog Inv Esg'!F56</f>
        <v>-222919.5</v>
      </c>
      <c r="X19" s="1222">
        <f>'R1 DRE'!X14-'E7 Reprog Inv Esg'!G56</f>
        <v>-222919.5</v>
      </c>
      <c r="Y19" s="1222">
        <f>'R1 DRE'!Y14-'E7 Reprog Inv Esg'!H56</f>
        <v>-222919.5</v>
      </c>
      <c r="Z19" s="1222">
        <f>'R1 DRE'!Z14-'E7 Reprog Inv Esg'!I56</f>
        <v>-222919.5</v>
      </c>
      <c r="AA19" s="1222">
        <f>'R1 DRE'!AA14-'E7 Reprog Inv Esg'!B70</f>
        <v>-222919.5</v>
      </c>
      <c r="AB19" s="1222">
        <f>'R1 DRE'!AB14-'E7 Reprog Inv Esg'!C70</f>
        <v>-222919.5</v>
      </c>
      <c r="AC19" s="1222">
        <f>'R1 DRE'!AC14-'E7 Reprog Inv Esg'!D70</f>
        <v>-222919.5</v>
      </c>
      <c r="AD19" s="1222">
        <f>'R1 DRE'!AD14-'E7 Reprog Inv Esg'!E70</f>
        <v>-222919.5</v>
      </c>
      <c r="AE19" s="1222">
        <f>'R1 DRE'!AE14-'E7 Reprog Inv Esg'!F70</f>
        <v>-222919.5</v>
      </c>
      <c r="AF19" s="1222">
        <f>'R1 DRE'!AF14-'E7 Reprog Inv Esg'!G70</f>
        <v>-222919.5</v>
      </c>
      <c r="AG19" s="1215">
        <f t="shared" si="7"/>
        <v>-6687585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22">
        <f>'R1 DRE'!K15-'E7 Reprog Inv Esg'!B43</f>
        <v>-149019.24257447</v>
      </c>
      <c r="L20" s="1222">
        <f>'R1 DRE'!L15-'E7 Reprog Inv Esg'!C43</f>
        <v>-136827.62255699545</v>
      </c>
      <c r="M20" s="1222">
        <f>'R1 DRE'!M15-'E7 Reprog Inv Esg'!D43</f>
        <v>-127993.36</v>
      </c>
      <c r="N20" s="1222">
        <f>'R1 DRE'!N15-'E7 Reprog Inv Esg'!E43</f>
        <v>-124033.12070234847</v>
      </c>
      <c r="O20" s="1222">
        <f>'R1 DRE'!O15-'E7 Reprog Inv Esg'!F43</f>
        <v>-139156.81326174879</v>
      </c>
      <c r="P20" s="1222">
        <f>'R1 DRE'!P15-'E7 Reprog Inv Esg'!G43</f>
        <v>-139664.20954566196</v>
      </c>
      <c r="Q20" s="1222">
        <f>'R1 DRE'!Q15-'E7 Reprog Inv Esg'!H43</f>
        <v>-154220.4375196523</v>
      </c>
      <c r="R20" s="1222">
        <f>'R1 DRE'!R15-'E7 Reprog Inv Esg'!I43</f>
        <v>-155482.40000000002</v>
      </c>
      <c r="S20" s="1222">
        <f>'R1 DRE'!S15-'E7 Reprog Inv Esg'!B57</f>
        <v>-142565.16594447548</v>
      </c>
      <c r="T20" s="1222">
        <f>'R1 DRE'!T15-'E7 Reprog Inv Esg'!C57</f>
        <v>-139832.49800359353</v>
      </c>
      <c r="U20" s="1222">
        <f>'R1 DRE'!U15-'E7 Reprog Inv Esg'!D57</f>
        <v>-139870.30886980714</v>
      </c>
      <c r="V20" s="1222">
        <f>'R1 DRE'!V15-'E7 Reprog Inv Esg'!E57</f>
        <v>-139906.10956597811</v>
      </c>
      <c r="W20" s="1222">
        <f>'R1 DRE'!W15-'E7 Reprog Inv Esg'!F57</f>
        <v>-139938.48000000001</v>
      </c>
      <c r="X20" s="1222">
        <f>'R1 DRE'!X15-'E7 Reprog Inv Esg'!G57</f>
        <v>-139991.74421609644</v>
      </c>
      <c r="Y20" s="1222">
        <f>'R1 DRE'!Y15-'E7 Reprog Inv Esg'!H57</f>
        <v>-140024.19064760717</v>
      </c>
      <c r="Z20" s="1222">
        <f>'R1 DRE'!Z15-'E7 Reprog Inv Esg'!I57</f>
        <v>-140058.61100334622</v>
      </c>
      <c r="AA20" s="1222">
        <f>'R1 DRE'!AA15-'E7 Reprog Inv Esg'!B71</f>
        <v>-140093.42385767962</v>
      </c>
      <c r="AB20" s="1222">
        <f>'R1 DRE'!AB15-'E7 Reprog Inv Esg'!C71</f>
        <v>-140177.50400000002</v>
      </c>
      <c r="AC20" s="1222">
        <f>'R1 DRE'!AC15-'E7 Reprog Inv Esg'!D71</f>
        <v>-140177.5076275403</v>
      </c>
      <c r="AD20" s="1222">
        <f>'R1 DRE'!AD15-'E7 Reprog Inv Esg'!E71</f>
        <v>-140215.68987865516</v>
      </c>
      <c r="AE20" s="1222">
        <f>'R1 DRE'!AE15-'E7 Reprog Inv Esg'!F71</f>
        <v>-140260.68092086641</v>
      </c>
      <c r="AF20" s="1222">
        <f>'R1 DRE'!AF15-'E7 Reprog Inv Esg'!G71</f>
        <v>-140301.06991323733</v>
      </c>
      <c r="AG20" s="1215">
        <f t="shared" si="7"/>
        <v>-4365715.761531244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8">D22+D23+D24+D25</f>
        <v>-1230326.5123160521</v>
      </c>
      <c r="E21" s="1212">
        <f t="shared" si="8"/>
        <v>-1446948.7737891045</v>
      </c>
      <c r="F21" s="1212">
        <f t="shared" si="8"/>
        <v>-1394729.7694170631</v>
      </c>
      <c r="G21" s="1212">
        <f t="shared" si="8"/>
        <v>-1372431.1735002932</v>
      </c>
      <c r="H21" s="1212">
        <f t="shared" si="8"/>
        <v>-1372166.094364627</v>
      </c>
      <c r="I21" s="1212">
        <f t="shared" si="8"/>
        <v>-1366336.9765073925</v>
      </c>
      <c r="J21" s="1212">
        <f t="shared" si="8"/>
        <v>-1415767.7581980655</v>
      </c>
      <c r="K21" s="1212">
        <f t="shared" si="8"/>
        <v>-1410033.6579406383</v>
      </c>
      <c r="L21" s="1212">
        <f t="shared" si="8"/>
        <v>-1432137.187200658</v>
      </c>
      <c r="M21" s="1212">
        <f t="shared" si="8"/>
        <v>-1340404.0063060189</v>
      </c>
      <c r="N21" s="1212">
        <f t="shared" si="8"/>
        <v>-1300312.2235940488</v>
      </c>
      <c r="O21" s="1212">
        <f t="shared" si="8"/>
        <v>-1458042.5767342837</v>
      </c>
      <c r="P21" s="1212">
        <f t="shared" si="8"/>
        <v>-1463629.9098745186</v>
      </c>
      <c r="Q21" s="1212">
        <f t="shared" si="8"/>
        <v>-1615452.0630147536</v>
      </c>
      <c r="R21" s="1212">
        <f t="shared" si="8"/>
        <v>-1628552.4027858539</v>
      </c>
      <c r="S21" s="1212">
        <f t="shared" si="8"/>
        <v>-1494573.7318946985</v>
      </c>
      <c r="T21" s="1212">
        <f t="shared" si="8"/>
        <v>-1466364.5052424648</v>
      </c>
      <c r="U21" s="1212">
        <f t="shared" si="8"/>
        <v>-1467109.2785902307</v>
      </c>
      <c r="V21" s="1212">
        <f t="shared" si="8"/>
        <v>-1467754.0519379969</v>
      </c>
      <c r="W21" s="1212">
        <f t="shared" si="8"/>
        <v>-1468528.6735217113</v>
      </c>
      <c r="X21" s="1212">
        <f t="shared" si="8"/>
        <v>-1469110.8389274431</v>
      </c>
      <c r="Y21" s="1212">
        <f t="shared" si="8"/>
        <v>-1469661.4495864294</v>
      </c>
      <c r="Z21" s="1212">
        <f t="shared" si="8"/>
        <v>-1470212.0602454157</v>
      </c>
      <c r="AA21" s="1212">
        <f t="shared" si="8"/>
        <v>-1470762.6709044017</v>
      </c>
      <c r="AB21" s="1212">
        <f t="shared" si="8"/>
        <v>-1471525.5055295818</v>
      </c>
      <c r="AC21" s="1212">
        <f t="shared" si="8"/>
        <v>-1472131.1268811177</v>
      </c>
      <c r="AD21" s="1212">
        <f t="shared" si="8"/>
        <v>-1472720.3189069431</v>
      </c>
      <c r="AE21" s="1212">
        <f t="shared" si="8"/>
        <v>-1473335.4033433762</v>
      </c>
      <c r="AF21" s="1212">
        <f t="shared" si="8"/>
        <v>-1473706.477100356</v>
      </c>
      <c r="AG21" s="1213">
        <f t="shared" si="7"/>
        <v>-42912486.362427264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22">
        <f>'R1 DRE'!K17-'E7 Reprog Inv Esg'!B44</f>
        <v>-473710.18706838228</v>
      </c>
      <c r="L22" s="1222">
        <f>'R1 DRE'!L17-'E7 Reprog Inv Esg'!C44</f>
        <v>-480174.88199934782</v>
      </c>
      <c r="M22" s="1222">
        <f>'R1 DRE'!M17-'E7 Reprog Inv Esg'!D44</f>
        <v>-449719.27603734477</v>
      </c>
      <c r="N22" s="1222">
        <f>'R1 DRE'!N17-'E7 Reprog Inv Esg'!E44</f>
        <v>-436538.53706209268</v>
      </c>
      <c r="O22" s="1222">
        <f>'R1 DRE'!O17-'E7 Reprog Inv Esg'!F44</f>
        <v>-490012.38348001952</v>
      </c>
      <c r="P22" s="1222">
        <f>'R1 DRE'!P17-'E7 Reprog Inv Esg'!G44</f>
        <v>-492328.96989794611</v>
      </c>
      <c r="Q22" s="1222">
        <f>'R1 DRE'!Q17-'E7 Reprog Inv Esg'!H44</f>
        <v>-543816.21631587273</v>
      </c>
      <c r="R22" s="1222">
        <f>'R1 DRE'!R17-'E7 Reprog Inv Esg'!I44</f>
        <v>-548580.77936735167</v>
      </c>
      <c r="S22" s="1222">
        <f>'R1 DRE'!S17-'E7 Reprog Inv Esg'!B58</f>
        <v>-503888.17130256217</v>
      </c>
      <c r="T22" s="1222">
        <f>'R1 DRE'!T17-'E7 Reprog Inv Esg'!C58</f>
        <v>-494759.40497506119</v>
      </c>
      <c r="U22" s="1222">
        <f>'R1 DRE'!U17-'E7 Reprog Inv Esg'!D58</f>
        <v>-495332.63864756015</v>
      </c>
      <c r="V22" s="1222">
        <f>'R1 DRE'!V17-'E7 Reprog Inv Esg'!E58</f>
        <v>-495905.87232005922</v>
      </c>
      <c r="W22" s="1222">
        <f>'R1 DRE'!W17-'E7 Reprog Inv Esg'!F58</f>
        <v>-496595.18385540805</v>
      </c>
      <c r="X22" s="1222">
        <f>'R1 DRE'!X17-'E7 Reprog Inv Esg'!G58</f>
        <v>-497111.64190462325</v>
      </c>
      <c r="Y22" s="1222">
        <f>'R1 DRE'!Y17-'E7 Reprog Inv Esg'!H58</f>
        <v>-497601.16502573498</v>
      </c>
      <c r="Z22" s="1222">
        <f>'R1 DRE'!Z17-'E7 Reprog Inv Esg'!I58</f>
        <v>-498090.68814684672</v>
      </c>
      <c r="AA22" s="1222">
        <f>'R1 DRE'!AA17-'E7 Reprog Inv Esg'!B72</f>
        <v>-498580.2112679584</v>
      </c>
      <c r="AB22" s="1222">
        <f>'R1 DRE'!AB17-'E7 Reprog Inv Esg'!C72</f>
        <v>-499259.46152948157</v>
      </c>
      <c r="AC22" s="1222">
        <f>'R1 DRE'!AC17-'E7 Reprog Inv Esg'!D72</f>
        <v>-499796.89372358366</v>
      </c>
      <c r="AD22" s="1222">
        <f>'R1 DRE'!AD17-'E7 Reprog Inv Esg'!E72</f>
        <v>-500320.77892254677</v>
      </c>
      <c r="AE22" s="1222">
        <f>'R1 DRE'!AE17-'E7 Reprog Inv Esg'!F72</f>
        <v>-500867.7180223316</v>
      </c>
      <c r="AF22" s="1222">
        <f>'R1 DRE'!AF17-'E7 Reprog Inv Esg'!G72</f>
        <v>-501196.36969936022</v>
      </c>
      <c r="AG22" s="1215">
        <f t="shared" si="7"/>
        <v>-14615965.937531691</v>
      </c>
      <c r="AI22" s="1216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-'16 R1 OPEX'!E9</f>
        <v>-14599.065768930037</v>
      </c>
      <c r="H23" s="1214">
        <f>-'16 R1 OPEX'!E10</f>
        <v>-15057.798117373999</v>
      </c>
      <c r="I23" s="1214">
        <f>-'16 R1 OPEX'!E11</f>
        <v>-15064.87973247327</v>
      </c>
      <c r="J23" s="1214">
        <f>-'16 R1 OPEX'!E12</f>
        <v>-15072.495622356846</v>
      </c>
      <c r="K23" s="1222">
        <f>'R1 DRE'!K18-'E7 Reprog Inv Esg'!B45</f>
        <v>-14814.826253067265</v>
      </c>
      <c r="L23" s="1222">
        <f>'R1 DRE'!L18-'E7 Reprog Inv Esg'!C45</f>
        <v>-14986.042255394672</v>
      </c>
      <c r="M23" s="1222">
        <f>'R1 DRE'!M18-'E7 Reprog Inv Esg'!D45</f>
        <v>-14054.275172996442</v>
      </c>
      <c r="N23" s="1222">
        <f>'R1 DRE'!N18-'E7 Reprog Inv Esg'!E45</f>
        <v>-13959.737646812109</v>
      </c>
      <c r="O23" s="1222">
        <f>'R1 DRE'!O18-'E7 Reprog Inv Esg'!F45</f>
        <v>-16038.75888608165</v>
      </c>
      <c r="P23" s="1222">
        <f>'R1 DRE'!P18-'E7 Reprog Inv Esg'!G45</f>
        <v>-16124.640125351203</v>
      </c>
      <c r="Q23" s="1222">
        <f>'R1 DRE'!Q18-'E7 Reprog Inv Esg'!H45</f>
        <v>-18126.26136462075</v>
      </c>
      <c r="R23" s="1222">
        <f>'R1 DRE'!R18-'E7 Reprog Inv Esg'!I45</f>
        <v>-18307.783434356836</v>
      </c>
      <c r="S23" s="1222">
        <f>'R1 DRE'!S18-'E7 Reprog Inv Esg'!B59</f>
        <v>-16562.911737817845</v>
      </c>
      <c r="T23" s="1222">
        <f>'R1 DRE'!T18-'E7 Reprog Inv Esg'!C59</f>
        <v>-16203.680041278865</v>
      </c>
      <c r="U23" s="1222">
        <f>'R1 DRE'!U18-'E7 Reprog Inv Esg'!D59</f>
        <v>-16222.448344739874</v>
      </c>
      <c r="V23" s="1222">
        <f>'R1 DRE'!V18-'E7 Reprog Inv Esg'!E59</f>
        <v>-16241.216648200887</v>
      </c>
      <c r="W23" s="1222">
        <f>'R1 DRE'!W18-'E7 Reprog Inv Esg'!F59</f>
        <v>-16264.319313534354</v>
      </c>
      <c r="X23" s="1222">
        <f>'R1 DRE'!X18-'E7 Reprog Inv Esg'!G59</f>
        <v>-16280.34814305808</v>
      </c>
      <c r="Y23" s="1222">
        <f>'R1 DRE'!Y18-'E7 Reprog Inv Esg'!H59</f>
        <v>-16296.376972581807</v>
      </c>
      <c r="Z23" s="1222">
        <f>'R1 DRE'!Z18-'E7 Reprog Inv Esg'!I59</f>
        <v>-16312.405802105539</v>
      </c>
      <c r="AA23" s="1222">
        <f>'R1 DRE'!AA18-'E7 Reprog Inv Esg'!B73</f>
        <v>-16328.434631629261</v>
      </c>
      <c r="AB23" s="1222">
        <f>'R1 DRE'!AB18-'E7 Reprog Inv Esg'!C73</f>
        <v>-16351.537299443749</v>
      </c>
      <c r="AC23" s="1222">
        <f>'R1 DRE'!AC18-'E7 Reprog Inv Esg'!D73</f>
        <v>-16368.34292048484</v>
      </c>
      <c r="AD23" s="1222">
        <f>'R1 DRE'!AD18-'E7 Reprog Inv Esg'!E73</f>
        <v>-16385.557657312653</v>
      </c>
      <c r="AE23" s="1222">
        <f>'R1 DRE'!AE18-'E7 Reprog Inv Esg'!F73</f>
        <v>-16403.549179438916</v>
      </c>
      <c r="AF23" s="1222">
        <f>'R1 DRE'!AF18-'E7 Reprog Inv Esg'!G73</f>
        <v>-16413.322066103116</v>
      </c>
      <c r="AG23" s="1215">
        <f t="shared" si="7"/>
        <v>-477854.63306233136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22">
        <f>'R1 DRE'!K19-'E7 Reprog Inv Esg'!B46</f>
        <v>-542415.9</v>
      </c>
      <c r="L24" s="1222">
        <f>'R1 DRE'!L19-'E7 Reprog Inv Esg'!C46</f>
        <v>-542900.94000000006</v>
      </c>
      <c r="M24" s="1222">
        <f>'R1 DRE'!M19-'E7 Reprog Inv Esg'!D46</f>
        <v>-508029.66000000003</v>
      </c>
      <c r="N24" s="1222">
        <f>'R1 DRE'!N19-'E7 Reprog Inv Esg'!E46</f>
        <v>-492513.54000000004</v>
      </c>
      <c r="O24" s="1222">
        <f>'R1 DRE'!O19-'E7 Reprog Inv Esg'!F46</f>
        <v>-551451.06000000006</v>
      </c>
      <c r="P24" s="1222">
        <f>'R1 DRE'!P19-'E7 Reprog Inv Esg'!G46</f>
        <v>-553251.9</v>
      </c>
      <c r="Q24" s="1222">
        <f>'R1 DRE'!Q19-'E7 Reprog Inv Esg'!H46</f>
        <v>-609970.62</v>
      </c>
      <c r="R24" s="1222">
        <f>'R1 DRE'!R19-'E7 Reprog Inv Esg'!I46</f>
        <v>-614645.58000000007</v>
      </c>
      <c r="S24" s="1222">
        <f>'R1 DRE'!S19-'E7 Reprog Inv Esg'!B60</f>
        <v>-564087.9</v>
      </c>
      <c r="T24" s="1222">
        <f>'R1 DRE'!T19-'E7 Reprog Inv Esg'!C60</f>
        <v>-553251.9</v>
      </c>
      <c r="U24" s="1222">
        <f>'R1 DRE'!U19-'E7 Reprog Inv Esg'!D60</f>
        <v>-553251.9</v>
      </c>
      <c r="V24" s="1222">
        <f>'R1 DRE'!V19-'E7 Reprog Inv Esg'!E60</f>
        <v>-553251.9</v>
      </c>
      <c r="W24" s="1222">
        <f>'R1 DRE'!W19-'E7 Reprog Inv Esg'!F60</f>
        <v>-553251.9</v>
      </c>
      <c r="X24" s="1222">
        <f>'R1 DRE'!X19-'E7 Reprog Inv Esg'!G60</f>
        <v>-553251.9</v>
      </c>
      <c r="Y24" s="1222">
        <f>'R1 DRE'!Y19-'E7 Reprog Inv Esg'!H60</f>
        <v>-553251.9</v>
      </c>
      <c r="Z24" s="1222">
        <f>'R1 DRE'!Z19-'E7 Reprog Inv Esg'!I60</f>
        <v>-553251.9</v>
      </c>
      <c r="AA24" s="1222">
        <f>'R1 DRE'!AA19-'E7 Reprog Inv Esg'!B74</f>
        <v>-553251.9</v>
      </c>
      <c r="AB24" s="1222">
        <f>'R1 DRE'!AB19-'E7 Reprog Inv Esg'!C74</f>
        <v>-553251.9</v>
      </c>
      <c r="AC24" s="1222">
        <f>'R1 DRE'!AC19-'E7 Reprog Inv Esg'!D74</f>
        <v>-553251.9</v>
      </c>
      <c r="AD24" s="1222">
        <f>'R1 DRE'!AD19-'E7 Reprog Inv Esg'!E74</f>
        <v>-553251.9</v>
      </c>
      <c r="AE24" s="1222">
        <f>'R1 DRE'!AE19-'E7 Reprog Inv Esg'!F74</f>
        <v>-553251.9</v>
      </c>
      <c r="AF24" s="1222">
        <f>'R1 DRE'!AF19-'E7 Reprog Inv Esg'!G74</f>
        <v>-553251.9</v>
      </c>
      <c r="AG24" s="1215">
        <f t="shared" si="7"/>
        <v>-16472445.540000007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22">
        <f>'R1 DRE'!K20-'E7 Reprog Inv Esg'!B47</f>
        <v>-379092.74461918877</v>
      </c>
      <c r="L25" s="1222">
        <f>'R1 DRE'!L20-'E7 Reprog Inv Esg'!C47</f>
        <v>-394075.32294591534</v>
      </c>
      <c r="M25" s="1222">
        <f>'R1 DRE'!M20-'E7 Reprog Inv Esg'!D47</f>
        <v>-368600.79509567772</v>
      </c>
      <c r="N25" s="1222">
        <f>'R1 DRE'!N20-'E7 Reprog Inv Esg'!E47</f>
        <v>-357300.40888514387</v>
      </c>
      <c r="O25" s="1222">
        <f>'R1 DRE'!O20-'E7 Reprog Inv Esg'!F47</f>
        <v>-400540.37436818262</v>
      </c>
      <c r="P25" s="1222">
        <f>'R1 DRE'!P20-'E7 Reprog Inv Esg'!G47</f>
        <v>-401924.39985122136</v>
      </c>
      <c r="Q25" s="1222">
        <f>'R1 DRE'!Q20-'E7 Reprog Inv Esg'!H47</f>
        <v>-443538.96533426025</v>
      </c>
      <c r="R25" s="1222">
        <f>'R1 DRE'!R20-'E7 Reprog Inv Esg'!I47</f>
        <v>-447018.25998414529</v>
      </c>
      <c r="S25" s="1222">
        <f>'R1 DRE'!S20-'E7 Reprog Inv Esg'!B61</f>
        <v>-410034.74885431846</v>
      </c>
      <c r="T25" s="1222">
        <f>'R1 DRE'!T20-'E7 Reprog Inv Esg'!C61</f>
        <v>-402149.52022612467</v>
      </c>
      <c r="U25" s="1222">
        <f>'R1 DRE'!U20-'E7 Reprog Inv Esg'!D61</f>
        <v>-402302.29159793071</v>
      </c>
      <c r="V25" s="1222">
        <f>'R1 DRE'!V20-'E7 Reprog Inv Esg'!E61</f>
        <v>-402355.06296973687</v>
      </c>
      <c r="W25" s="1222">
        <f>'R1 DRE'!W20-'E7 Reprog Inv Esg'!F61</f>
        <v>-402417.270352769</v>
      </c>
      <c r="X25" s="1222">
        <f>'R1 DRE'!X20-'E7 Reprog Inv Esg'!G61</f>
        <v>-402466.94887976174</v>
      </c>
      <c r="Y25" s="1222">
        <f>'R1 DRE'!Y20-'E7 Reprog Inv Esg'!H61</f>
        <v>-402512.00758811249</v>
      </c>
      <c r="Z25" s="1222">
        <f>'R1 DRE'!Z20-'E7 Reprog Inv Esg'!I61</f>
        <v>-402557.06629646337</v>
      </c>
      <c r="AA25" s="1222">
        <f>'R1 DRE'!AA20-'E7 Reprog Inv Esg'!B75</f>
        <v>-402602.12500481395</v>
      </c>
      <c r="AB25" s="1222">
        <f>'R1 DRE'!AB20-'E7 Reprog Inv Esg'!C75</f>
        <v>-402662.60670065647</v>
      </c>
      <c r="AC25" s="1222">
        <f>'R1 DRE'!AC20-'E7 Reprog Inv Esg'!D75</f>
        <v>-402713.99023704906</v>
      </c>
      <c r="AD25" s="1222">
        <f>'R1 DRE'!AD20-'E7 Reprog Inv Esg'!E75</f>
        <v>-402762.08232708368</v>
      </c>
      <c r="AE25" s="1222">
        <f>'R1 DRE'!AE20-'E7 Reprog Inv Esg'!F75</f>
        <v>-402812.23614160577</v>
      </c>
      <c r="AF25" s="1222">
        <f>'R1 DRE'!AF20-'E7 Reprog Inv Esg'!G75</f>
        <v>-402844.88533489278</v>
      </c>
      <c r="AG25" s="1215">
        <f t="shared" si="7"/>
        <v>-11346220.251833241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9">-D17*0.01</f>
        <v>-23487.364306745756</v>
      </c>
      <c r="E26" s="1212">
        <f t="shared" si="9"/>
        <v>-26078.466711710476</v>
      </c>
      <c r="F26" s="1212">
        <f t="shared" si="9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0">-I17*0.005</f>
        <v>-16724.631693002015</v>
      </c>
      <c r="J26" s="1212">
        <f t="shared" si="10"/>
        <v>-18111.511932221227</v>
      </c>
      <c r="K26" s="1212">
        <f t="shared" si="10"/>
        <v>-16530.188662690383</v>
      </c>
      <c r="L26" s="1212">
        <f t="shared" si="10"/>
        <v>-16921.082028970879</v>
      </c>
      <c r="M26" s="1212">
        <f t="shared" si="10"/>
        <v>-17088.152222010955</v>
      </c>
      <c r="N26" s="1212">
        <f t="shared" si="10"/>
        <v>-18014.014164164382</v>
      </c>
      <c r="O26" s="1212">
        <f t="shared" si="10"/>
        <v>-19136.986290858382</v>
      </c>
      <c r="P26" s="1212">
        <f t="shared" si="10"/>
        <v>-19195.223018238117</v>
      </c>
      <c r="Q26" s="1212">
        <f t="shared" si="10"/>
        <v>-20222.684962679643</v>
      </c>
      <c r="R26" s="1212">
        <f t="shared" si="10"/>
        <v>-20330.499642831019</v>
      </c>
      <c r="S26" s="1212">
        <f t="shared" si="10"/>
        <v>-19271.279694492936</v>
      </c>
      <c r="T26" s="1212">
        <f t="shared" si="10"/>
        <v>-19294.242493132533</v>
      </c>
      <c r="U26" s="1212">
        <f t="shared" si="10"/>
        <v>-19317.205291772127</v>
      </c>
      <c r="V26" s="1212">
        <f t="shared" si="10"/>
        <v>-19338.011530919841</v>
      </c>
      <c r="W26" s="1212">
        <f t="shared" si="10"/>
        <v>-19362.991168679255</v>
      </c>
      <c r="X26" s="1212">
        <f t="shared" si="10"/>
        <v>-19388.250247182808</v>
      </c>
      <c r="Y26" s="1212">
        <f t="shared" si="10"/>
        <v>-19407.039647210706</v>
      </c>
      <c r="Z26" s="1212">
        <f t="shared" si="10"/>
        <v>-19425.409886122383</v>
      </c>
      <c r="AA26" s="1212">
        <f t="shared" si="10"/>
        <v>-19443.78012503406</v>
      </c>
      <c r="AB26" s="1212">
        <f t="shared" si="10"/>
        <v>-19466.463482929514</v>
      </c>
      <c r="AC26" s="1212">
        <f t="shared" si="10"/>
        <v>-19489.426281569111</v>
      </c>
      <c r="AD26" s="1212">
        <f t="shared" si="10"/>
        <v>-19510.232520716818</v>
      </c>
      <c r="AE26" s="1212">
        <f t="shared" si="10"/>
        <v>-19533.055598984341</v>
      </c>
      <c r="AF26" s="1212">
        <f t="shared" si="10"/>
        <v>-19549.548719148279</v>
      </c>
      <c r="AG26" s="1213">
        <f>SUM(C26:AF26)</f>
        <v>-584834.23780318385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1">D17+D18+D21+D26</f>
        <v>725356.85352382285</v>
      </c>
      <c r="E27" s="1212">
        <f t="shared" si="11"/>
        <v>761828.63043885329</v>
      </c>
      <c r="F27" s="1212">
        <f t="shared" si="11"/>
        <v>885889.84541072126</v>
      </c>
      <c r="G27" s="1212">
        <f t="shared" si="11"/>
        <v>987003.66554251267</v>
      </c>
      <c r="H27" s="1212">
        <f t="shared" si="11"/>
        <v>1236097.9959341185</v>
      </c>
      <c r="I27" s="1212">
        <f t="shared" si="11"/>
        <v>1593813.2030140865</v>
      </c>
      <c r="J27" s="1212">
        <f t="shared" si="11"/>
        <v>1818859.3253650826</v>
      </c>
      <c r="K27" s="1212">
        <f t="shared" si="11"/>
        <v>1511945.1433602779</v>
      </c>
      <c r="L27" s="1212">
        <f t="shared" si="11"/>
        <v>1579623.6140075515</v>
      </c>
      <c r="M27" s="1212">
        <f t="shared" si="11"/>
        <v>1727629.825874161</v>
      </c>
      <c r="N27" s="1212">
        <f t="shared" si="11"/>
        <v>1962243.0743723148</v>
      </c>
      <c r="O27" s="1212">
        <f t="shared" si="11"/>
        <v>1988874.2818847853</v>
      </c>
      <c r="P27" s="1212">
        <f t="shared" si="11"/>
        <v>1993635.7612092048</v>
      </c>
      <c r="Q27" s="1212">
        <f t="shared" si="11"/>
        <v>2008639.1070388425</v>
      </c>
      <c r="R27" s="1212">
        <f t="shared" si="11"/>
        <v>2013829.3261375187</v>
      </c>
      <c r="S27" s="1212">
        <f t="shared" si="11"/>
        <v>1970516.2613649205</v>
      </c>
      <c r="T27" s="1212">
        <f t="shared" si="11"/>
        <v>2010437.7528873153</v>
      </c>
      <c r="U27" s="1212">
        <f t="shared" si="11"/>
        <v>2014224.7656026154</v>
      </c>
      <c r="V27" s="1212">
        <f t="shared" si="11"/>
        <v>2017684.6331490735</v>
      </c>
      <c r="W27" s="1212">
        <f t="shared" si="11"/>
        <v>2021848.5890454606</v>
      </c>
      <c r="X27" s="1212">
        <f t="shared" si="11"/>
        <v>2026239.7160458392</v>
      </c>
      <c r="Y27" s="1212">
        <f t="shared" si="11"/>
        <v>2029395.749560894</v>
      </c>
      <c r="Z27" s="1212">
        <f t="shared" si="11"/>
        <v>2032466.3960895918</v>
      </c>
      <c r="AA27" s="1212">
        <f t="shared" si="11"/>
        <v>2035536.6501196967</v>
      </c>
      <c r="AB27" s="1212">
        <f t="shared" si="11"/>
        <v>2039203.7235733909</v>
      </c>
      <c r="AC27" s="1212">
        <f t="shared" si="11"/>
        <v>2043167.6955235952</v>
      </c>
      <c r="AD27" s="1212">
        <f t="shared" si="11"/>
        <v>2046680.7628370489</v>
      </c>
      <c r="AE27" s="1212">
        <f t="shared" si="11"/>
        <v>2050562.4799336412</v>
      </c>
      <c r="AF27" s="1212">
        <f t="shared" si="11"/>
        <v>2053433.1480969142</v>
      </c>
      <c r="AG27" s="1213">
        <f t="shared" ref="AG27:AG33" si="12">SUM(C27:AF27)</f>
        <v>51531120.436439984</v>
      </c>
    </row>
    <row r="28" spans="1:36" s="1127" customFormat="1" ht="20.25" customHeight="1">
      <c r="B28" s="1128" t="s">
        <v>221</v>
      </c>
      <c r="C28" s="1211">
        <f t="array" ref="C28:AF28">-TRANSPOSE('E7 R2 DEPR'!AH10:AH39)</f>
        <v>0</v>
      </c>
      <c r="D28" s="1211">
        <v>-19422.835502517231</v>
      </c>
      <c r="E28" s="1211">
        <v>-31767.091368703179</v>
      </c>
      <c r="F28" s="1211">
        <v>-42964.776963557146</v>
      </c>
      <c r="G28" s="1211">
        <v>-96570.054420457061</v>
      </c>
      <c r="H28" s="1211">
        <v>-304965.65942868049</v>
      </c>
      <c r="I28" s="1211">
        <v>-335294.75656698272</v>
      </c>
      <c r="J28" s="1211">
        <v>-409777.60554813145</v>
      </c>
      <c r="K28" s="1211">
        <v>-463947.68852428254</v>
      </c>
      <c r="L28" s="1211">
        <v>-503790.29927751789</v>
      </c>
      <c r="M28" s="1211">
        <v>-523637.64569011494</v>
      </c>
      <c r="N28" s="1211">
        <v>-560928.29555916227</v>
      </c>
      <c r="O28" s="1211">
        <v>-563558.17076761427</v>
      </c>
      <c r="P28" s="1211">
        <v>-566342.74451773998</v>
      </c>
      <c r="Q28" s="1211">
        <v>-570616.91662724852</v>
      </c>
      <c r="R28" s="1211">
        <v>-735931.00482614269</v>
      </c>
      <c r="S28" s="1211">
        <v>-922424.79255255149</v>
      </c>
      <c r="T28" s="1211">
        <v>-927278.54284117743</v>
      </c>
      <c r="U28" s="1211">
        <v>-932536.77232052211</v>
      </c>
      <c r="V28" s="1211">
        <v>-938273.02266162541</v>
      </c>
      <c r="W28" s="1211">
        <v>-944582.89803683909</v>
      </c>
      <c r="X28" s="1211">
        <v>-952226.6484537432</v>
      </c>
      <c r="Y28" s="1211">
        <v>-959656.49267276027</v>
      </c>
      <c r="Z28" s="1211">
        <v>-968147.74320877984</v>
      </c>
      <c r="AA28" s="1211">
        <v>-978054.20216746931</v>
      </c>
      <c r="AB28" s="1211">
        <v>-989941.95291789668</v>
      </c>
      <c r="AC28" s="1211">
        <v>-1007140.3913559308</v>
      </c>
      <c r="AD28" s="1211">
        <v>-1027224.642606643</v>
      </c>
      <c r="AE28" s="1211">
        <v>-1057758.0194827113</v>
      </c>
      <c r="AF28" s="1211">
        <v>-1179490.0212315808</v>
      </c>
      <c r="AG28" s="1217">
        <f t="shared" si="12"/>
        <v>-19514251.688099083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3">D27+D28</f>
        <v>705934.01802130567</v>
      </c>
      <c r="E29" s="1212">
        <f t="shared" si="13"/>
        <v>730061.53907015012</v>
      </c>
      <c r="F29" s="1212">
        <f t="shared" si="13"/>
        <v>842925.06844716414</v>
      </c>
      <c r="G29" s="1212">
        <f t="shared" si="13"/>
        <v>890433.61112205556</v>
      </c>
      <c r="H29" s="1212">
        <f t="shared" si="13"/>
        <v>931132.33650543797</v>
      </c>
      <c r="I29" s="1212">
        <f t="shared" si="13"/>
        <v>1258518.4464471037</v>
      </c>
      <c r="J29" s="1212">
        <f t="shared" si="13"/>
        <v>1409081.7198169511</v>
      </c>
      <c r="K29" s="1212">
        <f t="shared" si="13"/>
        <v>1047997.4548359953</v>
      </c>
      <c r="L29" s="1212">
        <f t="shared" si="13"/>
        <v>1075833.3147300335</v>
      </c>
      <c r="M29" s="1212">
        <f t="shared" si="13"/>
        <v>1203992.180184046</v>
      </c>
      <c r="N29" s="1212">
        <f t="shared" si="13"/>
        <v>1401314.7788131526</v>
      </c>
      <c r="O29" s="1212">
        <f t="shared" si="13"/>
        <v>1425316.1111171711</v>
      </c>
      <c r="P29" s="1212">
        <f t="shared" si="13"/>
        <v>1427293.0166914649</v>
      </c>
      <c r="Q29" s="1212">
        <f t="shared" si="13"/>
        <v>1438022.190411594</v>
      </c>
      <c r="R29" s="1212">
        <f t="shared" si="13"/>
        <v>1277898.3213113761</v>
      </c>
      <c r="S29" s="1212">
        <f t="shared" si="13"/>
        <v>1048091.468812369</v>
      </c>
      <c r="T29" s="1212">
        <f t="shared" si="13"/>
        <v>1083159.2100461379</v>
      </c>
      <c r="U29" s="1212">
        <f t="shared" si="13"/>
        <v>1081687.9932820932</v>
      </c>
      <c r="V29" s="1212">
        <f t="shared" si="13"/>
        <v>1079411.6104874481</v>
      </c>
      <c r="W29" s="1212">
        <f t="shared" si="13"/>
        <v>1077265.6910086214</v>
      </c>
      <c r="X29" s="1212">
        <f t="shared" si="13"/>
        <v>1074013.067592096</v>
      </c>
      <c r="Y29" s="1212">
        <f t="shared" si="13"/>
        <v>1069739.2568881337</v>
      </c>
      <c r="Z29" s="1212">
        <f t="shared" si="13"/>
        <v>1064318.6528808121</v>
      </c>
      <c r="AA29" s="1212">
        <f t="shared" si="13"/>
        <v>1057482.4479522274</v>
      </c>
      <c r="AB29" s="1212">
        <f t="shared" si="13"/>
        <v>1049261.7706554942</v>
      </c>
      <c r="AC29" s="1212">
        <f t="shared" si="13"/>
        <v>1036027.3041676644</v>
      </c>
      <c r="AD29" s="1212">
        <f t="shared" si="13"/>
        <v>1019456.1202304058</v>
      </c>
      <c r="AE29" s="1212">
        <f t="shared" si="13"/>
        <v>992804.46045092982</v>
      </c>
      <c r="AF29" s="1212">
        <f t="shared" si="13"/>
        <v>873943.12686533341</v>
      </c>
      <c r="AG29" s="1213">
        <f t="shared" si="12"/>
        <v>32016868.748340882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4">D31+D32</f>
        <v>-216017.56612724392</v>
      </c>
      <c r="E30" s="1212">
        <f t="shared" si="14"/>
        <v>-224220.92328385104</v>
      </c>
      <c r="F30" s="1212">
        <f t="shared" si="14"/>
        <v>-262594.52327203582</v>
      </c>
      <c r="G30" s="1212">
        <f t="shared" si="14"/>
        <v>-278747.42778149887</v>
      </c>
      <c r="H30" s="1212">
        <f t="shared" si="14"/>
        <v>-292584.99441184889</v>
      </c>
      <c r="I30" s="1212">
        <f t="shared" si="14"/>
        <v>-403896.27179201529</v>
      </c>
      <c r="J30" s="1212">
        <f t="shared" si="14"/>
        <v>-455087.78473776334</v>
      </c>
      <c r="K30" s="1212">
        <f t="shared" si="14"/>
        <v>-332319.13464423839</v>
      </c>
      <c r="L30" s="1212">
        <f t="shared" si="14"/>
        <v>-341783.3270082114</v>
      </c>
      <c r="M30" s="1212">
        <f t="shared" si="14"/>
        <v>-385357.34126257565</v>
      </c>
      <c r="N30" s="1212">
        <f t="shared" si="14"/>
        <v>-452447.02479647187</v>
      </c>
      <c r="O30" s="1212">
        <f t="shared" si="14"/>
        <v>-460607.4777798382</v>
      </c>
      <c r="P30" s="1212">
        <f t="shared" si="14"/>
        <v>-461279.62567509804</v>
      </c>
      <c r="Q30" s="1212">
        <f t="shared" si="14"/>
        <v>-464927.54473994195</v>
      </c>
      <c r="R30" s="1212">
        <f t="shared" si="14"/>
        <v>-410485.42924586788</v>
      </c>
      <c r="S30" s="1212">
        <f t="shared" si="14"/>
        <v>-332351.09939620551</v>
      </c>
      <c r="T30" s="1212">
        <f t="shared" si="14"/>
        <v>-344274.13141568692</v>
      </c>
      <c r="U30" s="1212">
        <f t="shared" si="14"/>
        <v>-343773.9177159117</v>
      </c>
      <c r="V30" s="1212">
        <f t="shared" si="14"/>
        <v>-342999.94756573235</v>
      </c>
      <c r="W30" s="1212">
        <f t="shared" si="14"/>
        <v>-342270.33494293125</v>
      </c>
      <c r="X30" s="1212">
        <f t="shared" si="14"/>
        <v>-341164.44298131263</v>
      </c>
      <c r="Y30" s="1212">
        <f t="shared" si="14"/>
        <v>-339711.34734196548</v>
      </c>
      <c r="Z30" s="1212">
        <f t="shared" si="14"/>
        <v>-337868.3419794761</v>
      </c>
      <c r="AA30" s="1212">
        <f t="shared" si="14"/>
        <v>-335544.03230375733</v>
      </c>
      <c r="AB30" s="1212">
        <f t="shared" si="14"/>
        <v>-332749.00202286802</v>
      </c>
      <c r="AC30" s="1212">
        <f t="shared" si="14"/>
        <v>-328249.28341700591</v>
      </c>
      <c r="AD30" s="1212">
        <f t="shared" si="14"/>
        <v>-322615.08087833796</v>
      </c>
      <c r="AE30" s="1212">
        <f t="shared" si="14"/>
        <v>-313553.51655331615</v>
      </c>
      <c r="AF30" s="1212">
        <f t="shared" si="14"/>
        <v>-273140.66313421336</v>
      </c>
      <c r="AG30" s="1213">
        <f t="shared" si="12"/>
        <v>-10072621.538207222</v>
      </c>
    </row>
    <row r="31" spans="1:36" s="89" customFormat="1" ht="20.25" customHeight="1">
      <c r="B31" s="477" t="s">
        <v>224</v>
      </c>
      <c r="C31" s="1214"/>
      <c r="D31" s="1214">
        <f t="shared" ref="D31:AF31" si="15">-((D29*0.15)+((D29-240000)*0.1))</f>
        <v>-152483.50450532642</v>
      </c>
      <c r="E31" s="1214">
        <f t="shared" si="15"/>
        <v>-158515.38476753753</v>
      </c>
      <c r="F31" s="1214">
        <f t="shared" si="15"/>
        <v>-186731.26711179104</v>
      </c>
      <c r="G31" s="1214">
        <f t="shared" si="15"/>
        <v>-198608.40278051386</v>
      </c>
      <c r="H31" s="1214">
        <f t="shared" si="15"/>
        <v>-208783.08412635949</v>
      </c>
      <c r="I31" s="1214">
        <f t="shared" si="15"/>
        <v>-290629.61161177594</v>
      </c>
      <c r="J31" s="1214">
        <f t="shared" si="15"/>
        <v>-328270.42995423777</v>
      </c>
      <c r="K31" s="1214">
        <f t="shared" si="15"/>
        <v>-237999.36370899883</v>
      </c>
      <c r="L31" s="1214">
        <f t="shared" si="15"/>
        <v>-244958.32868250838</v>
      </c>
      <c r="M31" s="1214">
        <f t="shared" si="15"/>
        <v>-276998.04504601151</v>
      </c>
      <c r="N31" s="1214">
        <f t="shared" si="15"/>
        <v>-326328.69470328814</v>
      </c>
      <c r="O31" s="1214">
        <f t="shared" si="15"/>
        <v>-332329.02777929278</v>
      </c>
      <c r="P31" s="1214">
        <f t="shared" si="15"/>
        <v>-332823.25417286623</v>
      </c>
      <c r="Q31" s="1214">
        <f t="shared" si="15"/>
        <v>-335505.5476028985</v>
      </c>
      <c r="R31" s="1214">
        <f t="shared" si="15"/>
        <v>-295474.58032784401</v>
      </c>
      <c r="S31" s="1214">
        <f t="shared" si="15"/>
        <v>-238022.86720309226</v>
      </c>
      <c r="T31" s="1214">
        <f t="shared" si="15"/>
        <v>-246789.80251153448</v>
      </c>
      <c r="U31" s="1214">
        <f t="shared" si="15"/>
        <v>-246421.9983205233</v>
      </c>
      <c r="V31" s="1214">
        <f t="shared" si="15"/>
        <v>-245852.90262186201</v>
      </c>
      <c r="W31" s="1214">
        <f t="shared" si="15"/>
        <v>-245316.42275215534</v>
      </c>
      <c r="X31" s="1214">
        <f t="shared" si="15"/>
        <v>-244503.26689802401</v>
      </c>
      <c r="Y31" s="1214">
        <f t="shared" si="15"/>
        <v>-243434.81422203343</v>
      </c>
      <c r="Z31" s="1214">
        <f t="shared" si="15"/>
        <v>-242079.66322020302</v>
      </c>
      <c r="AA31" s="1214">
        <f t="shared" si="15"/>
        <v>-240370.61198805686</v>
      </c>
      <c r="AB31" s="1214">
        <f t="shared" si="15"/>
        <v>-238315.44266387355</v>
      </c>
      <c r="AC31" s="1214">
        <f t="shared" si="15"/>
        <v>-235006.82604191609</v>
      </c>
      <c r="AD31" s="1214">
        <f t="shared" si="15"/>
        <v>-230864.03005760146</v>
      </c>
      <c r="AE31" s="1214">
        <f t="shared" si="15"/>
        <v>-224201.11511273246</v>
      </c>
      <c r="AF31" s="1214">
        <f t="shared" si="15"/>
        <v>-194485.78171633335</v>
      </c>
      <c r="AG31" s="1213">
        <f t="shared" si="12"/>
        <v>-7222104.0722111911</v>
      </c>
    </row>
    <row r="32" spans="1:36" s="89" customFormat="1" ht="20.25" customHeight="1">
      <c r="B32" s="477" t="s">
        <v>225</v>
      </c>
      <c r="C32" s="1214"/>
      <c r="D32" s="1214">
        <f t="shared" ref="D32:AF32" si="16">-(D29*0.09)</f>
        <v>-63534.061621917506</v>
      </c>
      <c r="E32" s="1214">
        <f t="shared" si="16"/>
        <v>-65705.538516313507</v>
      </c>
      <c r="F32" s="1214">
        <f t="shared" si="16"/>
        <v>-75863.256160244768</v>
      </c>
      <c r="G32" s="1214">
        <f t="shared" si="16"/>
        <v>-80139.025000984999</v>
      </c>
      <c r="H32" s="1214">
        <f t="shared" si="16"/>
        <v>-83801.910285489415</v>
      </c>
      <c r="I32" s="1214">
        <f t="shared" si="16"/>
        <v>-113266.66018023933</v>
      </c>
      <c r="J32" s="1214">
        <f t="shared" si="16"/>
        <v>-126817.35478352559</v>
      </c>
      <c r="K32" s="1214">
        <f t="shared" si="16"/>
        <v>-94319.770935239576</v>
      </c>
      <c r="L32" s="1214">
        <f t="shared" si="16"/>
        <v>-96824.998325703011</v>
      </c>
      <c r="M32" s="1214">
        <f t="shared" si="16"/>
        <v>-108359.29621656414</v>
      </c>
      <c r="N32" s="1214">
        <f t="shared" si="16"/>
        <v>-126118.33009318373</v>
      </c>
      <c r="O32" s="1214">
        <f t="shared" si="16"/>
        <v>-128278.4500005454</v>
      </c>
      <c r="P32" s="1214">
        <f t="shared" si="16"/>
        <v>-128456.37150223184</v>
      </c>
      <c r="Q32" s="1214">
        <f t="shared" si="16"/>
        <v>-129421.99713704345</v>
      </c>
      <c r="R32" s="1214">
        <f t="shared" si="16"/>
        <v>-115010.84891802384</v>
      </c>
      <c r="S32" s="1214">
        <f t="shared" si="16"/>
        <v>-94328.232193113217</v>
      </c>
      <c r="T32" s="1214">
        <f t="shared" si="16"/>
        <v>-97484.328904152411</v>
      </c>
      <c r="U32" s="1214">
        <f t="shared" si="16"/>
        <v>-97351.919395388381</v>
      </c>
      <c r="V32" s="1214">
        <f t="shared" si="16"/>
        <v>-97147.044943870322</v>
      </c>
      <c r="W32" s="1214">
        <f t="shared" si="16"/>
        <v>-96953.912190775925</v>
      </c>
      <c r="X32" s="1214">
        <f t="shared" si="16"/>
        <v>-96661.176083288636</v>
      </c>
      <c r="Y32" s="1214">
        <f t="shared" si="16"/>
        <v>-96276.533119932035</v>
      </c>
      <c r="Z32" s="1214">
        <f t="shared" si="16"/>
        <v>-95788.678759273083</v>
      </c>
      <c r="AA32" s="1214">
        <f t="shared" si="16"/>
        <v>-95173.420315700467</v>
      </c>
      <c r="AB32" s="1214">
        <f t="shared" si="16"/>
        <v>-94433.559358994476</v>
      </c>
      <c r="AC32" s="1214">
        <f t="shared" si="16"/>
        <v>-93242.457375089783</v>
      </c>
      <c r="AD32" s="1214">
        <f t="shared" si="16"/>
        <v>-91751.05082073652</v>
      </c>
      <c r="AE32" s="1214">
        <f t="shared" si="16"/>
        <v>-89352.401440583679</v>
      </c>
      <c r="AF32" s="1214">
        <f t="shared" si="16"/>
        <v>-78654.881417880009</v>
      </c>
      <c r="AG32" s="1213">
        <f t="shared" si="12"/>
        <v>-2850517.4659960289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7">D29+D30</f>
        <v>489916.45189406176</v>
      </c>
      <c r="E33" s="1219">
        <f t="shared" si="17"/>
        <v>505840.61578629911</v>
      </c>
      <c r="F33" s="1219">
        <f t="shared" si="17"/>
        <v>580330.54517512838</v>
      </c>
      <c r="G33" s="1219">
        <f t="shared" si="17"/>
        <v>611686.18334055669</v>
      </c>
      <c r="H33" s="1219">
        <f t="shared" si="17"/>
        <v>638547.34209358902</v>
      </c>
      <c r="I33" s="1219">
        <f t="shared" si="17"/>
        <v>854622.17465508846</v>
      </c>
      <c r="J33" s="1219">
        <f t="shared" si="17"/>
        <v>953993.93507918774</v>
      </c>
      <c r="K33" s="1219">
        <f t="shared" si="17"/>
        <v>715678.32019175694</v>
      </c>
      <c r="L33" s="1219">
        <f t="shared" si="17"/>
        <v>734049.98772182211</v>
      </c>
      <c r="M33" s="1219">
        <f t="shared" si="17"/>
        <v>818634.83892147033</v>
      </c>
      <c r="N33" s="1219">
        <f t="shared" si="17"/>
        <v>948867.75401668064</v>
      </c>
      <c r="O33" s="1219">
        <f t="shared" si="17"/>
        <v>964708.63333733287</v>
      </c>
      <c r="P33" s="1219">
        <f t="shared" si="17"/>
        <v>966013.39101636689</v>
      </c>
      <c r="Q33" s="1219">
        <f t="shared" si="17"/>
        <v>973094.64567165205</v>
      </c>
      <c r="R33" s="1219">
        <f t="shared" si="17"/>
        <v>867412.89206550817</v>
      </c>
      <c r="S33" s="1219">
        <f t="shared" si="17"/>
        <v>715740.36941616354</v>
      </c>
      <c r="T33" s="1219">
        <f t="shared" si="17"/>
        <v>738885.078630451</v>
      </c>
      <c r="U33" s="1219">
        <f t="shared" si="17"/>
        <v>737914.07556618145</v>
      </c>
      <c r="V33" s="1219">
        <f t="shared" si="17"/>
        <v>736411.66292171576</v>
      </c>
      <c r="W33" s="1219">
        <f t="shared" si="17"/>
        <v>734995.35606569005</v>
      </c>
      <c r="X33" s="1219">
        <f t="shared" si="17"/>
        <v>732848.62461078342</v>
      </c>
      <c r="Y33" s="1219">
        <f t="shared" si="17"/>
        <v>730027.90954616829</v>
      </c>
      <c r="Z33" s="1219">
        <f t="shared" si="17"/>
        <v>726450.31090133591</v>
      </c>
      <c r="AA33" s="1219">
        <f t="shared" si="17"/>
        <v>721938.41564847017</v>
      </c>
      <c r="AB33" s="1219">
        <f t="shared" si="17"/>
        <v>716512.76863262616</v>
      </c>
      <c r="AC33" s="1219">
        <f t="shared" si="17"/>
        <v>707778.02075065847</v>
      </c>
      <c r="AD33" s="1219">
        <f t="shared" si="17"/>
        <v>696841.03935206786</v>
      </c>
      <c r="AE33" s="1219">
        <f t="shared" si="17"/>
        <v>679250.94389761367</v>
      </c>
      <c r="AF33" s="1219">
        <f t="shared" si="17"/>
        <v>600802.46373112011</v>
      </c>
      <c r="AG33" s="1220">
        <f t="shared" si="12"/>
        <v>21944247.210133668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139669.85047581568</v>
      </c>
      <c r="I35" s="135">
        <f t="shared" si="18"/>
        <v>188777.76696706555</v>
      </c>
      <c r="J35" s="135">
        <f t="shared" si="18"/>
        <v>211362.25797254266</v>
      </c>
      <c r="K35" s="135">
        <f t="shared" si="18"/>
        <v>157199.61822539929</v>
      </c>
      <c r="L35" s="135">
        <f t="shared" si="18"/>
        <v>161374.99720950503</v>
      </c>
      <c r="M35" s="135">
        <f t="shared" si="18"/>
        <v>180598.82702760689</v>
      </c>
      <c r="N35" s="135">
        <f t="shared" si="18"/>
        <v>210197.21682197289</v>
      </c>
      <c r="O35" s="135">
        <f t="shared" si="18"/>
        <v>213797.41666757566</v>
      </c>
      <c r="P35" s="135">
        <f t="shared" si="18"/>
        <v>214093.95250371975</v>
      </c>
      <c r="Q35" s="135">
        <f t="shared" si="18"/>
        <v>215703.32856173909</v>
      </c>
      <c r="R35" s="135">
        <f t="shared" si="18"/>
        <v>191684.74819670641</v>
      </c>
      <c r="S35" s="135">
        <f t="shared" si="18"/>
        <v>157213.72032185536</v>
      </c>
      <c r="T35" s="135">
        <f t="shared" si="18"/>
        <v>162473.88150692068</v>
      </c>
      <c r="U35" s="135">
        <f t="shared" si="18"/>
        <v>162253.19899231396</v>
      </c>
      <c r="V35" s="135">
        <f t="shared" si="18"/>
        <v>161911.74157311721</v>
      </c>
      <c r="W35" s="135">
        <f t="shared" si="18"/>
        <v>161589.8536512932</v>
      </c>
      <c r="X35" s="135">
        <f t="shared" si="18"/>
        <v>161101.96013881441</v>
      </c>
      <c r="Y35" s="135">
        <f t="shared" si="18"/>
        <v>160460.88853322004</v>
      </c>
      <c r="Z35" s="135">
        <f t="shared" si="18"/>
        <v>159647.79793212182</v>
      </c>
      <c r="AA35" s="135">
        <f t="shared" si="18"/>
        <v>158622.36719283412</v>
      </c>
      <c r="AB35" s="135">
        <f t="shared" si="18"/>
        <v>157389.26559832413</v>
      </c>
      <c r="AC35" s="135">
        <f t="shared" si="18"/>
        <v>155404.09562514964</v>
      </c>
      <c r="AD35" s="135">
        <f t="shared" si="18"/>
        <v>152918.41803456086</v>
      </c>
      <c r="AE35" s="135">
        <f t="shared" si="18"/>
        <v>148920.66906763948</v>
      </c>
      <c r="AF35" s="135">
        <f t="shared" si="18"/>
        <v>131091.46902980001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69113.2336505438</v>
      </c>
      <c r="I36" s="135">
        <f t="shared" si="19"/>
        <v>101851.84464471038</v>
      </c>
      <c r="J36" s="135">
        <f t="shared" si="19"/>
        <v>116908.17198169511</v>
      </c>
      <c r="K36" s="135">
        <f t="shared" si="19"/>
        <v>80799.745483599545</v>
      </c>
      <c r="L36" s="135">
        <f t="shared" si="19"/>
        <v>83583.33147300336</v>
      </c>
      <c r="M36" s="135">
        <f t="shared" si="19"/>
        <v>96399.218018404616</v>
      </c>
      <c r="N36" s="135">
        <f t="shared" si="19"/>
        <v>116131.47788131527</v>
      </c>
      <c r="O36" s="135">
        <f t="shared" si="19"/>
        <v>118531.61111171712</v>
      </c>
      <c r="P36" s="135">
        <f t="shared" si="19"/>
        <v>118729.3016691465</v>
      </c>
      <c r="Q36" s="135">
        <f t="shared" si="19"/>
        <v>119802.21904115941</v>
      </c>
      <c r="R36" s="135">
        <f t="shared" si="19"/>
        <v>103789.83213113761</v>
      </c>
      <c r="S36" s="135">
        <f t="shared" si="19"/>
        <v>80809.146881236913</v>
      </c>
      <c r="T36" s="135">
        <f t="shared" si="19"/>
        <v>84315.921004613803</v>
      </c>
      <c r="U36" s="135">
        <f t="shared" si="19"/>
        <v>84168.799328209323</v>
      </c>
      <c r="V36" s="135">
        <f t="shared" si="19"/>
        <v>83941.161048744805</v>
      </c>
      <c r="W36" s="135">
        <f t="shared" si="19"/>
        <v>83726.569100862136</v>
      </c>
      <c r="X36" s="135">
        <f t="shared" si="19"/>
        <v>83401.306759209605</v>
      </c>
      <c r="Y36" s="135">
        <f t="shared" si="19"/>
        <v>82973.925688813382</v>
      </c>
      <c r="Z36" s="135">
        <f t="shared" si="19"/>
        <v>82431.865288081215</v>
      </c>
      <c r="AA36" s="135">
        <f t="shared" si="19"/>
        <v>81748.244795222752</v>
      </c>
      <c r="AB36" s="135">
        <f t="shared" si="19"/>
        <v>80926.177065549418</v>
      </c>
      <c r="AC36" s="135">
        <f t="shared" si="19"/>
        <v>79602.730416766441</v>
      </c>
      <c r="AD36" s="135">
        <f t="shared" si="19"/>
        <v>77945.61202304058</v>
      </c>
      <c r="AE36" s="135">
        <f t="shared" si="19"/>
        <v>75280.446045092991</v>
      </c>
      <c r="AF36" s="135">
        <f t="shared" si="19"/>
        <v>63394.312686533347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208783.08412635949</v>
      </c>
      <c r="I37" s="135">
        <f t="shared" si="20"/>
        <v>290629.61161177594</v>
      </c>
      <c r="J37" s="135">
        <f t="shared" si="20"/>
        <v>328270.42995423777</v>
      </c>
      <c r="K37" s="135">
        <f t="shared" si="20"/>
        <v>237999.36370899883</v>
      </c>
      <c r="L37" s="135">
        <f t="shared" si="20"/>
        <v>244958.32868250838</v>
      </c>
      <c r="M37" s="135">
        <f t="shared" si="20"/>
        <v>276998.04504601151</v>
      </c>
      <c r="N37" s="135">
        <f t="shared" si="20"/>
        <v>326328.69470328814</v>
      </c>
      <c r="O37" s="135">
        <f t="shared" si="20"/>
        <v>332329.02777929278</v>
      </c>
      <c r="P37" s="135">
        <f t="shared" si="20"/>
        <v>332823.25417286623</v>
      </c>
      <c r="Q37" s="135">
        <f t="shared" si="20"/>
        <v>335505.5476028985</v>
      </c>
      <c r="R37" s="135">
        <f t="shared" si="20"/>
        <v>295474.58032784401</v>
      </c>
      <c r="S37" s="135">
        <f t="shared" si="20"/>
        <v>238022.86720309226</v>
      </c>
      <c r="T37" s="135">
        <f t="shared" si="20"/>
        <v>246789.80251153448</v>
      </c>
      <c r="U37" s="135">
        <f t="shared" si="20"/>
        <v>246421.9983205233</v>
      </c>
      <c r="V37" s="135">
        <f t="shared" si="20"/>
        <v>245852.90262186201</v>
      </c>
      <c r="W37" s="135">
        <f t="shared" si="20"/>
        <v>245316.42275215534</v>
      </c>
      <c r="X37" s="135">
        <f t="shared" si="20"/>
        <v>244503.26689802401</v>
      </c>
      <c r="Y37" s="135">
        <f t="shared" si="20"/>
        <v>243434.81422203343</v>
      </c>
      <c r="Z37" s="135">
        <f t="shared" si="20"/>
        <v>242079.66322020302</v>
      </c>
      <c r="AA37" s="135">
        <f t="shared" si="20"/>
        <v>240370.61198805686</v>
      </c>
      <c r="AB37" s="135">
        <f t="shared" si="20"/>
        <v>238315.44266387355</v>
      </c>
      <c r="AC37" s="135">
        <f t="shared" si="20"/>
        <v>235006.82604191609</v>
      </c>
      <c r="AD37" s="135">
        <f t="shared" si="20"/>
        <v>230864.03005760146</v>
      </c>
      <c r="AE37" s="135">
        <f t="shared" si="20"/>
        <v>224201.11511273246</v>
      </c>
      <c r="AF37" s="135">
        <f t="shared" si="20"/>
        <v>194485.78171633335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2">D27</f>
        <v>725356.85352382285</v>
      </c>
      <c r="E45" s="1227">
        <f t="shared" si="22"/>
        <v>761828.63043885329</v>
      </c>
      <c r="F45" s="1227">
        <f t="shared" si="22"/>
        <v>885889.84541072126</v>
      </c>
      <c r="G45" s="1227">
        <f t="shared" si="22"/>
        <v>987003.66554251267</v>
      </c>
      <c r="H45" s="1227">
        <f t="shared" si="22"/>
        <v>1236097.9959341185</v>
      </c>
      <c r="I45" s="1227">
        <f t="shared" si="22"/>
        <v>1593813.2030140865</v>
      </c>
      <c r="J45" s="1227">
        <f t="shared" si="22"/>
        <v>1818859.3253650826</v>
      </c>
      <c r="K45" s="1227">
        <f t="shared" si="22"/>
        <v>1511945.1433602779</v>
      </c>
      <c r="L45" s="1227">
        <f t="shared" si="22"/>
        <v>1579623.6140075515</v>
      </c>
      <c r="M45" s="1227">
        <f t="shared" si="22"/>
        <v>1727629.825874161</v>
      </c>
      <c r="N45" s="1227">
        <f t="shared" si="22"/>
        <v>1962243.0743723148</v>
      </c>
      <c r="O45" s="1227">
        <f t="shared" si="22"/>
        <v>1988874.2818847853</v>
      </c>
      <c r="P45" s="1227">
        <f t="shared" si="22"/>
        <v>1993635.7612092048</v>
      </c>
      <c r="Q45" s="1227">
        <f t="shared" si="22"/>
        <v>2008639.1070388425</v>
      </c>
      <c r="R45" s="1227">
        <f t="shared" si="22"/>
        <v>2013829.3261375187</v>
      </c>
      <c r="S45" s="1227">
        <f t="shared" si="22"/>
        <v>1970516.2613649205</v>
      </c>
      <c r="T45" s="1227">
        <f t="shared" si="22"/>
        <v>2010437.7528873153</v>
      </c>
      <c r="U45" s="1227">
        <f t="shared" si="22"/>
        <v>2014224.7656026154</v>
      </c>
      <c r="V45" s="1227">
        <f t="shared" si="22"/>
        <v>2017684.6331490735</v>
      </c>
      <c r="W45" s="1227">
        <f t="shared" si="22"/>
        <v>2021848.5890454606</v>
      </c>
      <c r="X45" s="1227">
        <f t="shared" si="22"/>
        <v>2026239.7160458392</v>
      </c>
      <c r="Y45" s="1227">
        <f t="shared" si="22"/>
        <v>2029395.749560894</v>
      </c>
      <c r="Z45" s="1227">
        <f t="shared" si="22"/>
        <v>2032466.3960895918</v>
      </c>
      <c r="AA45" s="1227">
        <f t="shared" si="22"/>
        <v>2035536.6501196967</v>
      </c>
      <c r="AB45" s="1227">
        <f t="shared" si="22"/>
        <v>2039203.7235733909</v>
      </c>
      <c r="AC45" s="1227">
        <f t="shared" si="22"/>
        <v>2043167.6955235952</v>
      </c>
      <c r="AD45" s="1227">
        <f t="shared" si="22"/>
        <v>2046680.7628370489</v>
      </c>
      <c r="AE45" s="1227">
        <f t="shared" si="22"/>
        <v>2050562.4799336412</v>
      </c>
      <c r="AF45" s="1227">
        <f t="shared" si="22"/>
        <v>2053433.1480969142</v>
      </c>
      <c r="AG45" s="1229">
        <f>SUM(C45:AF45)</f>
        <v>51531120.436439984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5" si="23">SUM(C46:AF46)</f>
        <v>0</v>
      </c>
    </row>
    <row r="47" spans="2:34" s="205" customFormat="1" ht="21" customHeight="1">
      <c r="B47" s="468" t="s">
        <v>229</v>
      </c>
      <c r="C47" s="1212">
        <f t="shared" ref="C47:AF47" si="24">C48+C52</f>
        <v>-563262.22957299976</v>
      </c>
      <c r="D47" s="1212">
        <f t="shared" si="24"/>
        <v>-561656.73038045038</v>
      </c>
      <c r="E47" s="1212">
        <f t="shared" si="24"/>
        <v>-526558.43434490811</v>
      </c>
      <c r="F47" s="1212">
        <f t="shared" si="24"/>
        <v>-1656331.7371514337</v>
      </c>
      <c r="G47" s="1212">
        <f t="shared" si="24"/>
        <v>-5488637.5529870847</v>
      </c>
      <c r="H47" s="1212">
        <f t="shared" si="24"/>
        <v>-1020483.3257311017</v>
      </c>
      <c r="I47" s="1212">
        <f t="shared" si="24"/>
        <v>-2117001.7983584367</v>
      </c>
      <c r="J47" s="1212">
        <f t="shared" si="24"/>
        <v>-1646829.6102130874</v>
      </c>
      <c r="K47" s="1212">
        <f t="shared" si="24"/>
        <v>-1169013.9604621804</v>
      </c>
      <c r="L47" s="1212">
        <f t="shared" si="24"/>
        <v>-738730.25526015274</v>
      </c>
      <c r="M47" s="1212">
        <f t="shared" si="24"/>
        <v>-1093879.688774474</v>
      </c>
      <c r="N47" s="1212">
        <f t="shared" si="24"/>
        <v>-499784.77854860842</v>
      </c>
      <c r="O47" s="1212">
        <f t="shared" si="24"/>
        <v>-507945.23153197474</v>
      </c>
      <c r="P47" s="1212">
        <f t="shared" si="24"/>
        <v>-529666.37942723464</v>
      </c>
      <c r="Q47" s="1212">
        <f t="shared" si="24"/>
        <v>-2944638.8677233555</v>
      </c>
      <c r="R47" s="1212">
        <f t="shared" si="24"/>
        <v>-3021398.457415591</v>
      </c>
      <c r="S47" s="1212">
        <f t="shared" si="24"/>
        <v>-395449.85314834211</v>
      </c>
      <c r="T47" s="1212">
        <f t="shared" si="24"/>
        <v>-407372.88516782352</v>
      </c>
      <c r="U47" s="1212">
        <f t="shared" si="24"/>
        <v>-406872.67146804824</v>
      </c>
      <c r="V47" s="1212">
        <f t="shared" si="24"/>
        <v>-406098.70131786889</v>
      </c>
      <c r="W47" s="1212">
        <f t="shared" si="24"/>
        <v>-411064.0886950678</v>
      </c>
      <c r="X47" s="1212">
        <f t="shared" si="24"/>
        <v>-400603.19673344924</v>
      </c>
      <c r="Y47" s="1212">
        <f t="shared" si="24"/>
        <v>-399150.10109410202</v>
      </c>
      <c r="Z47" s="1212">
        <f t="shared" si="24"/>
        <v>-397307.09573161264</v>
      </c>
      <c r="AA47" s="1212">
        <f t="shared" si="24"/>
        <v>-394982.78605589387</v>
      </c>
      <c r="AB47" s="1212">
        <f t="shared" si="24"/>
        <v>-401542.75577500463</v>
      </c>
      <c r="AC47" s="1212">
        <f t="shared" si="24"/>
        <v>-388502.03716914251</v>
      </c>
      <c r="AD47" s="1212">
        <f t="shared" si="24"/>
        <v>-383681.83463047456</v>
      </c>
      <c r="AE47" s="1212">
        <f t="shared" si="24"/>
        <v>-375838.27030545275</v>
      </c>
      <c r="AF47" s="1228">
        <f t="shared" si="24"/>
        <v>-332587.9111309463</v>
      </c>
      <c r="AG47" s="1231">
        <f t="shared" si="23"/>
        <v>-29586873.226306301</v>
      </c>
    </row>
    <row r="48" spans="2:34" s="206" customFormat="1" ht="21" customHeight="1">
      <c r="B48" s="468" t="s">
        <v>230</v>
      </c>
      <c r="C48" s="1212">
        <f t="shared" ref="C48:AF48" si="25">SUM(C49:C51)</f>
        <v>-563262.22957299976</v>
      </c>
      <c r="D48" s="1212">
        <f t="shared" si="25"/>
        <v>-345639.16425320646</v>
      </c>
      <c r="E48" s="1212">
        <f t="shared" si="25"/>
        <v>-302337.51106105704</v>
      </c>
      <c r="F48" s="1212">
        <f t="shared" si="25"/>
        <v>-1393737.2138793978</v>
      </c>
      <c r="G48" s="1212">
        <f t="shared" si="25"/>
        <v>-5209890.1252055857</v>
      </c>
      <c r="H48" s="1212">
        <f t="shared" si="25"/>
        <v>-727898.33131925284</v>
      </c>
      <c r="I48" s="1212">
        <f t="shared" si="25"/>
        <v>-1713105.5265664214</v>
      </c>
      <c r="J48" s="1212">
        <f t="shared" si="25"/>
        <v>-1191741.8254753242</v>
      </c>
      <c r="K48" s="1211">
        <f t="shared" si="25"/>
        <v>-836694.82581794215</v>
      </c>
      <c r="L48" s="1211">
        <f t="shared" si="25"/>
        <v>-396946.92825194134</v>
      </c>
      <c r="M48" s="1211">
        <f t="shared" si="25"/>
        <v>-708522.34751189826</v>
      </c>
      <c r="N48" s="1211">
        <f t="shared" si="25"/>
        <v>-47337.753752136574</v>
      </c>
      <c r="O48" s="1211">
        <f t="shared" si="25"/>
        <v>-47337.753752136574</v>
      </c>
      <c r="P48" s="1211">
        <f t="shared" si="25"/>
        <v>-68386.753752136574</v>
      </c>
      <c r="Q48" s="1211">
        <f t="shared" si="25"/>
        <v>-2479711.3229834135</v>
      </c>
      <c r="R48" s="1211">
        <f t="shared" si="25"/>
        <v>-2610913.0281697232</v>
      </c>
      <c r="S48" s="1211">
        <f t="shared" si="25"/>
        <v>-63098.753752136574</v>
      </c>
      <c r="T48" s="1211">
        <f t="shared" si="25"/>
        <v>-63098.753752136574</v>
      </c>
      <c r="U48" s="1211">
        <f t="shared" si="25"/>
        <v>-63098.753752136574</v>
      </c>
      <c r="V48" s="1211">
        <f t="shared" si="25"/>
        <v>-63098.753752136574</v>
      </c>
      <c r="W48" s="1211">
        <f t="shared" si="25"/>
        <v>-68793.753752136574</v>
      </c>
      <c r="X48" s="1211">
        <f t="shared" si="25"/>
        <v>-59438.753752136574</v>
      </c>
      <c r="Y48" s="1211">
        <f t="shared" si="25"/>
        <v>-59438.753752136574</v>
      </c>
      <c r="Z48" s="1211">
        <f t="shared" si="25"/>
        <v>-59438.753752136574</v>
      </c>
      <c r="AA48" s="1211">
        <f t="shared" si="25"/>
        <v>-59438.753752136574</v>
      </c>
      <c r="AB48" s="1211">
        <f t="shared" si="25"/>
        <v>-68793.753752136574</v>
      </c>
      <c r="AC48" s="1211">
        <f t="shared" si="25"/>
        <v>-60252.753752136574</v>
      </c>
      <c r="AD48" s="1211">
        <f t="shared" si="25"/>
        <v>-61066.753752136574</v>
      </c>
      <c r="AE48" s="1211">
        <f t="shared" si="25"/>
        <v>-62284.753752136574</v>
      </c>
      <c r="AF48" s="1211">
        <f t="shared" si="25"/>
        <v>-59447.247996732927</v>
      </c>
      <c r="AG48" s="1231">
        <f t="shared" si="23"/>
        <v>-19514251.688099056</v>
      </c>
      <c r="AH48" s="207"/>
    </row>
    <row r="49" spans="2:34" s="206" customFormat="1" ht="21" customHeight="1">
      <c r="B49" s="470" t="s">
        <v>231</v>
      </c>
      <c r="C49" s="1214">
        <f t="array" ref="C49:AF49">-TRANSPOSE('18 R1 Invest Total'!C4:C33)</f>
        <v>-408428.3754822117</v>
      </c>
      <c r="D49" s="1214">
        <v>-329783.01199834509</v>
      </c>
      <c r="E49" s="1214">
        <v>-226602.31678867349</v>
      </c>
      <c r="F49" s="1214">
        <v>-1359859.3479073208</v>
      </c>
      <c r="G49" s="1214">
        <v>-423362.0777800596</v>
      </c>
      <c r="H49" s="1214">
        <v>-99278.617780059591</v>
      </c>
      <c r="I49" s="1214">
        <v>-14581.887780059598</v>
      </c>
      <c r="J49" s="1214">
        <v>-14581.887780059598</v>
      </c>
      <c r="K49" s="1214">
        <v>-14581.887780059598</v>
      </c>
      <c r="L49" s="1214">
        <v>-15189.887780059598</v>
      </c>
      <c r="M49" s="1214">
        <v>-14785.887780059598</v>
      </c>
      <c r="N49" s="1214">
        <v>-14275.887780059598</v>
      </c>
      <c r="O49" s="1214">
        <v>-14275.887780059598</v>
      </c>
      <c r="P49" s="1214">
        <v>-14275.887780059598</v>
      </c>
      <c r="Q49" s="1214">
        <v>-14275.887780059598</v>
      </c>
      <c r="R49" s="1214">
        <v>-12851.887780059598</v>
      </c>
      <c r="S49" s="1214">
        <v>-12851.887780059598</v>
      </c>
      <c r="T49" s="1214">
        <v>-12851.887780059598</v>
      </c>
      <c r="U49" s="1214">
        <v>-12851.887780059598</v>
      </c>
      <c r="V49" s="1214">
        <v>-12851.887780059598</v>
      </c>
      <c r="W49" s="1214">
        <v>-14377.887780059598</v>
      </c>
      <c r="X49" s="1214">
        <v>-11835.887780059598</v>
      </c>
      <c r="Y49" s="1214">
        <v>-11835.887780059598</v>
      </c>
      <c r="Z49" s="1214">
        <v>-11835.887780059598</v>
      </c>
      <c r="AA49" s="1214">
        <v>-11835.887780059598</v>
      </c>
      <c r="AB49" s="1214">
        <v>-14377.887780059598</v>
      </c>
      <c r="AC49" s="1214">
        <v>-12039.887780059598</v>
      </c>
      <c r="AD49" s="1214">
        <v>-12243.887780059598</v>
      </c>
      <c r="AE49" s="1214">
        <v>-12647.887780059598</v>
      </c>
      <c r="AF49" s="1230">
        <v>-9773.2620246559418</v>
      </c>
      <c r="AG49" s="1231">
        <f t="shared" si="23"/>
        <v>-3165202.4287026967</v>
      </c>
    </row>
    <row r="50" spans="2:34" s="1531" customFormat="1" ht="21" customHeight="1">
      <c r="B50" s="1258" t="s">
        <v>232</v>
      </c>
      <c r="C50" s="1214">
        <f>'R1 FC'!C9</f>
        <v>-37879.125589369905</v>
      </c>
      <c r="D50" s="1214">
        <f>'R1 FC'!D9</f>
        <v>-571.94869673148537</v>
      </c>
      <c r="E50" s="1214">
        <f>'R1 FC'!E9</f>
        <v>-9420.8028316306008</v>
      </c>
      <c r="F50" s="1214">
        <f>'R1 FC'!F9</f>
        <v>-816</v>
      </c>
      <c r="G50" s="1214">
        <f>'R1 FC'!G9</f>
        <v>-4753466.1814534497</v>
      </c>
      <c r="H50" s="1214">
        <f>'R1 FC'!H9</f>
        <v>-595557.84756711626</v>
      </c>
      <c r="I50" s="1214">
        <f>'R1 FC'!I9</f>
        <v>-1665461.7728142848</v>
      </c>
      <c r="J50" s="1214">
        <f>'R1 FC'!J9</f>
        <v>-1144098.0717231876</v>
      </c>
      <c r="K50" s="1222">
        <f>IF('R1 FC'!K9-'E7 Reprog Inv Esg'!B41&lt;0,'R1 FC'!K9-'E7 Reprog Inv Esg'!B41,0)</f>
        <v>-789051.07206580555</v>
      </c>
      <c r="L50" s="1222">
        <f>IF('R1 FC'!L9-'E7 Reprog Inv Esg'!C41&lt;0,'R1 FC'!L9-'E7 Reprog Inv Esg'!C41,0)</f>
        <v>-348695.17449980474</v>
      </c>
      <c r="M50" s="1222">
        <f>IF('R1 FC'!M9-'E7 Reprog Inv Esg'!D41&lt;0,'R1 FC'!M9-'E7 Reprog Inv Esg'!D41,0)</f>
        <v>-660674.59375976166</v>
      </c>
      <c r="N50" s="1222">
        <f>IF('R1 FC'!N9-'E7 Reprog Inv Esg'!E41&lt;0,'R1 FC'!N9-'E7 Reprog Inv Esg'!E41,0)</f>
        <v>0</v>
      </c>
      <c r="O50" s="1222">
        <f>IF('R1 FC'!O9-'E7 Reprog Inv Esg'!F41&lt;0,'R1 FC'!O9-'E7 Reprog Inv Esg'!F41,0)</f>
        <v>0</v>
      </c>
      <c r="P50" s="1222">
        <f>IF('R1 FC'!P9-'E7 Reprog Inv Esg'!G41&lt;0,'R1 FC'!P9-'E7 Reprog Inv Esg'!G41,0)</f>
        <v>-21049</v>
      </c>
      <c r="Q50" s="1222">
        <f>IF('R1 FC'!Q9-'E7 Reprog Inv Esg'!H41&lt;0,'R1 FC'!Q9-'E7 Reprog Inv Esg'!H41,0)</f>
        <v>-2432373.5692312769</v>
      </c>
      <c r="R50" s="1222">
        <f>IF('R1 FC'!R9-'E7 Reprog Inv Esg'!I41&lt;0,'R1 FC'!R9-'E7 Reprog Inv Esg'!I41,0)</f>
        <v>-2564999.2744175866</v>
      </c>
      <c r="S50" s="1222">
        <f>IF('R1 FC'!S9-'E7 Reprog Inv Esg'!J41&lt;0,'R1 FC'!S9-'E7 Reprog Inv Esg'!J41,0)</f>
        <v>-17185</v>
      </c>
      <c r="T50" s="1222">
        <f>IF('R1 FC'!T9-'E7 Reprog Inv Esg'!K41&lt;0,'R1 FC'!T9-'E7 Reprog Inv Esg'!K41,0)</f>
        <v>-17185</v>
      </c>
      <c r="U50" s="1222">
        <f>IF('R1 FC'!U9-'E7 Reprog Inv Esg'!L41&lt;0,'R1 FC'!U9-'E7 Reprog Inv Esg'!L41,0)</f>
        <v>-17185</v>
      </c>
      <c r="V50" s="1222">
        <f>IF('R1 FC'!V9-'E7 Reprog Inv Esg'!M41&lt;0,'R1 FC'!V9-'E7 Reprog Inv Esg'!M41,0)</f>
        <v>-17185</v>
      </c>
      <c r="W50" s="1222">
        <f>IF('R1 FC'!W9-'E7 Reprog Inv Esg'!N41&lt;0,'R1 FC'!W9-'E7 Reprog Inv Esg'!N41,0)</f>
        <v>-21354</v>
      </c>
      <c r="X50" s="1222">
        <f>IF('R1 FC'!X9-'E7 Reprog Inv Esg'!O41&lt;0,'R1 FC'!X9-'E7 Reprog Inv Esg'!O41,0)</f>
        <v>-14541</v>
      </c>
      <c r="Y50" s="1222">
        <f>IF('R1 FC'!Y9-'E7 Reprog Inv Esg'!P41&lt;0,'R1 FC'!Y9-'E7 Reprog Inv Esg'!P41,0)</f>
        <v>-14541</v>
      </c>
      <c r="Z50" s="1222">
        <f>IF('R1 FC'!Z9-'E7 Reprog Inv Esg'!Q41&lt;0,'R1 FC'!Z9-'E7 Reprog Inv Esg'!Q41,0)</f>
        <v>-14541</v>
      </c>
      <c r="AA50" s="1222">
        <f>IF('R1 FC'!AA9-'E7 Reprog Inv Esg'!R41&lt;0,'R1 FC'!AA9-'E7 Reprog Inv Esg'!R41,0)</f>
        <v>-14541</v>
      </c>
      <c r="AB50" s="1222">
        <f>IF('R1 FC'!AB9-'E7 Reprog Inv Esg'!S41&lt;0,'R1 FC'!AB9-'E7 Reprog Inv Esg'!S41,0)</f>
        <v>-21354</v>
      </c>
      <c r="AC50" s="1222">
        <f>IF('R1 FC'!AC9-'E7 Reprog Inv Esg'!T41&lt;0,'R1 FC'!AC9-'E7 Reprog Inv Esg'!T41,0)</f>
        <v>-15151</v>
      </c>
      <c r="AD50" s="1222">
        <f>IF('R1 FC'!AD9-'E7 Reprog Inv Esg'!U41&lt;0,'R1 FC'!AD9-'E7 Reprog Inv Esg'!U41,0)</f>
        <v>-15761</v>
      </c>
      <c r="AE50" s="1222">
        <f>IF('R1 FC'!AE9-'E7 Reprog Inv Esg'!V41&lt;0,'R1 FC'!AE9-'E7 Reprog Inv Esg'!V41,0)</f>
        <v>-16575</v>
      </c>
      <c r="AF50" s="1222">
        <f>IF('R1 FC'!AF9-'E7 Reprog Inv Esg'!W41&lt;0,'R1 FC'!AF9-'E7 Reprog Inv Esg'!W41,0)</f>
        <v>-16612.120000000003</v>
      </c>
      <c r="AG50" s="1532">
        <f t="shared" si="23"/>
        <v>-15257825.554650005</v>
      </c>
    </row>
    <row r="51" spans="2:34" s="206" customFormat="1" ht="21" customHeight="1">
      <c r="B51" s="470" t="s">
        <v>233</v>
      </c>
      <c r="C51" s="1214">
        <f t="array" ref="C51:AF51">-TRANSPOSE('18 R1 Invest Total'!E4:E33)</f>
        <v>-116954.72850141811</v>
      </c>
      <c r="D51" s="1214">
        <v>-15284.203558129915</v>
      </c>
      <c r="E51" s="1214">
        <v>-66314.391440752952</v>
      </c>
      <c r="F51" s="1214">
        <v>-33061.865972076979</v>
      </c>
      <c r="G51" s="1214">
        <v>-33061.865972076979</v>
      </c>
      <c r="H51" s="1214">
        <v>-33061.865972076979</v>
      </c>
      <c r="I51" s="1214">
        <v>-33061.865972076979</v>
      </c>
      <c r="J51" s="1214">
        <v>-33061.865972076979</v>
      </c>
      <c r="K51" s="1214">
        <v>-33061.865972076979</v>
      </c>
      <c r="L51" s="1214">
        <v>-33061.865972076979</v>
      </c>
      <c r="M51" s="1214">
        <v>-33061.865972076979</v>
      </c>
      <c r="N51" s="1214">
        <v>-33061.865972076979</v>
      </c>
      <c r="O51" s="1214">
        <v>-33061.865972076979</v>
      </c>
      <c r="P51" s="1214">
        <v>-33061.865972076979</v>
      </c>
      <c r="Q51" s="1214">
        <v>-33061.865972076979</v>
      </c>
      <c r="R51" s="1214">
        <v>-33061.865972076979</v>
      </c>
      <c r="S51" s="1214">
        <v>-33061.865972076979</v>
      </c>
      <c r="T51" s="1214">
        <v>-33061.865972076979</v>
      </c>
      <c r="U51" s="1214">
        <v>-33061.865972076979</v>
      </c>
      <c r="V51" s="1214">
        <v>-33061.865972076979</v>
      </c>
      <c r="W51" s="1214">
        <v>-33061.865972076979</v>
      </c>
      <c r="X51" s="1214">
        <v>-33061.865972076979</v>
      </c>
      <c r="Y51" s="1214">
        <v>-33061.865972076979</v>
      </c>
      <c r="Z51" s="1214">
        <v>-33061.865972076979</v>
      </c>
      <c r="AA51" s="1214">
        <v>-33061.865972076979</v>
      </c>
      <c r="AB51" s="1214">
        <v>-33061.865972076979</v>
      </c>
      <c r="AC51" s="1214">
        <v>-33061.865972076979</v>
      </c>
      <c r="AD51" s="1214">
        <v>-33061.865972076979</v>
      </c>
      <c r="AE51" s="1214">
        <v>-33061.865972076979</v>
      </c>
      <c r="AF51" s="1230">
        <v>-33061.865972076979</v>
      </c>
      <c r="AG51" s="1231">
        <f t="shared" si="23"/>
        <v>-1091223.70474638</v>
      </c>
    </row>
    <row r="52" spans="2:34" s="206" customFormat="1" ht="21" customHeight="1">
      <c r="B52" s="468" t="s">
        <v>234</v>
      </c>
      <c r="C52" s="1212">
        <f>C53+C54</f>
        <v>0</v>
      </c>
      <c r="D52" s="1212">
        <f t="shared" ref="D52:AF52" si="26">D53+D54</f>
        <v>-216017.56612724392</v>
      </c>
      <c r="E52" s="1212">
        <f t="shared" si="26"/>
        <v>-224220.92328385104</v>
      </c>
      <c r="F52" s="1212">
        <f t="shared" si="26"/>
        <v>-262594.52327203582</v>
      </c>
      <c r="G52" s="1212">
        <f t="shared" si="26"/>
        <v>-278747.42778149887</v>
      </c>
      <c r="H52" s="1212">
        <f t="shared" si="26"/>
        <v>-292584.99441184889</v>
      </c>
      <c r="I52" s="1212">
        <f t="shared" si="26"/>
        <v>-403896.27179201529</v>
      </c>
      <c r="J52" s="1212">
        <f t="shared" si="26"/>
        <v>-455087.78473776334</v>
      </c>
      <c r="K52" s="1212">
        <f t="shared" si="26"/>
        <v>-332319.13464423839</v>
      </c>
      <c r="L52" s="1212">
        <f t="shared" si="26"/>
        <v>-341783.3270082114</v>
      </c>
      <c r="M52" s="1212">
        <f t="shared" si="26"/>
        <v>-385357.34126257565</v>
      </c>
      <c r="N52" s="1212">
        <f t="shared" si="26"/>
        <v>-452447.02479647187</v>
      </c>
      <c r="O52" s="1212">
        <f t="shared" si="26"/>
        <v>-460607.4777798382</v>
      </c>
      <c r="P52" s="1212">
        <f t="shared" si="26"/>
        <v>-461279.62567509804</v>
      </c>
      <c r="Q52" s="1212">
        <f t="shared" si="26"/>
        <v>-464927.54473994195</v>
      </c>
      <c r="R52" s="1212">
        <f t="shared" si="26"/>
        <v>-410485.42924586788</v>
      </c>
      <c r="S52" s="1212">
        <f t="shared" si="26"/>
        <v>-332351.09939620551</v>
      </c>
      <c r="T52" s="1212">
        <f t="shared" si="26"/>
        <v>-344274.13141568692</v>
      </c>
      <c r="U52" s="1212">
        <f t="shared" si="26"/>
        <v>-343773.9177159117</v>
      </c>
      <c r="V52" s="1212">
        <f t="shared" si="26"/>
        <v>-342999.94756573235</v>
      </c>
      <c r="W52" s="1212">
        <f t="shared" si="26"/>
        <v>-342270.33494293125</v>
      </c>
      <c r="X52" s="1212">
        <f t="shared" si="26"/>
        <v>-341164.44298131263</v>
      </c>
      <c r="Y52" s="1212">
        <f t="shared" si="26"/>
        <v>-339711.34734196548</v>
      </c>
      <c r="Z52" s="1212">
        <f t="shared" si="26"/>
        <v>-337868.3419794761</v>
      </c>
      <c r="AA52" s="1212">
        <f t="shared" si="26"/>
        <v>-335544.03230375733</v>
      </c>
      <c r="AB52" s="1212">
        <f t="shared" si="26"/>
        <v>-332749.00202286802</v>
      </c>
      <c r="AC52" s="1212">
        <f t="shared" si="26"/>
        <v>-328249.28341700591</v>
      </c>
      <c r="AD52" s="1212">
        <f t="shared" si="26"/>
        <v>-322615.08087833796</v>
      </c>
      <c r="AE52" s="1212">
        <f t="shared" si="26"/>
        <v>-313553.51655331615</v>
      </c>
      <c r="AF52" s="1228">
        <f t="shared" si="26"/>
        <v>-273140.66313421336</v>
      </c>
      <c r="AG52" s="1231">
        <f t="shared" si="23"/>
        <v>-10072621.538207222</v>
      </c>
    </row>
    <row r="53" spans="2:34" s="206" customFormat="1" ht="21" customHeight="1">
      <c r="B53" s="469" t="s">
        <v>235</v>
      </c>
      <c r="C53" s="1214">
        <f>C31</f>
        <v>0</v>
      </c>
      <c r="D53" s="1214">
        <f t="shared" ref="D53:AF54" si="27">D31</f>
        <v>-152483.50450532642</v>
      </c>
      <c r="E53" s="1214">
        <f t="shared" si="27"/>
        <v>-158515.38476753753</v>
      </c>
      <c r="F53" s="1214">
        <f t="shared" si="27"/>
        <v>-186731.26711179104</v>
      </c>
      <c r="G53" s="1214">
        <f t="shared" si="27"/>
        <v>-198608.40278051386</v>
      </c>
      <c r="H53" s="1214">
        <f t="shared" si="27"/>
        <v>-208783.08412635949</v>
      </c>
      <c r="I53" s="1214">
        <f t="shared" si="27"/>
        <v>-290629.61161177594</v>
      </c>
      <c r="J53" s="1214">
        <f t="shared" si="27"/>
        <v>-328270.42995423777</v>
      </c>
      <c r="K53" s="1214">
        <f t="shared" si="27"/>
        <v>-237999.36370899883</v>
      </c>
      <c r="L53" s="1214">
        <f t="shared" si="27"/>
        <v>-244958.32868250838</v>
      </c>
      <c r="M53" s="1214">
        <f t="shared" si="27"/>
        <v>-276998.04504601151</v>
      </c>
      <c r="N53" s="1214">
        <f t="shared" si="27"/>
        <v>-326328.69470328814</v>
      </c>
      <c r="O53" s="1214">
        <f t="shared" si="27"/>
        <v>-332329.02777929278</v>
      </c>
      <c r="P53" s="1214">
        <f t="shared" si="27"/>
        <v>-332823.25417286623</v>
      </c>
      <c r="Q53" s="1214">
        <f t="shared" si="27"/>
        <v>-335505.5476028985</v>
      </c>
      <c r="R53" s="1214">
        <f t="shared" si="27"/>
        <v>-295474.58032784401</v>
      </c>
      <c r="S53" s="1214">
        <f t="shared" si="27"/>
        <v>-238022.86720309226</v>
      </c>
      <c r="T53" s="1214">
        <f t="shared" si="27"/>
        <v>-246789.80251153448</v>
      </c>
      <c r="U53" s="1214">
        <f t="shared" si="27"/>
        <v>-246421.9983205233</v>
      </c>
      <c r="V53" s="1214">
        <f t="shared" si="27"/>
        <v>-245852.90262186201</v>
      </c>
      <c r="W53" s="1214">
        <f t="shared" si="27"/>
        <v>-245316.42275215534</v>
      </c>
      <c r="X53" s="1214">
        <f t="shared" si="27"/>
        <v>-244503.26689802401</v>
      </c>
      <c r="Y53" s="1214">
        <f t="shared" si="27"/>
        <v>-243434.81422203343</v>
      </c>
      <c r="Z53" s="1214">
        <f t="shared" si="27"/>
        <v>-242079.66322020302</v>
      </c>
      <c r="AA53" s="1214">
        <f t="shared" si="27"/>
        <v>-240370.61198805686</v>
      </c>
      <c r="AB53" s="1214">
        <f t="shared" si="27"/>
        <v>-238315.44266387355</v>
      </c>
      <c r="AC53" s="1214">
        <f t="shared" si="27"/>
        <v>-235006.82604191609</v>
      </c>
      <c r="AD53" s="1214">
        <f t="shared" si="27"/>
        <v>-230864.03005760146</v>
      </c>
      <c r="AE53" s="1214">
        <f t="shared" si="27"/>
        <v>-224201.11511273246</v>
      </c>
      <c r="AF53" s="1214">
        <f t="shared" si="27"/>
        <v>-194485.78171633335</v>
      </c>
      <c r="AG53" s="1231">
        <f t="shared" si="23"/>
        <v>-7222104.0722111911</v>
      </c>
    </row>
    <row r="54" spans="2:34" s="206" customFormat="1" ht="21" customHeight="1" thickBot="1">
      <c r="B54" s="476" t="s">
        <v>236</v>
      </c>
      <c r="C54" s="1214">
        <f>C32</f>
        <v>0</v>
      </c>
      <c r="D54" s="1214">
        <f t="shared" si="27"/>
        <v>-63534.061621917506</v>
      </c>
      <c r="E54" s="1214">
        <f t="shared" si="27"/>
        <v>-65705.538516313507</v>
      </c>
      <c r="F54" s="1214">
        <f t="shared" si="27"/>
        <v>-75863.256160244768</v>
      </c>
      <c r="G54" s="1214">
        <f t="shared" si="27"/>
        <v>-80139.025000984999</v>
      </c>
      <c r="H54" s="1214">
        <f t="shared" si="27"/>
        <v>-83801.910285489415</v>
      </c>
      <c r="I54" s="1214">
        <f t="shared" si="27"/>
        <v>-113266.66018023933</v>
      </c>
      <c r="J54" s="1214">
        <f t="shared" si="27"/>
        <v>-126817.35478352559</v>
      </c>
      <c r="K54" s="1214">
        <f t="shared" si="27"/>
        <v>-94319.770935239576</v>
      </c>
      <c r="L54" s="1214">
        <f t="shared" si="27"/>
        <v>-96824.998325703011</v>
      </c>
      <c r="M54" s="1214">
        <f t="shared" si="27"/>
        <v>-108359.29621656414</v>
      </c>
      <c r="N54" s="1214">
        <f t="shared" si="27"/>
        <v>-126118.33009318373</v>
      </c>
      <c r="O54" s="1214">
        <f t="shared" si="27"/>
        <v>-128278.4500005454</v>
      </c>
      <c r="P54" s="1214">
        <f t="shared" si="27"/>
        <v>-128456.37150223184</v>
      </c>
      <c r="Q54" s="1214">
        <f t="shared" si="27"/>
        <v>-129421.99713704345</v>
      </c>
      <c r="R54" s="1214">
        <f t="shared" si="27"/>
        <v>-115010.84891802384</v>
      </c>
      <c r="S54" s="1214">
        <f t="shared" si="27"/>
        <v>-94328.232193113217</v>
      </c>
      <c r="T54" s="1214">
        <f t="shared" si="27"/>
        <v>-97484.328904152411</v>
      </c>
      <c r="U54" s="1214">
        <f t="shared" si="27"/>
        <v>-97351.919395388381</v>
      </c>
      <c r="V54" s="1214">
        <f t="shared" si="27"/>
        <v>-97147.044943870322</v>
      </c>
      <c r="W54" s="1214">
        <f t="shared" si="27"/>
        <v>-96953.912190775925</v>
      </c>
      <c r="X54" s="1214">
        <f t="shared" si="27"/>
        <v>-96661.176083288636</v>
      </c>
      <c r="Y54" s="1214">
        <f t="shared" si="27"/>
        <v>-96276.533119932035</v>
      </c>
      <c r="Z54" s="1214">
        <f t="shared" si="27"/>
        <v>-95788.678759273083</v>
      </c>
      <c r="AA54" s="1214">
        <f t="shared" si="27"/>
        <v>-95173.420315700467</v>
      </c>
      <c r="AB54" s="1214">
        <f t="shared" si="27"/>
        <v>-94433.559358994476</v>
      </c>
      <c r="AC54" s="1214">
        <f t="shared" si="27"/>
        <v>-93242.457375089783</v>
      </c>
      <c r="AD54" s="1214">
        <f t="shared" si="27"/>
        <v>-91751.05082073652</v>
      </c>
      <c r="AE54" s="1214">
        <f t="shared" si="27"/>
        <v>-89352.401440583679</v>
      </c>
      <c r="AF54" s="1214">
        <f t="shared" si="27"/>
        <v>-78654.881417880009</v>
      </c>
      <c r="AG54" s="1232">
        <f t="shared" si="23"/>
        <v>-2850517.4659960289</v>
      </c>
    </row>
    <row r="55" spans="2:34" s="206" customFormat="1" ht="21" customHeight="1" thickBot="1">
      <c r="B55" s="472" t="s">
        <v>237</v>
      </c>
      <c r="C55" s="1233">
        <f>C45+C47</f>
        <v>-218809.77007688157</v>
      </c>
      <c r="D55" s="1233">
        <f t="shared" ref="D55:AF55" si="28">D45+D47</f>
        <v>163700.12314337248</v>
      </c>
      <c r="E55" s="1233">
        <f t="shared" si="28"/>
        <v>235270.19609394518</v>
      </c>
      <c r="F55" s="1233">
        <f t="shared" si="28"/>
        <v>-770441.89174071245</v>
      </c>
      <c r="G55" s="1233">
        <f t="shared" si="28"/>
        <v>-4501633.8874445725</v>
      </c>
      <c r="H55" s="1233">
        <f t="shared" si="28"/>
        <v>215614.67020301684</v>
      </c>
      <c r="I55" s="1233">
        <f t="shared" si="28"/>
        <v>-523188.59534435021</v>
      </c>
      <c r="J55" s="1233">
        <f t="shared" si="28"/>
        <v>172029.71515199519</v>
      </c>
      <c r="K55" s="1233">
        <f t="shared" si="28"/>
        <v>342931.18289809744</v>
      </c>
      <c r="L55" s="1233">
        <f t="shared" si="28"/>
        <v>840893.35874739871</v>
      </c>
      <c r="M55" s="1233">
        <f t="shared" si="28"/>
        <v>633750.13709968701</v>
      </c>
      <c r="N55" s="1233">
        <f t="shared" si="28"/>
        <v>1462458.2958237063</v>
      </c>
      <c r="O55" s="1233">
        <f t="shared" si="28"/>
        <v>1480929.0503528104</v>
      </c>
      <c r="P55" s="1233">
        <f t="shared" si="28"/>
        <v>1463969.3817819702</v>
      </c>
      <c r="Q55" s="1233">
        <f t="shared" si="28"/>
        <v>-935999.76068451302</v>
      </c>
      <c r="R55" s="1233">
        <f t="shared" si="28"/>
        <v>-1007569.1312780723</v>
      </c>
      <c r="S55" s="1233">
        <f t="shared" si="28"/>
        <v>1575066.4082165784</v>
      </c>
      <c r="T55" s="1233">
        <f t="shared" si="28"/>
        <v>1603064.8677194919</v>
      </c>
      <c r="U55" s="1233">
        <f t="shared" si="28"/>
        <v>1607352.0941345673</v>
      </c>
      <c r="V55" s="1233">
        <f t="shared" si="28"/>
        <v>1611585.9318312046</v>
      </c>
      <c r="W55" s="1233">
        <f t="shared" si="28"/>
        <v>1610784.5003503929</v>
      </c>
      <c r="X55" s="1233">
        <f t="shared" si="28"/>
        <v>1625636.5193123901</v>
      </c>
      <c r="Y55" s="1233">
        <f t="shared" si="28"/>
        <v>1630245.648466792</v>
      </c>
      <c r="Z55" s="1233">
        <f t="shared" si="28"/>
        <v>1635159.3003579793</v>
      </c>
      <c r="AA55" s="1233">
        <f t="shared" si="28"/>
        <v>1640553.8640638029</v>
      </c>
      <c r="AB55" s="1233">
        <f t="shared" si="28"/>
        <v>1637660.9677983862</v>
      </c>
      <c r="AC55" s="1233">
        <f t="shared" si="28"/>
        <v>1654665.6583544528</v>
      </c>
      <c r="AD55" s="1233">
        <f t="shared" si="28"/>
        <v>1662998.9282065742</v>
      </c>
      <c r="AE55" s="1233">
        <f t="shared" si="28"/>
        <v>1674724.2096281885</v>
      </c>
      <c r="AF55" s="1234">
        <f t="shared" si="28"/>
        <v>1720845.2369659678</v>
      </c>
      <c r="AG55" s="1235">
        <f t="shared" si="23"/>
        <v>21944247.210133668</v>
      </c>
      <c r="AH55" s="207"/>
    </row>
    <row r="56" spans="2:34" s="206" customFormat="1" ht="21" customHeight="1" thickBot="1">
      <c r="B56" s="472" t="s">
        <v>238</v>
      </c>
      <c r="C56" s="886">
        <f>IRR(C55:AF55)</f>
        <v>0.12027162580955553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714</v>
      </c>
      <c r="C58" s="886">
        <v>0.1203</v>
      </c>
    </row>
    <row r="59" spans="2:34" ht="15" thickBot="1"/>
    <row r="60" spans="2:34" ht="15.75" thickBot="1">
      <c r="B60" s="472" t="s">
        <v>659</v>
      </c>
      <c r="C60" s="886">
        <f>C56-C58</f>
        <v>-2.837419044447731E-5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8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ABAAB-D413-4C17-97D6-BDE9989C3E48}">
  <sheetPr>
    <tabColor theme="9"/>
  </sheetPr>
  <dimension ref="A1:W58"/>
  <sheetViews>
    <sheetView workbookViewId="0">
      <selection activeCell="C12" sqref="C12"/>
    </sheetView>
  </sheetViews>
  <sheetFormatPr defaultRowHeight="12.75"/>
  <cols>
    <col min="1" max="1" width="42.85546875" customWidth="1"/>
    <col min="2" max="2" width="28" bestFit="1" customWidth="1"/>
    <col min="3" max="3" width="9.7109375" bestFit="1" customWidth="1"/>
    <col min="4" max="4" width="10.85546875" bestFit="1" customWidth="1"/>
    <col min="5" max="5" width="11" bestFit="1" customWidth="1"/>
    <col min="6" max="6" width="10.42578125" bestFit="1" customWidth="1"/>
    <col min="17" max="17" width="14" customWidth="1"/>
    <col min="19" max="19" width="21.28515625" customWidth="1"/>
    <col min="20" max="20" width="21.7109375" customWidth="1"/>
    <col min="21" max="21" width="24.28515625" customWidth="1"/>
    <col min="22" max="22" width="10.140625" customWidth="1"/>
    <col min="23" max="23" width="10.85546875" customWidth="1"/>
  </cols>
  <sheetData>
    <row r="1" spans="1:23" ht="23.25">
      <c r="A1" s="1236" t="s">
        <v>711</v>
      </c>
    </row>
    <row r="2" spans="1:23" ht="23.25">
      <c r="A2" s="1236" t="s">
        <v>712</v>
      </c>
    </row>
    <row r="3" spans="1:23" ht="38.25">
      <c r="O3" s="1202" t="s">
        <v>522</v>
      </c>
      <c r="P3" s="1202" t="s">
        <v>516</v>
      </c>
      <c r="Q3" s="1203" t="s">
        <v>704</v>
      </c>
      <c r="R3" s="1203" t="s">
        <v>682</v>
      </c>
      <c r="S3" s="1203" t="s">
        <v>705</v>
      </c>
      <c r="T3" s="1203" t="s">
        <v>706</v>
      </c>
      <c r="U3" s="1203" t="s">
        <v>707</v>
      </c>
      <c r="V3" s="1203" t="s">
        <v>708</v>
      </c>
      <c r="W3" s="1203" t="s">
        <v>529</v>
      </c>
    </row>
    <row r="4" spans="1:23">
      <c r="A4" s="1200" t="s">
        <v>859</v>
      </c>
      <c r="B4" s="1200" t="s">
        <v>679</v>
      </c>
      <c r="C4" s="1200" t="s">
        <v>860</v>
      </c>
      <c r="D4" s="1200" t="s">
        <v>941</v>
      </c>
      <c r="O4" s="1566">
        <v>5</v>
      </c>
      <c r="P4" s="1013">
        <v>43678</v>
      </c>
      <c r="Q4" s="1195">
        <v>60848</v>
      </c>
      <c r="R4" s="1195">
        <v>5229.93</v>
      </c>
      <c r="S4" s="1195">
        <f t="shared" ref="S4:S52" si="0">ROUND(Q4/(R4/$B$13),2)</f>
        <v>46869.18</v>
      </c>
      <c r="T4" s="1564">
        <f>SUM(S4:S15)</f>
        <v>487085.84</v>
      </c>
      <c r="U4" s="1564">
        <v>453766.16256899497</v>
      </c>
      <c r="V4" s="1564">
        <f>T4-U4</f>
        <v>33319.677431005053</v>
      </c>
      <c r="W4" s="1565">
        <f>V4/U4</f>
        <v>7.3429180444760045E-2</v>
      </c>
    </row>
    <row r="5" spans="1:23">
      <c r="A5" s="1021" t="s">
        <v>680</v>
      </c>
      <c r="B5" s="1021">
        <v>0</v>
      </c>
      <c r="C5" s="1021">
        <v>14</v>
      </c>
      <c r="D5" s="1021">
        <v>25</v>
      </c>
      <c r="O5" s="1566"/>
      <c r="P5" s="1013">
        <v>43709</v>
      </c>
      <c r="Q5" s="1195">
        <v>56390</v>
      </c>
      <c r="R5" s="1195">
        <v>5227.84</v>
      </c>
      <c r="S5" s="1195">
        <f t="shared" si="0"/>
        <v>43452.69</v>
      </c>
      <c r="T5" s="1564"/>
      <c r="U5" s="1564"/>
      <c r="V5" s="1564"/>
      <c r="W5" s="1565"/>
    </row>
    <row r="6" spans="1:23">
      <c r="A6" s="1021" t="s">
        <v>685</v>
      </c>
      <c r="B6" s="1021">
        <v>29.89</v>
      </c>
      <c r="C6" s="1021">
        <v>8</v>
      </c>
      <c r="D6" s="1021">
        <v>7</v>
      </c>
      <c r="O6" s="1566"/>
      <c r="P6" s="1013">
        <v>43739</v>
      </c>
      <c r="Q6" s="1195">
        <v>54466</v>
      </c>
      <c r="R6" s="1195">
        <v>5233.07</v>
      </c>
      <c r="S6" s="1195">
        <f t="shared" si="0"/>
        <v>41928.160000000003</v>
      </c>
      <c r="T6" s="1564"/>
      <c r="U6" s="1564"/>
      <c r="V6" s="1564"/>
      <c r="W6" s="1565"/>
    </row>
    <row r="7" spans="1:23">
      <c r="A7" s="1021" t="s">
        <v>686</v>
      </c>
      <c r="B7" s="1021">
        <v>65</v>
      </c>
      <c r="C7" s="1021">
        <v>16</v>
      </c>
      <c r="D7" s="1021">
        <v>4</v>
      </c>
      <c r="O7" s="1566"/>
      <c r="P7" s="1013">
        <v>43770</v>
      </c>
      <c r="Q7" s="1195">
        <v>55699</v>
      </c>
      <c r="R7" s="1195">
        <v>5259.76</v>
      </c>
      <c r="S7" s="1195">
        <f t="shared" si="0"/>
        <v>42659.76</v>
      </c>
      <c r="T7" s="1564"/>
      <c r="U7" s="1564"/>
      <c r="V7" s="1564"/>
      <c r="W7" s="1565"/>
    </row>
    <row r="8" spans="1:23">
      <c r="A8" s="1021" t="s">
        <v>687</v>
      </c>
      <c r="B8" s="1021">
        <v>97.949999999999989</v>
      </c>
      <c r="C8" s="1021">
        <v>3</v>
      </c>
      <c r="D8" s="1021">
        <v>4</v>
      </c>
      <c r="O8" s="1566"/>
      <c r="P8" s="1013">
        <v>43800</v>
      </c>
      <c r="Q8" s="1195">
        <v>53734</v>
      </c>
      <c r="R8" s="1195">
        <v>5320.25</v>
      </c>
      <c r="S8" s="1195">
        <f t="shared" si="0"/>
        <v>40686.85</v>
      </c>
      <c r="T8" s="1564"/>
      <c r="U8" s="1564"/>
      <c r="V8" s="1564"/>
      <c r="W8" s="1565"/>
    </row>
    <row r="9" spans="1:23">
      <c r="A9" s="1021" t="s">
        <v>688</v>
      </c>
      <c r="B9" s="1021">
        <v>142</v>
      </c>
      <c r="C9" s="1021">
        <v>0</v>
      </c>
      <c r="D9" s="1021">
        <v>8</v>
      </c>
      <c r="O9" s="1566"/>
      <c r="P9" s="1013">
        <v>43831</v>
      </c>
      <c r="Q9" s="1195">
        <v>54106</v>
      </c>
      <c r="R9" s="1195">
        <v>5331.42</v>
      </c>
      <c r="S9" s="1195">
        <f t="shared" si="0"/>
        <v>40882.69</v>
      </c>
      <c r="T9" s="1564"/>
      <c r="U9" s="1564"/>
      <c r="V9" s="1564"/>
      <c r="W9" s="1565"/>
    </row>
    <row r="10" spans="1:23">
      <c r="A10" s="1200" t="s">
        <v>858</v>
      </c>
      <c r="B10" s="1200" t="s">
        <v>689</v>
      </c>
      <c r="C10" s="1244">
        <f>(B5*C5+B6*C6+B7*C7+B8*C8+B9*C9)/(SUM(C5:C9))</f>
        <v>38.365121951219507</v>
      </c>
      <c r="D10" s="1244">
        <f>(B5*D5+B6*D6+B7*D7+B8*D8+B9*D9)/(SUM(D5:D9))</f>
        <v>41.604791666666664</v>
      </c>
      <c r="O10" s="1566"/>
      <c r="P10" s="1013">
        <v>43862</v>
      </c>
      <c r="Q10" s="1195">
        <v>48831</v>
      </c>
      <c r="R10" s="1195">
        <v>5344.75</v>
      </c>
      <c r="S10" s="1195">
        <f t="shared" si="0"/>
        <v>36804.86</v>
      </c>
      <c r="T10" s="1564"/>
      <c r="U10" s="1564"/>
      <c r="V10" s="1564"/>
      <c r="W10" s="1565"/>
    </row>
    <row r="11" spans="1:23">
      <c r="A11" s="10"/>
      <c r="B11" s="10"/>
      <c r="C11" s="1204"/>
      <c r="D11" s="1243"/>
      <c r="O11" s="1566"/>
      <c r="P11" s="1013">
        <v>43891</v>
      </c>
      <c r="Q11" s="1195">
        <v>52536</v>
      </c>
      <c r="R11" s="1195">
        <v>5348.49</v>
      </c>
      <c r="S11" s="1195">
        <f t="shared" si="0"/>
        <v>39569.699999999997</v>
      </c>
      <c r="T11" s="1564"/>
      <c r="U11" s="1564"/>
      <c r="V11" s="1564"/>
      <c r="W11" s="1565"/>
    </row>
    <row r="12" spans="1:23">
      <c r="A12" s="1194" t="s">
        <v>698</v>
      </c>
      <c r="C12" s="1257"/>
      <c r="O12" s="1566"/>
      <c r="P12" s="1013">
        <v>43922</v>
      </c>
      <c r="Q12" s="1195">
        <v>50689</v>
      </c>
      <c r="R12" s="1195">
        <v>5331.91</v>
      </c>
      <c r="S12" s="1195">
        <f t="shared" si="0"/>
        <v>38297.269999999997</v>
      </c>
      <c r="T12" s="1564"/>
      <c r="U12" s="1564"/>
      <c r="V12" s="1564"/>
      <c r="W12" s="1565"/>
    </row>
    <row r="13" spans="1:23">
      <c r="A13" s="1015" t="s">
        <v>691</v>
      </c>
      <c r="B13" s="1015">
        <v>4028.44</v>
      </c>
      <c r="O13" s="1566"/>
      <c r="P13" s="1013">
        <v>43952</v>
      </c>
      <c r="Q13" s="1195">
        <v>55726</v>
      </c>
      <c r="R13" s="1195">
        <v>5311.65</v>
      </c>
      <c r="S13" s="1195">
        <f t="shared" si="0"/>
        <v>42263.49</v>
      </c>
      <c r="T13" s="1564"/>
      <c r="U13" s="1564"/>
      <c r="V13" s="1564"/>
      <c r="W13" s="1565"/>
    </row>
    <row r="14" spans="1:23">
      <c r="A14" s="1015" t="s">
        <v>862</v>
      </c>
      <c r="B14" s="1015">
        <v>5944.21</v>
      </c>
      <c r="O14" s="1566"/>
      <c r="P14" s="1013">
        <v>43983</v>
      </c>
      <c r="Q14" s="1195">
        <v>49829</v>
      </c>
      <c r="R14" s="1195">
        <v>5325.46</v>
      </c>
      <c r="S14" s="1195">
        <f t="shared" si="0"/>
        <v>37693.11</v>
      </c>
      <c r="T14" s="1564"/>
      <c r="U14" s="1564"/>
      <c r="V14" s="1564"/>
      <c r="W14" s="1565"/>
    </row>
    <row r="15" spans="1:23">
      <c r="O15" s="1566"/>
      <c r="P15" s="1013">
        <v>44013</v>
      </c>
      <c r="Q15" s="1195">
        <v>47733</v>
      </c>
      <c r="R15" s="1195">
        <v>5344.63</v>
      </c>
      <c r="S15" s="1195">
        <f t="shared" si="0"/>
        <v>35978.080000000002</v>
      </c>
      <c r="T15" s="1564"/>
      <c r="U15" s="1564"/>
      <c r="V15" s="1564"/>
      <c r="W15" s="1565"/>
    </row>
    <row r="16" spans="1:23">
      <c r="A16" s="1194" t="s">
        <v>701</v>
      </c>
      <c r="O16" s="1566">
        <v>6</v>
      </c>
      <c r="P16" s="1013">
        <v>44044</v>
      </c>
      <c r="Q16" s="1195">
        <v>54216</v>
      </c>
      <c r="R16" s="1195">
        <v>5357.46</v>
      </c>
      <c r="S16" s="1195">
        <f t="shared" si="0"/>
        <v>40766.69</v>
      </c>
      <c r="T16" s="1564">
        <f t="shared" ref="T16" si="1">SUM(S16:S28)</f>
        <v>531884.25</v>
      </c>
      <c r="U16" s="1564">
        <v>452504.37082250701</v>
      </c>
      <c r="V16" s="1564">
        <f t="shared" ref="V16" si="2">T16-U16</f>
        <v>79379.879177492985</v>
      </c>
      <c r="W16" s="1565">
        <f t="shared" ref="W16" si="3">V16/U16</f>
        <v>0.17542345288998196</v>
      </c>
    </row>
    <row r="17" spans="1:23">
      <c r="A17" s="1560" t="s">
        <v>702</v>
      </c>
      <c r="B17" s="1023">
        <f>D10-C10</f>
        <v>3.2396697154471568</v>
      </c>
      <c r="C17" s="1197" t="s">
        <v>703</v>
      </c>
      <c r="F17" s="1194"/>
      <c r="O17" s="1566"/>
      <c r="P17" s="1013">
        <v>44075</v>
      </c>
      <c r="Q17" s="1195">
        <v>60603</v>
      </c>
      <c r="R17" s="1195">
        <v>5391.75</v>
      </c>
      <c r="S17" s="1195">
        <f t="shared" si="0"/>
        <v>45279.46</v>
      </c>
      <c r="T17" s="1564"/>
      <c r="U17" s="1564"/>
      <c r="V17" s="1564"/>
      <c r="W17" s="1565"/>
    </row>
    <row r="18" spans="1:23">
      <c r="A18" s="1560"/>
      <c r="B18" s="1196">
        <f>ROUND(B17/1000,5)</f>
        <v>3.2399999999999998E-3</v>
      </c>
      <c r="C18" s="1197" t="s">
        <v>693</v>
      </c>
      <c r="F18" s="1187"/>
      <c r="O18" s="1566"/>
      <c r="P18" s="1013">
        <v>44105</v>
      </c>
      <c r="Q18" s="1195">
        <v>65446</v>
      </c>
      <c r="R18" s="1195">
        <v>5438.12</v>
      </c>
      <c r="S18" s="1195">
        <f t="shared" si="0"/>
        <v>48480.959999999999</v>
      </c>
      <c r="T18" s="1564"/>
      <c r="U18" s="1564"/>
      <c r="V18" s="1564"/>
      <c r="W18" s="1565"/>
    </row>
    <row r="19" spans="1:23">
      <c r="A19" s="1560"/>
      <c r="B19" s="1198">
        <f>(D10/C10)-1</f>
        <v>8.444309702876307E-2</v>
      </c>
      <c r="F19" s="1187"/>
      <c r="O19" s="1566"/>
      <c r="P19" s="1013">
        <v>44136</v>
      </c>
      <c r="Q19" s="1195">
        <v>60456</v>
      </c>
      <c r="R19" s="1195">
        <v>5486.52</v>
      </c>
      <c r="S19" s="1195">
        <f t="shared" si="0"/>
        <v>44389.41</v>
      </c>
      <c r="T19" s="1564"/>
      <c r="U19" s="1564"/>
      <c r="V19" s="1564"/>
      <c r="W19" s="1565"/>
    </row>
    <row r="20" spans="1:23">
      <c r="F20" s="1187"/>
      <c r="O20" s="1566"/>
      <c r="P20" s="1013">
        <v>44166</v>
      </c>
      <c r="Q20" s="1195">
        <v>63152</v>
      </c>
      <c r="R20" s="1195">
        <v>5560.59</v>
      </c>
      <c r="S20" s="1195">
        <f t="shared" si="0"/>
        <v>45751.27</v>
      </c>
      <c r="T20" s="1564"/>
      <c r="U20" s="1564"/>
      <c r="V20" s="1564"/>
      <c r="W20" s="1565"/>
    </row>
    <row r="21" spans="1:23">
      <c r="A21" s="1194" t="s">
        <v>861</v>
      </c>
      <c r="O21" s="1566"/>
      <c r="P21" s="1013">
        <v>44197</v>
      </c>
      <c r="Q21" s="1195">
        <v>68791</v>
      </c>
      <c r="R21" s="1195">
        <v>5574.49</v>
      </c>
      <c r="S21" s="1195">
        <f t="shared" si="0"/>
        <v>49712.25</v>
      </c>
      <c r="T21" s="1564"/>
      <c r="U21" s="1564"/>
      <c r="V21" s="1564"/>
      <c r="W21" s="1565"/>
    </row>
    <row r="22" spans="1:23">
      <c r="A22" s="1015" t="s">
        <v>692</v>
      </c>
      <c r="B22" s="1195">
        <v>1.1100000000000001</v>
      </c>
      <c r="C22" s="1015" t="s">
        <v>694</v>
      </c>
      <c r="O22" s="1566"/>
      <c r="P22" s="1013">
        <v>44228</v>
      </c>
      <c r="Q22" s="1195">
        <v>61540</v>
      </c>
      <c r="R22" s="1195">
        <v>5622.43</v>
      </c>
      <c r="S22" s="1195">
        <f t="shared" si="0"/>
        <v>44093.07</v>
      </c>
      <c r="T22" s="1564"/>
      <c r="U22" s="1564"/>
      <c r="V22" s="1564"/>
      <c r="W22" s="1565"/>
    </row>
    <row r="23" spans="1:23">
      <c r="O23" s="1566"/>
      <c r="P23" s="1013">
        <v>44256</v>
      </c>
      <c r="Q23" s="1195">
        <v>56470</v>
      </c>
      <c r="R23" s="1195">
        <v>5674.72</v>
      </c>
      <c r="S23" s="1195">
        <f t="shared" si="0"/>
        <v>40087.620000000003</v>
      </c>
      <c r="T23" s="1564"/>
      <c r="U23" s="1564"/>
      <c r="V23" s="1564"/>
      <c r="W23" s="1565"/>
    </row>
    <row r="24" spans="1:23">
      <c r="A24" s="1194" t="s">
        <v>699</v>
      </c>
      <c r="O24" s="1566"/>
      <c r="P24" s="1013">
        <v>44287</v>
      </c>
      <c r="Q24" s="1195">
        <v>61967</v>
      </c>
      <c r="R24" s="1195">
        <v>5692.31</v>
      </c>
      <c r="S24" s="1195">
        <f t="shared" si="0"/>
        <v>43853.96</v>
      </c>
      <c r="T24" s="1564"/>
      <c r="U24" s="1564"/>
      <c r="V24" s="1564"/>
      <c r="W24" s="1565"/>
    </row>
    <row r="25" spans="1:23">
      <c r="A25" s="1015" t="s">
        <v>695</v>
      </c>
      <c r="B25" s="1196">
        <f>B18</f>
        <v>3.2399999999999998E-3</v>
      </c>
      <c r="C25" s="1015" t="s">
        <v>693</v>
      </c>
      <c r="O25" s="1566"/>
      <c r="P25" s="1013">
        <v>44317</v>
      </c>
      <c r="Q25" s="1195">
        <v>61433</v>
      </c>
      <c r="R25" s="1195">
        <v>5739.56</v>
      </c>
      <c r="S25" s="1195">
        <f t="shared" si="0"/>
        <v>43118.14</v>
      </c>
      <c r="T25" s="1564"/>
      <c r="U25" s="1564"/>
      <c r="V25" s="1564"/>
      <c r="W25" s="1565"/>
    </row>
    <row r="26" spans="1:23">
      <c r="A26" s="1015" t="s">
        <v>695</v>
      </c>
      <c r="B26" s="1196">
        <f>B25*B22</f>
        <v>3.5964E-3</v>
      </c>
      <c r="C26" s="1015" t="s">
        <v>690</v>
      </c>
      <c r="O26" s="1566"/>
      <c r="P26" s="1013">
        <v>44348</v>
      </c>
      <c r="Q26" s="1195">
        <v>62963</v>
      </c>
      <c r="R26" s="1195">
        <v>5769.98</v>
      </c>
      <c r="S26" s="1195">
        <f t="shared" si="0"/>
        <v>43959.02</v>
      </c>
      <c r="T26" s="1564"/>
      <c r="U26" s="1564"/>
      <c r="V26" s="1564"/>
      <c r="W26" s="1565"/>
    </row>
    <row r="27" spans="1:23">
      <c r="A27" s="1015" t="s">
        <v>863</v>
      </c>
      <c r="B27" s="1196">
        <f>B26/(B14/B13)</f>
        <v>2.4373098554728049E-3</v>
      </c>
      <c r="C27" s="1015" t="s">
        <v>690</v>
      </c>
      <c r="O27" s="1566"/>
      <c r="P27" s="1013"/>
      <c r="Q27" s="1195"/>
      <c r="R27" s="1195"/>
      <c r="S27" s="1195"/>
      <c r="T27" s="1564"/>
      <c r="U27" s="1564"/>
      <c r="V27" s="1564"/>
      <c r="W27" s="1565"/>
    </row>
    <row r="28" spans="1:23">
      <c r="O28" s="1566"/>
      <c r="P28" s="1013">
        <v>44378</v>
      </c>
      <c r="Q28" s="1195">
        <v>61302</v>
      </c>
      <c r="R28" s="1195">
        <v>5825.37</v>
      </c>
      <c r="S28" s="1195">
        <f t="shared" si="0"/>
        <v>42392.4</v>
      </c>
      <c r="T28" s="1564"/>
      <c r="U28" s="1564"/>
      <c r="V28" s="1564"/>
      <c r="W28" s="1565"/>
    </row>
    <row r="29" spans="1:23">
      <c r="A29" s="1194" t="s">
        <v>864</v>
      </c>
      <c r="O29" s="1566">
        <v>7</v>
      </c>
      <c r="P29" s="1013">
        <v>44409</v>
      </c>
      <c r="Q29" s="1195">
        <v>65630</v>
      </c>
      <c r="R29" s="1195">
        <v>5876.05</v>
      </c>
      <c r="S29" s="1195">
        <f t="shared" si="0"/>
        <v>44993.919999999998</v>
      </c>
      <c r="T29" s="1564">
        <f>SUM(S29:S40)</f>
        <v>541932.31000000006</v>
      </c>
      <c r="U29" s="1564">
        <v>446472.24784560601</v>
      </c>
      <c r="V29" s="1564">
        <f t="shared" ref="V29" si="4">T29-U29</f>
        <v>95460.062154394051</v>
      </c>
      <c r="W29" s="1565">
        <f t="shared" ref="W29" si="5">V29/U29</f>
        <v>0.21380962112432345</v>
      </c>
    </row>
    <row r="30" spans="1:23">
      <c r="A30" s="1015" t="s">
        <v>696</v>
      </c>
      <c r="B30" s="1015">
        <v>0.46084000000000003</v>
      </c>
      <c r="C30" s="1015" t="s">
        <v>690</v>
      </c>
      <c r="O30" s="1566"/>
      <c r="P30" s="1013">
        <v>44440</v>
      </c>
      <c r="Q30" s="1195">
        <v>78136</v>
      </c>
      <c r="R30" s="1195">
        <v>5944.21</v>
      </c>
      <c r="S30" s="1195">
        <f t="shared" si="0"/>
        <v>52953.41</v>
      </c>
      <c r="T30" s="1564"/>
      <c r="U30" s="1564"/>
      <c r="V30" s="1564"/>
      <c r="W30" s="1565"/>
    </row>
    <row r="31" spans="1:23">
      <c r="A31" s="1197" t="s">
        <v>700</v>
      </c>
      <c r="B31" s="1464">
        <f>B27</f>
        <v>2.4373098554728049E-3</v>
      </c>
      <c r="C31" s="1015" t="s">
        <v>690</v>
      </c>
      <c r="O31" s="1566"/>
      <c r="P31" s="1013"/>
      <c r="Q31" s="1195"/>
      <c r="R31" s="1195"/>
      <c r="S31" s="1195"/>
      <c r="T31" s="1564"/>
      <c r="U31" s="1564"/>
      <c r="V31" s="1564"/>
      <c r="W31" s="1565"/>
    </row>
    <row r="32" spans="1:23">
      <c r="A32" s="1197" t="s">
        <v>697</v>
      </c>
      <c r="B32" s="1196">
        <f>B30+B31</f>
        <v>0.46327730985547283</v>
      </c>
      <c r="C32" s="1015" t="s">
        <v>690</v>
      </c>
      <c r="O32" s="1566"/>
      <c r="P32" s="1013">
        <v>44470</v>
      </c>
      <c r="Q32" s="1195">
        <v>79016</v>
      </c>
      <c r="R32" s="1195">
        <v>6018.51</v>
      </c>
      <c r="S32" s="1195">
        <f t="shared" si="0"/>
        <v>52888.71</v>
      </c>
      <c r="T32" s="1564"/>
      <c r="U32" s="1564"/>
      <c r="V32" s="1564"/>
      <c r="W32" s="1565"/>
    </row>
    <row r="33" spans="2:23">
      <c r="B33" s="1198">
        <f>B31/B30</f>
        <v>5.2888418007829285E-3</v>
      </c>
      <c r="O33" s="1566"/>
      <c r="P33" s="1013">
        <v>44531</v>
      </c>
      <c r="Q33" s="1195">
        <v>78327</v>
      </c>
      <c r="R33" s="1195">
        <v>6120.04</v>
      </c>
      <c r="S33" s="1195">
        <f t="shared" si="0"/>
        <v>51557.77</v>
      </c>
      <c r="T33" s="1564"/>
      <c r="U33" s="1564"/>
      <c r="V33" s="1564"/>
      <c r="W33" s="1565"/>
    </row>
    <row r="34" spans="2:23">
      <c r="O34" s="1566"/>
      <c r="P34" s="1013">
        <v>44562</v>
      </c>
      <c r="Q34" s="1195">
        <v>90683</v>
      </c>
      <c r="R34" s="1195">
        <v>6153.09</v>
      </c>
      <c r="S34" s="1195">
        <f t="shared" si="0"/>
        <v>59370.34</v>
      </c>
      <c r="T34" s="1564"/>
      <c r="U34" s="1564"/>
      <c r="V34" s="1564"/>
      <c r="W34" s="1565"/>
    </row>
    <row r="35" spans="2:23">
      <c r="O35" s="1566"/>
      <c r="P35" s="1013">
        <v>44593</v>
      </c>
      <c r="Q35" s="1195">
        <v>76193</v>
      </c>
      <c r="R35" s="1195">
        <v>6215.24</v>
      </c>
      <c r="S35" s="1195">
        <f t="shared" si="0"/>
        <v>49384.89</v>
      </c>
      <c r="T35" s="1564"/>
      <c r="U35" s="1564"/>
      <c r="V35" s="1564"/>
      <c r="W35" s="1565"/>
    </row>
    <row r="36" spans="2:23">
      <c r="O36" s="1566"/>
      <c r="P36" s="1013">
        <v>44621</v>
      </c>
      <c r="Q36" s="1195">
        <v>84299</v>
      </c>
      <c r="R36" s="1195">
        <v>6315.93</v>
      </c>
      <c r="S36" s="1195">
        <f t="shared" si="0"/>
        <v>53767.77</v>
      </c>
      <c r="T36" s="1564"/>
      <c r="U36" s="1564"/>
      <c r="V36" s="1564"/>
      <c r="W36" s="1565"/>
    </row>
    <row r="37" spans="2:23">
      <c r="O37" s="1566"/>
      <c r="P37" s="1013">
        <v>44652</v>
      </c>
      <c r="Q37" s="1195">
        <v>84633</v>
      </c>
      <c r="R37" s="1195">
        <v>6382.88</v>
      </c>
      <c r="S37" s="1195">
        <f t="shared" si="0"/>
        <v>53414.6</v>
      </c>
      <c r="T37" s="1564"/>
      <c r="U37" s="1564"/>
      <c r="V37" s="1564"/>
      <c r="W37" s="1565"/>
    </row>
    <row r="38" spans="2:23">
      <c r="O38" s="1566"/>
      <c r="P38" s="1013">
        <v>44682</v>
      </c>
      <c r="Q38" s="1195">
        <v>69355</v>
      </c>
      <c r="R38" s="1195">
        <v>6412.88</v>
      </c>
      <c r="S38" s="1195">
        <f t="shared" si="0"/>
        <v>43567.39</v>
      </c>
      <c r="T38" s="1564"/>
      <c r="U38" s="1564"/>
      <c r="V38" s="1564"/>
      <c r="W38" s="1565"/>
    </row>
    <row r="39" spans="2:23">
      <c r="O39" s="1566"/>
      <c r="P39" s="1013">
        <v>44713</v>
      </c>
      <c r="Q39" s="1195">
        <v>63678</v>
      </c>
      <c r="R39" s="1195">
        <v>6455.85</v>
      </c>
      <c r="S39" s="1195">
        <f t="shared" si="0"/>
        <v>39734.97</v>
      </c>
      <c r="T39" s="1564"/>
      <c r="U39" s="1564"/>
      <c r="V39" s="1564"/>
      <c r="W39" s="1565"/>
    </row>
    <row r="40" spans="2:23">
      <c r="O40" s="1566"/>
      <c r="P40" s="1013">
        <v>44743</v>
      </c>
      <c r="Q40" s="1195">
        <v>64142</v>
      </c>
      <c r="R40" s="1195">
        <v>6411.95</v>
      </c>
      <c r="S40" s="1195">
        <f t="shared" si="0"/>
        <v>40298.54</v>
      </c>
      <c r="T40" s="1564"/>
      <c r="U40" s="1564"/>
      <c r="V40" s="1564"/>
      <c r="W40" s="1565"/>
    </row>
    <row r="41" spans="2:23">
      <c r="O41" s="1560" t="s">
        <v>715</v>
      </c>
      <c r="P41" s="1013">
        <v>44774</v>
      </c>
      <c r="Q41" s="1195">
        <v>67077</v>
      </c>
      <c r="R41" s="1195">
        <v>6388.87</v>
      </c>
      <c r="S41" s="1195">
        <f t="shared" si="0"/>
        <v>42294.75</v>
      </c>
      <c r="T41" s="1564">
        <f>AVERAGE(S41:S52)*12</f>
        <v>607876.43000000017</v>
      </c>
      <c r="U41" s="1564">
        <v>475713.89771256503</v>
      </c>
      <c r="V41" s="1564">
        <f t="shared" ref="V41" si="6">T41-U41</f>
        <v>132162.53228743514</v>
      </c>
      <c r="W41" s="1565">
        <f t="shared" ref="W41" si="7">V41/U41</f>
        <v>0.27781936353537046</v>
      </c>
    </row>
    <row r="42" spans="2:23">
      <c r="O42" s="1566"/>
      <c r="P42" s="1013">
        <v>44805</v>
      </c>
      <c r="Q42" s="1195">
        <v>71304</v>
      </c>
      <c r="R42" s="1195">
        <v>6370.34</v>
      </c>
      <c r="S42" s="1195">
        <f t="shared" si="0"/>
        <v>45090.82</v>
      </c>
      <c r="T42" s="1564"/>
      <c r="U42" s="1564"/>
      <c r="V42" s="1564"/>
      <c r="W42" s="1565"/>
    </row>
    <row r="43" spans="2:23">
      <c r="O43" s="1566"/>
      <c r="P43" s="1013">
        <v>44835</v>
      </c>
      <c r="Q43" s="1195">
        <v>74378</v>
      </c>
      <c r="R43" s="1195">
        <v>6407.93</v>
      </c>
      <c r="S43" s="1195">
        <f t="shared" si="0"/>
        <v>46758.83</v>
      </c>
      <c r="T43" s="1564"/>
      <c r="U43" s="1564"/>
      <c r="V43" s="1564"/>
      <c r="W43" s="1565"/>
    </row>
    <row r="44" spans="2:23">
      <c r="O44" s="1566"/>
      <c r="P44" s="1013">
        <v>44866</v>
      </c>
      <c r="Q44" s="1195">
        <v>76346</v>
      </c>
      <c r="R44" s="1195">
        <v>6434.2</v>
      </c>
      <c r="S44" s="1195">
        <f t="shared" si="0"/>
        <v>47800.08</v>
      </c>
      <c r="T44" s="1564"/>
      <c r="U44" s="1564"/>
      <c r="V44" s="1564"/>
      <c r="W44" s="1565"/>
    </row>
    <row r="45" spans="2:23">
      <c r="O45" s="1566"/>
      <c r="P45" s="1013">
        <v>44896</v>
      </c>
      <c r="Q45" s="1195">
        <v>76946</v>
      </c>
      <c r="R45" s="1195">
        <v>6474.09</v>
      </c>
      <c r="S45" s="1195">
        <f t="shared" si="0"/>
        <v>47878.91</v>
      </c>
      <c r="T45" s="1564"/>
      <c r="U45" s="1564"/>
      <c r="V45" s="1564"/>
      <c r="W45" s="1565"/>
    </row>
    <row r="46" spans="2:23">
      <c r="O46" s="1566"/>
      <c r="P46" s="1013">
        <v>44927</v>
      </c>
      <c r="Q46" s="1195">
        <v>82746</v>
      </c>
      <c r="R46" s="1195">
        <v>6508.4</v>
      </c>
      <c r="S46" s="1195">
        <f t="shared" si="0"/>
        <v>51216.47</v>
      </c>
      <c r="T46" s="1564"/>
      <c r="U46" s="1564"/>
      <c r="V46" s="1564"/>
      <c r="W46" s="1565"/>
    </row>
    <row r="47" spans="2:23">
      <c r="O47" s="1566"/>
      <c r="P47" s="1013">
        <v>44958</v>
      </c>
      <c r="Q47" s="1195">
        <v>85108</v>
      </c>
      <c r="R47" s="1195">
        <v>6563.07</v>
      </c>
      <c r="S47" s="1195">
        <f t="shared" si="0"/>
        <v>52239.65</v>
      </c>
      <c r="T47" s="1564"/>
      <c r="U47" s="1564"/>
      <c r="V47" s="1564"/>
      <c r="W47" s="1565"/>
    </row>
    <row r="48" spans="2:23">
      <c r="O48" s="1566"/>
      <c r="P48" s="1013">
        <v>44986</v>
      </c>
      <c r="Q48" s="1195">
        <v>85108</v>
      </c>
      <c r="R48" s="1195">
        <v>6609.67</v>
      </c>
      <c r="S48" s="1195">
        <f t="shared" si="0"/>
        <v>51871.34</v>
      </c>
      <c r="T48" s="1564"/>
      <c r="U48" s="1564"/>
      <c r="V48" s="1564"/>
      <c r="W48" s="1565"/>
    </row>
    <row r="49" spans="15:23">
      <c r="O49" s="1566"/>
      <c r="P49" s="1013">
        <v>45017</v>
      </c>
      <c r="Q49" s="1195">
        <v>96901</v>
      </c>
      <c r="R49" s="1195">
        <v>6649.99</v>
      </c>
      <c r="S49" s="1195">
        <f t="shared" si="0"/>
        <v>58700.82</v>
      </c>
      <c r="T49" s="1564"/>
      <c r="U49" s="1564"/>
      <c r="V49" s="1564"/>
      <c r="W49" s="1565"/>
    </row>
    <row r="50" spans="15:23">
      <c r="O50" s="1566"/>
      <c r="P50" s="1013">
        <v>45047</v>
      </c>
      <c r="Q50" s="1195">
        <v>90669</v>
      </c>
      <c r="R50" s="1195">
        <v>6665.28</v>
      </c>
      <c r="S50" s="1195">
        <f t="shared" si="0"/>
        <v>54799.59</v>
      </c>
      <c r="T50" s="1564"/>
      <c r="U50" s="1564"/>
      <c r="V50" s="1564"/>
      <c r="W50" s="1565"/>
    </row>
    <row r="51" spans="15:23">
      <c r="O51" s="1566"/>
      <c r="P51" s="1013">
        <v>45078</v>
      </c>
      <c r="Q51" s="1195">
        <v>91101</v>
      </c>
      <c r="R51" s="1195">
        <v>6659.95</v>
      </c>
      <c r="S51" s="1195">
        <f t="shared" si="0"/>
        <v>55104.75</v>
      </c>
      <c r="T51" s="1564"/>
      <c r="U51" s="1564"/>
      <c r="V51" s="1564"/>
      <c r="W51" s="1565"/>
    </row>
    <row r="52" spans="15:23">
      <c r="O52" s="1566"/>
      <c r="P52" s="1013">
        <v>45108</v>
      </c>
      <c r="Q52" s="1195">
        <v>89581</v>
      </c>
      <c r="R52" s="1195">
        <v>6667.94</v>
      </c>
      <c r="S52" s="1195">
        <f t="shared" si="0"/>
        <v>54120.42</v>
      </c>
      <c r="T52" s="1564"/>
      <c r="U52" s="1564"/>
      <c r="V52" s="1564"/>
      <c r="W52" s="1565"/>
    </row>
    <row r="54" spans="15:23">
      <c r="O54" s="1187"/>
      <c r="S54" s="1200" t="s">
        <v>522</v>
      </c>
      <c r="T54" s="1200" t="str">
        <f>T3</f>
        <v>Realizado EE (R$/ano) (base nov/2014)</v>
      </c>
      <c r="U54" s="1200" t="str">
        <f t="shared" ref="U54:W54" si="8">U3</f>
        <v>Projetado 1a RO para EE (R$/ano) (base nov/2014)</v>
      </c>
      <c r="V54" s="1200" t="str">
        <f t="shared" si="8"/>
        <v>Diferença (R$/ano)</v>
      </c>
      <c r="W54" s="1200" t="str">
        <f t="shared" si="8"/>
        <v>Diferença (%)</v>
      </c>
    </row>
    <row r="55" spans="15:23">
      <c r="S55" s="1021">
        <v>5</v>
      </c>
      <c r="T55" s="1467">
        <f>T4</f>
        <v>487085.84</v>
      </c>
      <c r="U55" s="1467">
        <f t="shared" ref="U55:W55" si="9">U4</f>
        <v>453766.16256899497</v>
      </c>
      <c r="V55" s="1467">
        <f t="shared" si="9"/>
        <v>33319.677431005053</v>
      </c>
      <c r="W55" s="1468">
        <f t="shared" si="9"/>
        <v>7.3429180444760045E-2</v>
      </c>
    </row>
    <row r="56" spans="15:23">
      <c r="S56" s="1021">
        <v>6</v>
      </c>
      <c r="T56" s="1467">
        <f>T16</f>
        <v>531884.25</v>
      </c>
      <c r="U56" s="1467">
        <f t="shared" ref="U56:W56" si="10">U16</f>
        <v>452504.37082250701</v>
      </c>
      <c r="V56" s="1467">
        <f t="shared" si="10"/>
        <v>79379.879177492985</v>
      </c>
      <c r="W56" s="1468">
        <f t="shared" si="10"/>
        <v>0.17542345288998196</v>
      </c>
    </row>
    <row r="57" spans="15:23">
      <c r="S57" s="1021">
        <v>7</v>
      </c>
      <c r="T57" s="1467">
        <f>T29</f>
        <v>541932.31000000006</v>
      </c>
      <c r="U57" s="1467">
        <f t="shared" ref="U57:W57" si="11">U29</f>
        <v>446472.24784560601</v>
      </c>
      <c r="V57" s="1467">
        <f t="shared" si="11"/>
        <v>95460.062154394051</v>
      </c>
      <c r="W57" s="1468">
        <f t="shared" si="11"/>
        <v>0.21380962112432345</v>
      </c>
    </row>
    <row r="58" spans="15:23">
      <c r="S58" s="1021">
        <v>8</v>
      </c>
      <c r="T58" s="1467">
        <f>T41</f>
        <v>607876.43000000017</v>
      </c>
      <c r="U58" s="1467">
        <f t="shared" ref="U58:W58" si="12">U41</f>
        <v>475713.89771256503</v>
      </c>
      <c r="V58" s="1467">
        <f t="shared" si="12"/>
        <v>132162.53228743514</v>
      </c>
      <c r="W58" s="1468">
        <f t="shared" si="12"/>
        <v>0.27781936353537046</v>
      </c>
    </row>
  </sheetData>
  <mergeCells count="21">
    <mergeCell ref="A17:A19"/>
    <mergeCell ref="O4:O15"/>
    <mergeCell ref="O16:O28"/>
    <mergeCell ref="O29:O40"/>
    <mergeCell ref="O41:O52"/>
    <mergeCell ref="T29:T40"/>
    <mergeCell ref="U29:U40"/>
    <mergeCell ref="V29:V40"/>
    <mergeCell ref="W29:W40"/>
    <mergeCell ref="T41:T52"/>
    <mergeCell ref="U41:U52"/>
    <mergeCell ref="V41:V52"/>
    <mergeCell ref="W41:W52"/>
    <mergeCell ref="T4:T15"/>
    <mergeCell ref="U4:U15"/>
    <mergeCell ref="V4:V15"/>
    <mergeCell ref="W4:W15"/>
    <mergeCell ref="T16:T28"/>
    <mergeCell ref="U16:U28"/>
    <mergeCell ref="V16:V28"/>
    <mergeCell ref="W16:W28"/>
  </mergeCells>
  <phoneticPr fontId="103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4FDB7-BFA7-420F-9696-99BDF7681469}">
  <sheetPr>
    <tabColor rgb="FFFFC000"/>
  </sheetPr>
  <dimension ref="A1:AB52"/>
  <sheetViews>
    <sheetView zoomScaleNormal="100" workbookViewId="0">
      <pane xSplit="1" topLeftCell="B1" activePane="topRight" state="frozen"/>
      <selection pane="topRight"/>
    </sheetView>
  </sheetViews>
  <sheetFormatPr defaultRowHeight="12.75"/>
  <cols>
    <col min="1" max="1" width="48" bestFit="1" customWidth="1"/>
    <col min="2" max="28" width="12.7109375" customWidth="1"/>
  </cols>
  <sheetData>
    <row r="1" spans="1:28" ht="23.25">
      <c r="A1" s="1236" t="s">
        <v>816</v>
      </c>
      <c r="B1" s="1236"/>
      <c r="C1" s="1236"/>
      <c r="D1" s="1236"/>
      <c r="E1" s="1236"/>
    </row>
    <row r="2" spans="1:28" ht="23.25">
      <c r="A2" s="1236"/>
      <c r="B2" s="1236"/>
      <c r="C2" s="1236"/>
      <c r="D2" s="1236"/>
      <c r="E2" s="1236"/>
      <c r="F2" s="1192"/>
    </row>
    <row r="3" spans="1:28">
      <c r="F3" s="1192"/>
    </row>
    <row r="5" spans="1:28">
      <c r="A5" s="1573" t="s">
        <v>737</v>
      </c>
      <c r="B5" s="1247" t="s">
        <v>365</v>
      </c>
      <c r="C5" s="1247" t="s">
        <v>366</v>
      </c>
      <c r="D5" s="1247" t="s">
        <v>367</v>
      </c>
      <c r="E5" s="1247" t="s">
        <v>368</v>
      </c>
      <c r="F5" s="1247" t="s">
        <v>369</v>
      </c>
      <c r="G5" s="1247" t="s">
        <v>370</v>
      </c>
      <c r="H5" s="1247" t="s">
        <v>371</v>
      </c>
      <c r="I5" s="1247" t="s">
        <v>372</v>
      </c>
      <c r="J5" s="1247" t="s">
        <v>373</v>
      </c>
      <c r="K5" s="1247" t="s">
        <v>374</v>
      </c>
      <c r="L5" s="1247" t="s">
        <v>375</v>
      </c>
      <c r="M5" s="1247" t="s">
        <v>376</v>
      </c>
      <c r="N5" s="1247" t="s">
        <v>377</v>
      </c>
      <c r="O5" s="1247" t="s">
        <v>378</v>
      </c>
      <c r="P5" s="1247" t="s">
        <v>379</v>
      </c>
      <c r="Q5" s="1247" t="s">
        <v>380</v>
      </c>
      <c r="R5" s="1247" t="s">
        <v>381</v>
      </c>
      <c r="S5" s="1247" t="s">
        <v>382</v>
      </c>
      <c r="T5" s="1247" t="s">
        <v>383</v>
      </c>
      <c r="U5" s="1247" t="s">
        <v>384</v>
      </c>
      <c r="V5" s="1247" t="s">
        <v>385</v>
      </c>
      <c r="W5" s="1247" t="s">
        <v>386</v>
      </c>
      <c r="X5" s="1247" t="s">
        <v>387</v>
      </c>
      <c r="Y5" s="1247" t="s">
        <v>388</v>
      </c>
      <c r="Z5" s="1247" t="s">
        <v>389</v>
      </c>
      <c r="AA5" s="1247" t="s">
        <v>390</v>
      </c>
      <c r="AB5" s="1575" t="s">
        <v>121</v>
      </c>
    </row>
    <row r="6" spans="1:28">
      <c r="A6" s="1574"/>
      <c r="B6" s="1255">
        <v>2020</v>
      </c>
      <c r="C6" s="1255">
        <v>2021</v>
      </c>
      <c r="D6" s="1255">
        <v>2022</v>
      </c>
      <c r="E6" s="1255">
        <v>2023</v>
      </c>
      <c r="F6" s="1255">
        <v>2024</v>
      </c>
      <c r="G6" s="1255">
        <v>2025</v>
      </c>
      <c r="H6" s="1255">
        <v>2026</v>
      </c>
      <c r="I6" s="1255">
        <v>2027</v>
      </c>
      <c r="J6" s="1255">
        <v>2028</v>
      </c>
      <c r="K6" s="1255">
        <v>2029</v>
      </c>
      <c r="L6" s="1255">
        <v>2030</v>
      </c>
      <c r="M6" s="1255">
        <v>2031</v>
      </c>
      <c r="N6" s="1255">
        <v>2032</v>
      </c>
      <c r="O6" s="1255">
        <v>2033</v>
      </c>
      <c r="P6" s="1255">
        <v>2034</v>
      </c>
      <c r="Q6" s="1255">
        <v>2035</v>
      </c>
      <c r="R6" s="1255">
        <v>2036</v>
      </c>
      <c r="S6" s="1255">
        <v>2037</v>
      </c>
      <c r="T6" s="1255">
        <v>2038</v>
      </c>
      <c r="U6" s="1255">
        <v>2039</v>
      </c>
      <c r="V6" s="1255">
        <v>2040</v>
      </c>
      <c r="W6" s="1255">
        <v>2041</v>
      </c>
      <c r="X6" s="1255">
        <v>2042</v>
      </c>
      <c r="Y6" s="1255">
        <v>2043</v>
      </c>
      <c r="Z6" s="1255">
        <v>2044</v>
      </c>
      <c r="AA6" s="1255">
        <v>2045</v>
      </c>
      <c r="AB6" s="1575"/>
    </row>
    <row r="7" spans="1:28" s="1194" customFormat="1">
      <c r="A7" s="1199" t="s">
        <v>746</v>
      </c>
      <c r="B7" s="1246">
        <f>SUM(B8:B9)</f>
        <v>0</v>
      </c>
      <c r="C7" s="1246">
        <f t="shared" ref="C7:AA7" si="0">SUM(C8:C9)</f>
        <v>0</v>
      </c>
      <c r="D7" s="1246">
        <f t="shared" si="0"/>
        <v>0</v>
      </c>
      <c r="E7" s="1246">
        <f t="shared" si="0"/>
        <v>0</v>
      </c>
      <c r="F7" s="1246">
        <f t="shared" si="0"/>
        <v>2740.5</v>
      </c>
      <c r="G7" s="1246">
        <f t="shared" si="0"/>
        <v>34343.5</v>
      </c>
      <c r="H7" s="1246">
        <f t="shared" si="0"/>
        <v>37618.490000000005</v>
      </c>
      <c r="I7" s="1246">
        <f t="shared" si="0"/>
        <v>40893.479999999996</v>
      </c>
      <c r="J7" s="1246">
        <f t="shared" si="0"/>
        <v>41427.97</v>
      </c>
      <c r="K7" s="1246">
        <f t="shared" si="0"/>
        <v>41427.97</v>
      </c>
      <c r="L7" s="1246">
        <f t="shared" si="0"/>
        <v>41962.46</v>
      </c>
      <c r="M7" s="1246">
        <f t="shared" si="0"/>
        <v>41962.46</v>
      </c>
      <c r="N7" s="1246">
        <f t="shared" si="0"/>
        <v>42496.95</v>
      </c>
      <c r="O7" s="1246">
        <f t="shared" si="0"/>
        <v>42496.95</v>
      </c>
      <c r="P7" s="1246">
        <f t="shared" si="0"/>
        <v>42496.95</v>
      </c>
      <c r="Q7" s="1246">
        <f t="shared" si="0"/>
        <v>43031.45</v>
      </c>
      <c r="R7" s="1246">
        <f t="shared" si="0"/>
        <v>43031.45</v>
      </c>
      <c r="S7" s="1246">
        <f t="shared" si="0"/>
        <v>43565.94</v>
      </c>
      <c r="T7" s="1246">
        <f t="shared" si="0"/>
        <v>43565.94</v>
      </c>
      <c r="U7" s="1246">
        <f t="shared" si="0"/>
        <v>44100.43</v>
      </c>
      <c r="V7" s="1246">
        <f t="shared" si="0"/>
        <v>44100.43</v>
      </c>
      <c r="W7" s="1246">
        <f t="shared" si="0"/>
        <v>44634.92</v>
      </c>
      <c r="X7" s="1246">
        <f t="shared" si="0"/>
        <v>45169.41</v>
      </c>
      <c r="Y7" s="1246">
        <f t="shared" si="0"/>
        <v>45703.9</v>
      </c>
      <c r="Z7" s="1246">
        <f t="shared" si="0"/>
        <v>45703.9</v>
      </c>
      <c r="AA7" s="1246">
        <f t="shared" si="0"/>
        <v>46238.39</v>
      </c>
      <c r="AB7" s="1246">
        <f>SUM(B7:AA7)</f>
        <v>898713.8400000002</v>
      </c>
    </row>
    <row r="8" spans="1:28" s="1187" customFormat="1">
      <c r="A8" s="1197" t="s">
        <v>819</v>
      </c>
      <c r="B8" s="1450"/>
      <c r="C8" s="1450"/>
      <c r="D8" s="1450"/>
      <c r="E8" s="1450"/>
      <c r="F8" s="1450"/>
      <c r="G8" s="1450">
        <f>'E2 VALE PASSAROS'!B45</f>
        <v>28862.5</v>
      </c>
      <c r="H8" s="1450">
        <f>'E2 VALE PASSAROS'!C45</f>
        <v>29396.99</v>
      </c>
      <c r="I8" s="1450">
        <f>'E2 VALE PASSAROS'!D45</f>
        <v>29931.48</v>
      </c>
      <c r="J8" s="1450">
        <f>'E2 VALE PASSAROS'!E45</f>
        <v>30465.97</v>
      </c>
      <c r="K8" s="1450">
        <f>'E2 VALE PASSAROS'!F45</f>
        <v>30465.97</v>
      </c>
      <c r="L8" s="1450">
        <f>'E2 VALE PASSAROS'!G45</f>
        <v>31000.46</v>
      </c>
      <c r="M8" s="1450">
        <f>'E2 VALE PASSAROS'!H45</f>
        <v>31000.46</v>
      </c>
      <c r="N8" s="1450">
        <f>'E2 VALE PASSAROS'!B62</f>
        <v>31534.95</v>
      </c>
      <c r="O8" s="1450">
        <f>'E2 VALE PASSAROS'!C62</f>
        <v>31534.95</v>
      </c>
      <c r="P8" s="1450">
        <f>'E2 VALE PASSAROS'!D62</f>
        <v>31534.95</v>
      </c>
      <c r="Q8" s="1450">
        <f>'E2 VALE PASSAROS'!E62</f>
        <v>32069.45</v>
      </c>
      <c r="R8" s="1450">
        <f>'E2 VALE PASSAROS'!F62</f>
        <v>32069.45</v>
      </c>
      <c r="S8" s="1450">
        <f>'E2 VALE PASSAROS'!G62</f>
        <v>32603.94</v>
      </c>
      <c r="T8" s="1450">
        <f>'E2 VALE PASSAROS'!H62</f>
        <v>32603.94</v>
      </c>
      <c r="U8" s="1450">
        <f>'E2 VALE PASSAROS'!B79</f>
        <v>33138.43</v>
      </c>
      <c r="V8" s="1450">
        <f>'E2 VALE PASSAROS'!C79</f>
        <v>33138.43</v>
      </c>
      <c r="W8" s="1450">
        <f>'E2 VALE PASSAROS'!D79</f>
        <v>33672.92</v>
      </c>
      <c r="X8" s="1450">
        <f>'E2 VALE PASSAROS'!E79</f>
        <v>34207.410000000003</v>
      </c>
      <c r="Y8" s="1450">
        <f>'E2 VALE PASSAROS'!F79</f>
        <v>34741.9</v>
      </c>
      <c r="Z8" s="1450">
        <f>'E2 VALE PASSAROS'!G79</f>
        <v>34741.9</v>
      </c>
      <c r="AA8" s="1450">
        <f>'E2 VALE PASSAROS'!H79</f>
        <v>35276.39</v>
      </c>
      <c r="AB8" s="1450">
        <f t="shared" ref="AB8:AB52" si="1">SUM(B8:AA8)</f>
        <v>673992.84000000008</v>
      </c>
    </row>
    <row r="9" spans="1:28" s="1187" customFormat="1">
      <c r="A9" s="1197" t="s">
        <v>820</v>
      </c>
      <c r="B9" s="1450"/>
      <c r="C9" s="1450"/>
      <c r="D9" s="1450"/>
      <c r="E9" s="1450"/>
      <c r="F9" s="1450">
        <f>'E3 DIST INDL'!B45</f>
        <v>2740.5</v>
      </c>
      <c r="G9" s="1450">
        <f>'E3 DIST INDL'!C45</f>
        <v>5481</v>
      </c>
      <c r="H9" s="1450">
        <f>'E3 DIST INDL'!D45</f>
        <v>8221.5</v>
      </c>
      <c r="I9" s="1450">
        <f>'E3 DIST INDL'!E45</f>
        <v>10962</v>
      </c>
      <c r="J9" s="1450">
        <f>'E3 DIST INDL'!F45</f>
        <v>10962</v>
      </c>
      <c r="K9" s="1450">
        <f>'E3 DIST INDL'!G45</f>
        <v>10962</v>
      </c>
      <c r="L9" s="1450">
        <f>'E3 DIST INDL'!H45</f>
        <v>10962</v>
      </c>
      <c r="M9" s="1450">
        <f>'E3 DIST INDL'!I45</f>
        <v>10962</v>
      </c>
      <c r="N9" s="1450">
        <f>'E3 DIST INDL'!B60</f>
        <v>10962</v>
      </c>
      <c r="O9" s="1450">
        <f>'E3 DIST INDL'!C60</f>
        <v>10962</v>
      </c>
      <c r="P9" s="1450">
        <f>'E3 DIST INDL'!D60</f>
        <v>10962</v>
      </c>
      <c r="Q9" s="1450">
        <f>'E3 DIST INDL'!E60</f>
        <v>10962</v>
      </c>
      <c r="R9" s="1450">
        <f>'E3 DIST INDL'!F60</f>
        <v>10962</v>
      </c>
      <c r="S9" s="1450">
        <f>'E3 DIST INDL'!G60</f>
        <v>10962</v>
      </c>
      <c r="T9" s="1450">
        <f>'E3 DIST INDL'!H60</f>
        <v>10962</v>
      </c>
      <c r="U9" s="1450">
        <f>'E3 DIST INDL'!I60</f>
        <v>10962</v>
      </c>
      <c r="V9" s="1450">
        <f>'E3 DIST INDL'!B75</f>
        <v>10962</v>
      </c>
      <c r="W9" s="1450">
        <f>'E3 DIST INDL'!C75</f>
        <v>10962</v>
      </c>
      <c r="X9" s="1450">
        <f>'E3 DIST INDL'!D75</f>
        <v>10962</v>
      </c>
      <c r="Y9" s="1450">
        <f>'E3 DIST INDL'!E75</f>
        <v>10962</v>
      </c>
      <c r="Z9" s="1450">
        <f>'E3 DIST INDL'!F75</f>
        <v>10962</v>
      </c>
      <c r="AA9" s="1450">
        <f>'E3 DIST INDL'!G75</f>
        <v>10962</v>
      </c>
      <c r="AB9" s="1450">
        <f t="shared" si="1"/>
        <v>224721</v>
      </c>
    </row>
    <row r="10" spans="1:28" s="1194" customFormat="1">
      <c r="A10" s="1199" t="s">
        <v>747</v>
      </c>
      <c r="B10" s="1246">
        <f>SUM(B11:B13)</f>
        <v>0</v>
      </c>
      <c r="C10" s="1246">
        <f t="shared" ref="C10:AA10" si="2">SUM(C11:C13)</f>
        <v>0</v>
      </c>
      <c r="D10" s="1246">
        <f t="shared" si="2"/>
        <v>0</v>
      </c>
      <c r="E10" s="1246">
        <f t="shared" si="2"/>
        <v>0</v>
      </c>
      <c r="F10" s="1246">
        <f t="shared" si="2"/>
        <v>-46494</v>
      </c>
      <c r="G10" s="1246">
        <f t="shared" si="2"/>
        <v>-44412.84</v>
      </c>
      <c r="H10" s="1246">
        <f t="shared" si="2"/>
        <v>-194034.96</v>
      </c>
      <c r="I10" s="1246">
        <f t="shared" si="2"/>
        <v>-260609.94</v>
      </c>
      <c r="J10" s="1246">
        <f t="shared" si="2"/>
        <v>3704.9399999999996</v>
      </c>
      <c r="K10" s="1246">
        <f t="shared" si="2"/>
        <v>11431.8</v>
      </c>
      <c r="L10" s="1246">
        <f t="shared" si="2"/>
        <v>254794.68</v>
      </c>
      <c r="M10" s="1246">
        <f t="shared" si="2"/>
        <v>274853.51999999996</v>
      </c>
      <c r="N10" s="1246">
        <f t="shared" si="2"/>
        <v>57925.8</v>
      </c>
      <c r="O10" s="1246">
        <f t="shared" si="2"/>
        <v>11431.8</v>
      </c>
      <c r="P10" s="1246">
        <f t="shared" si="2"/>
        <v>11431.8</v>
      </c>
      <c r="Q10" s="1246">
        <f t="shared" si="2"/>
        <v>11431.8</v>
      </c>
      <c r="R10" s="1246">
        <f t="shared" si="2"/>
        <v>11431.8</v>
      </c>
      <c r="S10" s="1246">
        <f t="shared" si="2"/>
        <v>11431.8</v>
      </c>
      <c r="T10" s="1246">
        <f t="shared" si="2"/>
        <v>11431.8</v>
      </c>
      <c r="U10" s="1246">
        <f t="shared" si="2"/>
        <v>11431.8</v>
      </c>
      <c r="V10" s="1246">
        <f t="shared" si="2"/>
        <v>11431.8</v>
      </c>
      <c r="W10" s="1246">
        <f t="shared" si="2"/>
        <v>11431.8</v>
      </c>
      <c r="X10" s="1246">
        <f t="shared" si="2"/>
        <v>11431.8</v>
      </c>
      <c r="Y10" s="1246">
        <f t="shared" si="2"/>
        <v>11431.8</v>
      </c>
      <c r="Z10" s="1246">
        <f t="shared" si="2"/>
        <v>11431.8</v>
      </c>
      <c r="AA10" s="1246">
        <f t="shared" si="2"/>
        <v>11431.8</v>
      </c>
      <c r="AB10" s="1246">
        <f t="shared" si="1"/>
        <v>205772.39999999991</v>
      </c>
    </row>
    <row r="11" spans="1:28" s="1187" customFormat="1">
      <c r="A11" s="1197" t="s">
        <v>819</v>
      </c>
      <c r="B11" s="1450"/>
      <c r="C11" s="1450"/>
      <c r="D11" s="1450"/>
      <c r="E11" s="1450"/>
      <c r="F11" s="1450"/>
      <c r="G11" s="1450">
        <f>'E2 VALE PASSAROS'!B46</f>
        <v>0</v>
      </c>
      <c r="H11" s="1450">
        <f>'E2 VALE PASSAROS'!C46</f>
        <v>0</v>
      </c>
      <c r="I11" s="1450">
        <f>'E2 VALE PASSAROS'!D46</f>
        <v>0</v>
      </c>
      <c r="J11" s="1450">
        <f>'E2 VALE PASSAROS'!E46</f>
        <v>0</v>
      </c>
      <c r="K11" s="1450">
        <f>'E2 VALE PASSAROS'!F46</f>
        <v>0</v>
      </c>
      <c r="L11" s="1450">
        <f>'E2 VALE PASSAROS'!G46</f>
        <v>0</v>
      </c>
      <c r="M11" s="1450">
        <f>'E2 VALE PASSAROS'!H46</f>
        <v>0</v>
      </c>
      <c r="N11" s="1450">
        <f>'E2 VALE PASSAROS'!B63</f>
        <v>0</v>
      </c>
      <c r="O11" s="1450">
        <f>'E2 VALE PASSAROS'!C63</f>
        <v>0</v>
      </c>
      <c r="P11" s="1450">
        <f>'E2 VALE PASSAROS'!D63</f>
        <v>0</v>
      </c>
      <c r="Q11" s="1450">
        <f>'E2 VALE PASSAROS'!E63</f>
        <v>0</v>
      </c>
      <c r="R11" s="1450">
        <f>'E2 VALE PASSAROS'!F63</f>
        <v>0</v>
      </c>
      <c r="S11" s="1450">
        <f>'E2 VALE PASSAROS'!G63</f>
        <v>0</v>
      </c>
      <c r="T11" s="1450">
        <f>'E2 VALE PASSAROS'!H63</f>
        <v>0</v>
      </c>
      <c r="U11" s="1450">
        <f>'E2 VALE PASSAROS'!B80</f>
        <v>0</v>
      </c>
      <c r="V11" s="1450">
        <f>'E2 VALE PASSAROS'!C80</f>
        <v>0</v>
      </c>
      <c r="W11" s="1450">
        <f>'E2 VALE PASSAROS'!D80</f>
        <v>0</v>
      </c>
      <c r="X11" s="1450">
        <f>'E2 VALE PASSAROS'!E80</f>
        <v>0</v>
      </c>
      <c r="Y11" s="1450">
        <f>'E2 VALE PASSAROS'!F80</f>
        <v>0</v>
      </c>
      <c r="Z11" s="1450">
        <f>'E2 VALE PASSAROS'!G80</f>
        <v>0</v>
      </c>
      <c r="AA11" s="1450">
        <f>'E2 VALE PASSAROS'!H80</f>
        <v>0</v>
      </c>
      <c r="AB11" s="1450">
        <f t="shared" si="1"/>
        <v>0</v>
      </c>
    </row>
    <row r="12" spans="1:28" s="1187" customFormat="1">
      <c r="A12" s="1197" t="s">
        <v>820</v>
      </c>
      <c r="B12" s="1450"/>
      <c r="C12" s="1450"/>
      <c r="D12" s="1450"/>
      <c r="E12" s="1450"/>
      <c r="F12" s="1450">
        <f>'E3 DIST INDL'!B46</f>
        <v>0</v>
      </c>
      <c r="G12" s="1450">
        <f>'E3 DIST INDL'!C46</f>
        <v>0</v>
      </c>
      <c r="H12" s="1450">
        <f>'E3 DIST INDL'!D46</f>
        <v>0</v>
      </c>
      <c r="I12" s="1450">
        <f>'E3 DIST INDL'!E46</f>
        <v>0</v>
      </c>
      <c r="J12" s="1450">
        <f>'E3 DIST INDL'!F46</f>
        <v>11431.8</v>
      </c>
      <c r="K12" s="1450">
        <f>'E3 DIST INDL'!G46</f>
        <v>11431.8</v>
      </c>
      <c r="L12" s="1450">
        <f>'E3 DIST INDL'!H46</f>
        <v>11431.8</v>
      </c>
      <c r="M12" s="1450">
        <f>'E3 DIST INDL'!I46</f>
        <v>11431.8</v>
      </c>
      <c r="N12" s="1450">
        <f>'E3 DIST INDL'!B61</f>
        <v>11431.8</v>
      </c>
      <c r="O12" s="1450">
        <f>'E3 DIST INDL'!C61</f>
        <v>11431.8</v>
      </c>
      <c r="P12" s="1450">
        <f>'E3 DIST INDL'!D61</f>
        <v>11431.8</v>
      </c>
      <c r="Q12" s="1450">
        <f>'E3 DIST INDL'!E61</f>
        <v>11431.8</v>
      </c>
      <c r="R12" s="1450">
        <f>'E3 DIST INDL'!F61</f>
        <v>11431.8</v>
      </c>
      <c r="S12" s="1450">
        <f>'E3 DIST INDL'!G61</f>
        <v>11431.8</v>
      </c>
      <c r="T12" s="1450">
        <f>'E3 DIST INDL'!H61</f>
        <v>11431.8</v>
      </c>
      <c r="U12" s="1450">
        <f>'E3 DIST INDL'!I61</f>
        <v>11431.8</v>
      </c>
      <c r="V12" s="1450">
        <f>'E3 DIST INDL'!B76</f>
        <v>11431.8</v>
      </c>
      <c r="W12" s="1450">
        <f>'E3 DIST INDL'!C76</f>
        <v>11431.8</v>
      </c>
      <c r="X12" s="1450">
        <f>'E3 DIST INDL'!D76</f>
        <v>11431.8</v>
      </c>
      <c r="Y12" s="1450">
        <f>'E3 DIST INDL'!E76</f>
        <v>11431.8</v>
      </c>
      <c r="Z12" s="1450">
        <f>'E3 DIST INDL'!F76</f>
        <v>11431.8</v>
      </c>
      <c r="AA12" s="1450">
        <f>'E3 DIST INDL'!G76</f>
        <v>11431.8</v>
      </c>
      <c r="AB12" s="1450">
        <f t="shared" si="1"/>
        <v>205772.39999999994</v>
      </c>
    </row>
    <row r="13" spans="1:28" s="1187" customFormat="1">
      <c r="A13" s="1197" t="s">
        <v>935</v>
      </c>
      <c r="B13" s="1450"/>
      <c r="C13" s="1450"/>
      <c r="D13" s="1450"/>
      <c r="E13" s="1450"/>
      <c r="F13" s="1450">
        <f>'E7 Reprog Inv Esg'!B49</f>
        <v>-46494</v>
      </c>
      <c r="G13" s="1450">
        <f>'E7 Reprog Inv Esg'!C49</f>
        <v>-44412.84</v>
      </c>
      <c r="H13" s="1450">
        <f>'E7 Reprog Inv Esg'!D49</f>
        <v>-194034.96</v>
      </c>
      <c r="I13" s="1450">
        <f>'E7 Reprog Inv Esg'!E49</f>
        <v>-260609.94</v>
      </c>
      <c r="J13" s="1450">
        <f>'E7 Reprog Inv Esg'!F49</f>
        <v>-7726.86</v>
      </c>
      <c r="K13" s="1450">
        <f>'E7 Reprog Inv Esg'!G49</f>
        <v>0</v>
      </c>
      <c r="L13" s="1450">
        <f>'E7 Reprog Inv Esg'!H49</f>
        <v>243362.88</v>
      </c>
      <c r="M13" s="1450">
        <f>'E7 Reprog Inv Esg'!I49</f>
        <v>263421.71999999997</v>
      </c>
      <c r="N13" s="1450">
        <f>'E7 Reprog Inv Esg'!B63</f>
        <v>46494</v>
      </c>
      <c r="O13" s="1450">
        <f>'E7 Reprog Inv Esg'!C63</f>
        <v>0</v>
      </c>
      <c r="P13" s="1450">
        <f>'E7 Reprog Inv Esg'!D63</f>
        <v>0</v>
      </c>
      <c r="Q13" s="1450">
        <f>'E7 Reprog Inv Esg'!E63</f>
        <v>0</v>
      </c>
      <c r="R13" s="1450">
        <f>'E7 Reprog Inv Esg'!F63</f>
        <v>0</v>
      </c>
      <c r="S13" s="1450">
        <f>'E7 Reprog Inv Esg'!G63</f>
        <v>0</v>
      </c>
      <c r="T13" s="1450">
        <f>'E7 Reprog Inv Esg'!H63</f>
        <v>0</v>
      </c>
      <c r="U13" s="1450">
        <f>'E7 Reprog Inv Esg'!I63</f>
        <v>0</v>
      </c>
      <c r="V13" s="1450">
        <f>'E7 Reprog Inv Esg'!B77</f>
        <v>0</v>
      </c>
      <c r="W13" s="1450">
        <f>'E7 Reprog Inv Esg'!C77</f>
        <v>0</v>
      </c>
      <c r="X13" s="1450">
        <f>'E7 Reprog Inv Esg'!D77</f>
        <v>0</v>
      </c>
      <c r="Y13" s="1450">
        <f>'E7 Reprog Inv Esg'!E77</f>
        <v>0</v>
      </c>
      <c r="Z13" s="1450">
        <f>'E7 Reprog Inv Esg'!F77</f>
        <v>0</v>
      </c>
      <c r="AA13" s="1450">
        <f>'E7 Reprog Inv Esg'!G77</f>
        <v>0</v>
      </c>
      <c r="AB13" s="1450">
        <f t="shared" si="1"/>
        <v>0</v>
      </c>
    </row>
    <row r="14" spans="1:28" s="1194" customFormat="1">
      <c r="A14" s="1199" t="s">
        <v>818</v>
      </c>
      <c r="B14" s="1246">
        <f>B15</f>
        <v>0</v>
      </c>
      <c r="C14" s="1246">
        <f t="shared" ref="C14:AA14" si="3">C15</f>
        <v>3282769.4842375312</v>
      </c>
      <c r="D14" s="1246">
        <f t="shared" si="3"/>
        <v>3304634.8278828482</v>
      </c>
      <c r="E14" s="1246">
        <f t="shared" si="3"/>
        <v>0</v>
      </c>
      <c r="F14" s="1246">
        <f t="shared" si="3"/>
        <v>0</v>
      </c>
      <c r="G14" s="1246">
        <f t="shared" si="3"/>
        <v>0</v>
      </c>
      <c r="H14" s="1246">
        <f t="shared" si="3"/>
        <v>0</v>
      </c>
      <c r="I14" s="1246">
        <f t="shared" si="3"/>
        <v>0</v>
      </c>
      <c r="J14" s="1246">
        <f t="shared" si="3"/>
        <v>0</v>
      </c>
      <c r="K14" s="1246">
        <f t="shared" si="3"/>
        <v>0</v>
      </c>
      <c r="L14" s="1246">
        <f t="shared" si="3"/>
        <v>0</v>
      </c>
      <c r="M14" s="1246">
        <f t="shared" si="3"/>
        <v>0</v>
      </c>
      <c r="N14" s="1246">
        <f t="shared" si="3"/>
        <v>0</v>
      </c>
      <c r="O14" s="1246">
        <f t="shared" si="3"/>
        <v>0</v>
      </c>
      <c r="P14" s="1246">
        <f t="shared" si="3"/>
        <v>0</v>
      </c>
      <c r="Q14" s="1246">
        <f t="shared" si="3"/>
        <v>0</v>
      </c>
      <c r="R14" s="1246">
        <f t="shared" si="3"/>
        <v>0</v>
      </c>
      <c r="S14" s="1246">
        <f t="shared" si="3"/>
        <v>0</v>
      </c>
      <c r="T14" s="1246">
        <f t="shared" si="3"/>
        <v>0</v>
      </c>
      <c r="U14" s="1246">
        <f t="shared" si="3"/>
        <v>0</v>
      </c>
      <c r="V14" s="1246">
        <f t="shared" si="3"/>
        <v>0</v>
      </c>
      <c r="W14" s="1246">
        <f t="shared" si="3"/>
        <v>0</v>
      </c>
      <c r="X14" s="1246">
        <f t="shared" si="3"/>
        <v>0</v>
      </c>
      <c r="Y14" s="1246">
        <f t="shared" si="3"/>
        <v>0</v>
      </c>
      <c r="Z14" s="1246">
        <f t="shared" si="3"/>
        <v>0</v>
      </c>
      <c r="AA14" s="1246">
        <f t="shared" si="3"/>
        <v>0</v>
      </c>
      <c r="AB14" s="1246">
        <f t="shared" si="1"/>
        <v>6587404.3121203799</v>
      </c>
    </row>
    <row r="15" spans="1:28" s="1187" customFormat="1">
      <c r="A15" s="1197" t="s">
        <v>827</v>
      </c>
      <c r="B15" s="1450"/>
      <c r="C15" s="1450">
        <f>'E6 RECEITA'!C50</f>
        <v>3282769.4842375312</v>
      </c>
      <c r="D15" s="1450">
        <f>'E6 RECEITA'!D50</f>
        <v>3304634.8278828482</v>
      </c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>
        <f t="shared" si="1"/>
        <v>6587404.3121203799</v>
      </c>
    </row>
    <row r="16" spans="1:28" s="1194" customFormat="1">
      <c r="A16" s="1199" t="s">
        <v>750</v>
      </c>
      <c r="B16" s="1246">
        <f>SUM(B17:B19)</f>
        <v>0</v>
      </c>
      <c r="C16" s="1246">
        <f t="shared" ref="C16:AA16" si="4">SUM(C17:C19)</f>
        <v>0</v>
      </c>
      <c r="D16" s="1246">
        <f t="shared" si="4"/>
        <v>0</v>
      </c>
      <c r="E16" s="1246">
        <f t="shared" si="4"/>
        <v>0</v>
      </c>
      <c r="F16" s="1246">
        <f t="shared" si="4"/>
        <v>-4151.6099999999997</v>
      </c>
      <c r="G16" s="1246">
        <f t="shared" si="4"/>
        <v>-809.57000000000062</v>
      </c>
      <c r="H16" s="1246">
        <f t="shared" si="4"/>
        <v>-14689.530000000002</v>
      </c>
      <c r="I16" s="1246">
        <f t="shared" si="4"/>
        <v>-20692.39</v>
      </c>
      <c r="J16" s="1246">
        <f t="shared" si="4"/>
        <v>3347.2599999999998</v>
      </c>
      <c r="K16" s="1246">
        <f t="shared" si="4"/>
        <v>4080.16</v>
      </c>
      <c r="L16" s="1246">
        <f t="shared" si="4"/>
        <v>27216.81</v>
      </c>
      <c r="M16" s="1246">
        <f t="shared" si="4"/>
        <v>29119.41</v>
      </c>
      <c r="N16" s="1246">
        <f t="shared" si="4"/>
        <v>8597.06</v>
      </c>
      <c r="O16" s="1246">
        <f t="shared" si="4"/>
        <v>4187.0599999999995</v>
      </c>
      <c r="P16" s="1246">
        <f t="shared" si="4"/>
        <v>4187.0599999999995</v>
      </c>
      <c r="Q16" s="1246">
        <f t="shared" si="4"/>
        <v>4240.5</v>
      </c>
      <c r="R16" s="1246">
        <f t="shared" si="4"/>
        <v>4240.5</v>
      </c>
      <c r="S16" s="1246">
        <f t="shared" si="4"/>
        <v>4293.95</v>
      </c>
      <c r="T16" s="1246">
        <f t="shared" si="4"/>
        <v>4293.95</v>
      </c>
      <c r="U16" s="1246">
        <f t="shared" si="4"/>
        <v>4347.3999999999996</v>
      </c>
      <c r="V16" s="1246">
        <f t="shared" si="4"/>
        <v>4347.3999999999996</v>
      </c>
      <c r="W16" s="1246">
        <f t="shared" si="4"/>
        <v>4400.8500000000004</v>
      </c>
      <c r="X16" s="1246">
        <f t="shared" si="4"/>
        <v>4454.2999999999993</v>
      </c>
      <c r="Y16" s="1246">
        <f t="shared" si="4"/>
        <v>4507.75</v>
      </c>
      <c r="Z16" s="1246">
        <f t="shared" si="4"/>
        <v>4507.75</v>
      </c>
      <c r="AA16" s="1246">
        <f t="shared" si="4"/>
        <v>4561.2</v>
      </c>
      <c r="AB16" s="1246">
        <f t="shared" si="1"/>
        <v>88587.26999999999</v>
      </c>
    </row>
    <row r="17" spans="1:28" s="1187" customFormat="1">
      <c r="A17" s="1197" t="s">
        <v>819</v>
      </c>
      <c r="B17" s="1450"/>
      <c r="C17" s="1450"/>
      <c r="D17" s="1450"/>
      <c r="E17" s="1450"/>
      <c r="F17" s="1450"/>
      <c r="G17" s="1450">
        <f>'E2 VALE PASSAROS'!B39</f>
        <v>2886.25</v>
      </c>
      <c r="H17" s="1450">
        <f>'E2 VALE PASSAROS'!C39</f>
        <v>2939.7</v>
      </c>
      <c r="I17" s="1450">
        <f>'E2 VALE PASSAROS'!D39</f>
        <v>2993.15</v>
      </c>
      <c r="J17" s="1450">
        <f>'E2 VALE PASSAROS'!E39</f>
        <v>3046.6</v>
      </c>
      <c r="K17" s="1450">
        <f>'E2 VALE PASSAROS'!F39</f>
        <v>3046.6</v>
      </c>
      <c r="L17" s="1450">
        <f>'E2 VALE PASSAROS'!G39</f>
        <v>3100.05</v>
      </c>
      <c r="M17" s="1450">
        <f>'E2 VALE PASSAROS'!H39</f>
        <v>3100.05</v>
      </c>
      <c r="N17" s="1450">
        <f>'E2 VALE PASSAROS'!B56</f>
        <v>3153.5</v>
      </c>
      <c r="O17" s="1450">
        <f>'E2 VALE PASSAROS'!C56</f>
        <v>3153.5</v>
      </c>
      <c r="P17" s="1450">
        <f>'E2 VALE PASSAROS'!D56</f>
        <v>3153.5</v>
      </c>
      <c r="Q17" s="1450">
        <f>'E2 VALE PASSAROS'!E56</f>
        <v>3206.94</v>
      </c>
      <c r="R17" s="1450">
        <f>'E2 VALE PASSAROS'!F56</f>
        <v>3206.94</v>
      </c>
      <c r="S17" s="1450">
        <f>'E2 VALE PASSAROS'!G56</f>
        <v>3260.39</v>
      </c>
      <c r="T17" s="1450">
        <f>'E2 VALE PASSAROS'!H56</f>
        <v>3260.39</v>
      </c>
      <c r="U17" s="1450">
        <f>'E2 VALE PASSAROS'!B73</f>
        <v>3313.84</v>
      </c>
      <c r="V17" s="1450">
        <f>'E2 VALE PASSAROS'!C73</f>
        <v>3313.84</v>
      </c>
      <c r="W17" s="1450">
        <f>'E2 VALE PASSAROS'!D73</f>
        <v>3367.29</v>
      </c>
      <c r="X17" s="1450">
        <f>'E2 VALE PASSAROS'!E73</f>
        <v>3420.74</v>
      </c>
      <c r="Y17" s="1450">
        <f>'E2 VALE PASSAROS'!F73</f>
        <v>3474.19</v>
      </c>
      <c r="Z17" s="1450">
        <f>'E2 VALE PASSAROS'!G73</f>
        <v>3474.19</v>
      </c>
      <c r="AA17" s="1450">
        <f>'E2 VALE PASSAROS'!H73</f>
        <v>3527.64</v>
      </c>
      <c r="AB17" s="1450">
        <f t="shared" si="1"/>
        <v>67399.290000000008</v>
      </c>
    </row>
    <row r="18" spans="1:28" s="1187" customFormat="1">
      <c r="A18" s="1197" t="s">
        <v>820</v>
      </c>
      <c r="B18" s="1450"/>
      <c r="C18" s="1450"/>
      <c r="D18" s="1450"/>
      <c r="E18" s="1450"/>
      <c r="F18" s="1450">
        <f>'E3 DIST INDL'!B39</f>
        <v>258.39</v>
      </c>
      <c r="G18" s="1450">
        <f>'E3 DIST INDL'!C39</f>
        <v>516.78</v>
      </c>
      <c r="H18" s="1450">
        <f>'E3 DIST INDL'!D39</f>
        <v>775.17</v>
      </c>
      <c r="I18" s="1450">
        <f>'E3 DIST INDL'!E39</f>
        <v>1033.56</v>
      </c>
      <c r="J18" s="1450">
        <f>'E3 DIST INDL'!F39</f>
        <v>1033.56</v>
      </c>
      <c r="K18" s="1450">
        <f>'E3 DIST INDL'!G39</f>
        <v>1033.56</v>
      </c>
      <c r="L18" s="1450">
        <f>'E3 DIST INDL'!H39</f>
        <v>1033.56</v>
      </c>
      <c r="M18" s="1450">
        <f>'E3 DIST INDL'!I39</f>
        <v>1033.56</v>
      </c>
      <c r="N18" s="1450">
        <f>'E3 DIST INDL'!B54</f>
        <v>1033.56</v>
      </c>
      <c r="O18" s="1450">
        <f>'E3 DIST INDL'!C54</f>
        <v>1033.56</v>
      </c>
      <c r="P18" s="1450">
        <f>'E3 DIST INDL'!D54</f>
        <v>1033.56</v>
      </c>
      <c r="Q18" s="1450">
        <f>'E3 DIST INDL'!E54</f>
        <v>1033.56</v>
      </c>
      <c r="R18" s="1450">
        <f>'E3 DIST INDL'!F54</f>
        <v>1033.56</v>
      </c>
      <c r="S18" s="1450">
        <f>'E3 DIST INDL'!G54</f>
        <v>1033.56</v>
      </c>
      <c r="T18" s="1450">
        <f>'E3 DIST INDL'!H54</f>
        <v>1033.56</v>
      </c>
      <c r="U18" s="1450">
        <f>'E3 DIST INDL'!I54</f>
        <v>1033.56</v>
      </c>
      <c r="V18" s="1450">
        <f>'E3 DIST INDL'!B69</f>
        <v>1033.56</v>
      </c>
      <c r="W18" s="1450">
        <f>'E3 DIST INDL'!C69</f>
        <v>1033.56</v>
      </c>
      <c r="X18" s="1450">
        <f>'E3 DIST INDL'!D69</f>
        <v>1033.56</v>
      </c>
      <c r="Y18" s="1450">
        <f>'E3 DIST INDL'!E69</f>
        <v>1033.56</v>
      </c>
      <c r="Z18" s="1450">
        <f>'E3 DIST INDL'!F69</f>
        <v>1033.56</v>
      </c>
      <c r="AA18" s="1450">
        <f>'E3 DIST INDL'!G69</f>
        <v>1033.56</v>
      </c>
      <c r="AB18" s="1450">
        <f t="shared" si="1"/>
        <v>21187.98</v>
      </c>
    </row>
    <row r="19" spans="1:28" s="1187" customFormat="1">
      <c r="A19" s="1197" t="s">
        <v>935</v>
      </c>
      <c r="B19" s="1450"/>
      <c r="C19" s="1450"/>
      <c r="D19" s="1450"/>
      <c r="E19" s="1450"/>
      <c r="F19" s="1450">
        <f>'E7 Reprog Inv Esg'!B42</f>
        <v>-4410</v>
      </c>
      <c r="G19" s="1450">
        <f>'E7 Reprog Inv Esg'!C42</f>
        <v>-4212.6000000000004</v>
      </c>
      <c r="H19" s="1450">
        <f>'E7 Reprog Inv Esg'!D42</f>
        <v>-18404.400000000001</v>
      </c>
      <c r="I19" s="1450">
        <f>'E7 Reprog Inv Esg'!E42</f>
        <v>-24719.1</v>
      </c>
      <c r="J19" s="1450">
        <f>'E7 Reprog Inv Esg'!F42</f>
        <v>-732.9</v>
      </c>
      <c r="K19" s="1450">
        <f>'E7 Reprog Inv Esg'!G42</f>
        <v>0</v>
      </c>
      <c r="L19" s="1450">
        <f>'E7 Reprog Inv Esg'!H42</f>
        <v>23083.200000000001</v>
      </c>
      <c r="M19" s="1450">
        <f>'E7 Reprog Inv Esg'!I42</f>
        <v>24985.8</v>
      </c>
      <c r="N19" s="1450">
        <f>'E7 Reprog Inv Esg'!B56</f>
        <v>4410</v>
      </c>
      <c r="O19" s="1450">
        <f>'E7 Reprog Inv Esg'!C56</f>
        <v>0</v>
      </c>
      <c r="P19" s="1450">
        <f>'E7 Reprog Inv Esg'!D56</f>
        <v>0</v>
      </c>
      <c r="Q19" s="1450">
        <f>'E7 Reprog Inv Esg'!E56</f>
        <v>0</v>
      </c>
      <c r="R19" s="1450">
        <f>'E7 Reprog Inv Esg'!F56</f>
        <v>0</v>
      </c>
      <c r="S19" s="1450">
        <f>'E7 Reprog Inv Esg'!G56</f>
        <v>0</v>
      </c>
      <c r="T19" s="1450">
        <f>'E7 Reprog Inv Esg'!H56</f>
        <v>0</v>
      </c>
      <c r="U19" s="1450">
        <f>'E7 Reprog Inv Esg'!I56</f>
        <v>0</v>
      </c>
      <c r="V19" s="1450">
        <f>'E7 Reprog Inv Esg'!B70</f>
        <v>0</v>
      </c>
      <c r="W19" s="1450">
        <f>'E7 Reprog Inv Esg'!C70</f>
        <v>0</v>
      </c>
      <c r="X19" s="1450">
        <f>'E7 Reprog Inv Esg'!D70</f>
        <v>0</v>
      </c>
      <c r="Y19" s="1450">
        <f>'E7 Reprog Inv Esg'!E70</f>
        <v>0</v>
      </c>
      <c r="Z19" s="1450">
        <f>'E7 Reprog Inv Esg'!F70</f>
        <v>0</v>
      </c>
      <c r="AA19" s="1450">
        <f>'E7 Reprog Inv Esg'!G70</f>
        <v>0</v>
      </c>
      <c r="AB19" s="1450">
        <f t="shared" si="1"/>
        <v>0</v>
      </c>
    </row>
    <row r="20" spans="1:28" s="1194" customFormat="1">
      <c r="A20" s="1199" t="s">
        <v>751</v>
      </c>
      <c r="B20" s="1246">
        <f>SUM(B21:B23)</f>
        <v>0</v>
      </c>
      <c r="C20" s="1246">
        <f t="shared" ref="C20:AA20" si="5">SUM(C21:C23)</f>
        <v>0</v>
      </c>
      <c r="D20" s="1246">
        <f t="shared" si="5"/>
        <v>0</v>
      </c>
      <c r="E20" s="1246">
        <f t="shared" si="5"/>
        <v>0</v>
      </c>
      <c r="F20" s="1246">
        <f t="shared" si="5"/>
        <v>-2607.5700000000002</v>
      </c>
      <c r="G20" s="1246">
        <f t="shared" si="5"/>
        <v>-504.84999999999991</v>
      </c>
      <c r="H20" s="1246">
        <f t="shared" si="5"/>
        <v>-9227.3799999999992</v>
      </c>
      <c r="I20" s="1246">
        <f t="shared" si="5"/>
        <v>-12998.59</v>
      </c>
      <c r="J20" s="1246">
        <f t="shared" si="5"/>
        <v>2112.0400000000004</v>
      </c>
      <c r="K20" s="1246">
        <f t="shared" si="5"/>
        <v>2572.7200000000003</v>
      </c>
      <c r="L20" s="1246">
        <f t="shared" si="5"/>
        <v>17115.760000000002</v>
      </c>
      <c r="M20" s="1246">
        <f t="shared" si="5"/>
        <v>18311.68</v>
      </c>
      <c r="N20" s="1246">
        <f t="shared" si="5"/>
        <v>5411.92</v>
      </c>
      <c r="O20" s="1246">
        <f t="shared" si="5"/>
        <v>2639.92</v>
      </c>
      <c r="P20" s="1246">
        <f t="shared" si="5"/>
        <v>2639.92</v>
      </c>
      <c r="Q20" s="1246">
        <f t="shared" si="5"/>
        <v>2673.51</v>
      </c>
      <c r="R20" s="1246">
        <f t="shared" si="5"/>
        <v>2673.51</v>
      </c>
      <c r="S20" s="1246">
        <f t="shared" si="5"/>
        <v>2707.1099999999997</v>
      </c>
      <c r="T20" s="1246">
        <f t="shared" si="5"/>
        <v>2707.1099999999997</v>
      </c>
      <c r="U20" s="1246">
        <f t="shared" si="5"/>
        <v>2740.71</v>
      </c>
      <c r="V20" s="1246">
        <f t="shared" si="5"/>
        <v>2740.71</v>
      </c>
      <c r="W20" s="1246">
        <f t="shared" si="5"/>
        <v>2774.3</v>
      </c>
      <c r="X20" s="1246">
        <f t="shared" si="5"/>
        <v>2807.8999999999996</v>
      </c>
      <c r="Y20" s="1246">
        <f t="shared" si="5"/>
        <v>2841.5</v>
      </c>
      <c r="Z20" s="1246">
        <f t="shared" si="5"/>
        <v>2841.5</v>
      </c>
      <c r="AA20" s="1246">
        <f t="shared" si="5"/>
        <v>2875.09</v>
      </c>
      <c r="AB20" s="1246">
        <f t="shared" si="1"/>
        <v>55848.520000000004</v>
      </c>
    </row>
    <row r="21" spans="1:28" s="1187" customFormat="1">
      <c r="A21" s="1197" t="s">
        <v>819</v>
      </c>
      <c r="B21" s="1450"/>
      <c r="C21" s="1450"/>
      <c r="D21" s="1450"/>
      <c r="E21" s="1450"/>
      <c r="F21" s="1450"/>
      <c r="G21" s="1450">
        <f>'E2 VALE PASSAROS'!B40</f>
        <v>1814.21</v>
      </c>
      <c r="H21" s="1450">
        <f>'E2 VALE PASSAROS'!C40</f>
        <v>1847.81</v>
      </c>
      <c r="I21" s="1450">
        <f>'E2 VALE PASSAROS'!D40</f>
        <v>1881.41</v>
      </c>
      <c r="J21" s="1450">
        <f>'E2 VALE PASSAROS'!E40</f>
        <v>1915</v>
      </c>
      <c r="K21" s="1450">
        <f>'E2 VALE PASSAROS'!F40</f>
        <v>1915</v>
      </c>
      <c r="L21" s="1450">
        <f>'E2 VALE PASSAROS'!G40</f>
        <v>1948.6</v>
      </c>
      <c r="M21" s="1450">
        <f>'E2 VALE PASSAROS'!H40</f>
        <v>1948.6</v>
      </c>
      <c r="N21" s="1450">
        <f>'E2 VALE PASSAROS'!B57</f>
        <v>1982.2</v>
      </c>
      <c r="O21" s="1450">
        <f>'E2 VALE PASSAROS'!C57</f>
        <v>1982.2</v>
      </c>
      <c r="P21" s="1450">
        <f>'E2 VALE PASSAROS'!D57</f>
        <v>1982.2</v>
      </c>
      <c r="Q21" s="1450">
        <f>'E2 VALE PASSAROS'!E57</f>
        <v>2015.79</v>
      </c>
      <c r="R21" s="1450">
        <f>'E2 VALE PASSAROS'!F57</f>
        <v>2015.79</v>
      </c>
      <c r="S21" s="1450">
        <f>'E2 VALE PASSAROS'!G57</f>
        <v>2049.39</v>
      </c>
      <c r="T21" s="1450">
        <f>'E2 VALE PASSAROS'!H57</f>
        <v>2049.39</v>
      </c>
      <c r="U21" s="1450">
        <f>'E2 VALE PASSAROS'!B74</f>
        <v>2082.9899999999998</v>
      </c>
      <c r="V21" s="1450">
        <f>'E2 VALE PASSAROS'!C74</f>
        <v>2082.9899999999998</v>
      </c>
      <c r="W21" s="1450">
        <f>'E2 VALE PASSAROS'!D74</f>
        <v>2116.58</v>
      </c>
      <c r="X21" s="1450">
        <f>'E2 VALE PASSAROS'!E74</f>
        <v>2150.1799999999998</v>
      </c>
      <c r="Y21" s="1450">
        <f>'E2 VALE PASSAROS'!F74</f>
        <v>2183.7800000000002</v>
      </c>
      <c r="Z21" s="1450">
        <f>'E2 VALE PASSAROS'!G74</f>
        <v>2183.7800000000002</v>
      </c>
      <c r="AA21" s="1450">
        <f>'E2 VALE PASSAROS'!H74</f>
        <v>2217.37</v>
      </c>
      <c r="AB21" s="1450">
        <f t="shared" si="1"/>
        <v>42365.26</v>
      </c>
    </row>
    <row r="22" spans="1:28" s="1187" customFormat="1">
      <c r="A22" s="1197" t="s">
        <v>820</v>
      </c>
      <c r="B22" s="1450"/>
      <c r="C22" s="1450"/>
      <c r="D22" s="1450"/>
      <c r="E22" s="1450"/>
      <c r="F22" s="1450">
        <f>'E3 DIST INDL'!B40</f>
        <v>164.43</v>
      </c>
      <c r="G22" s="1450">
        <f>'E3 DIST INDL'!C40</f>
        <v>328.86</v>
      </c>
      <c r="H22" s="1450">
        <f>'E3 DIST INDL'!D40</f>
        <v>493.29</v>
      </c>
      <c r="I22" s="1450">
        <f>'E3 DIST INDL'!E40</f>
        <v>657.72</v>
      </c>
      <c r="J22" s="1450">
        <f>'E3 DIST INDL'!F40</f>
        <v>657.72</v>
      </c>
      <c r="K22" s="1450">
        <f>'E3 DIST INDL'!G40</f>
        <v>657.72</v>
      </c>
      <c r="L22" s="1450">
        <f>'E3 DIST INDL'!H40</f>
        <v>657.72</v>
      </c>
      <c r="M22" s="1450">
        <f>'E3 DIST INDL'!I40</f>
        <v>657.72</v>
      </c>
      <c r="N22" s="1450">
        <f>'E3 DIST INDL'!B55</f>
        <v>657.72</v>
      </c>
      <c r="O22" s="1450">
        <f>'E3 DIST INDL'!C55</f>
        <v>657.72</v>
      </c>
      <c r="P22" s="1450">
        <f>'E3 DIST INDL'!D55</f>
        <v>657.72</v>
      </c>
      <c r="Q22" s="1450">
        <f>'E3 DIST INDL'!E55</f>
        <v>657.72</v>
      </c>
      <c r="R22" s="1450">
        <f>'E3 DIST INDL'!F55</f>
        <v>657.72</v>
      </c>
      <c r="S22" s="1450">
        <f>'E3 DIST INDL'!G55</f>
        <v>657.72</v>
      </c>
      <c r="T22" s="1450">
        <f>'E3 DIST INDL'!H55</f>
        <v>657.72</v>
      </c>
      <c r="U22" s="1450">
        <f>'E3 DIST INDL'!I55</f>
        <v>657.72</v>
      </c>
      <c r="V22" s="1450">
        <f>'E3 DIST INDL'!B70</f>
        <v>657.72</v>
      </c>
      <c r="W22" s="1450">
        <f>'E3 DIST INDL'!C70</f>
        <v>657.72</v>
      </c>
      <c r="X22" s="1450">
        <f>'E3 DIST INDL'!D70</f>
        <v>657.72</v>
      </c>
      <c r="Y22" s="1450">
        <f>'E3 DIST INDL'!E70</f>
        <v>657.72</v>
      </c>
      <c r="Z22" s="1450">
        <f>'E3 DIST INDL'!F70</f>
        <v>657.72</v>
      </c>
      <c r="AA22" s="1450">
        <f>'E3 DIST INDL'!G70</f>
        <v>657.72</v>
      </c>
      <c r="AB22" s="1450">
        <f t="shared" si="1"/>
        <v>13483.259999999997</v>
      </c>
    </row>
    <row r="23" spans="1:28" s="1187" customFormat="1">
      <c r="A23" s="1197" t="s">
        <v>935</v>
      </c>
      <c r="B23" s="1450"/>
      <c r="C23" s="1450"/>
      <c r="D23" s="1450"/>
      <c r="E23" s="1450"/>
      <c r="F23" s="1450">
        <f>'E7 Reprog Inv Esg'!B43</f>
        <v>-2772</v>
      </c>
      <c r="G23" s="1450">
        <f>'E7 Reprog Inv Esg'!C43</f>
        <v>-2647.92</v>
      </c>
      <c r="H23" s="1450">
        <f>'E7 Reprog Inv Esg'!D43</f>
        <v>-11568.48</v>
      </c>
      <c r="I23" s="1450">
        <f>'E7 Reprog Inv Esg'!E43</f>
        <v>-15537.72</v>
      </c>
      <c r="J23" s="1450">
        <f>'E7 Reprog Inv Esg'!F43</f>
        <v>-460.68</v>
      </c>
      <c r="K23" s="1450">
        <f>'E7 Reprog Inv Esg'!G43</f>
        <v>0</v>
      </c>
      <c r="L23" s="1450">
        <f>'E7 Reprog Inv Esg'!H43</f>
        <v>14509.44</v>
      </c>
      <c r="M23" s="1450">
        <f>'E7 Reprog Inv Esg'!I43</f>
        <v>15705.36</v>
      </c>
      <c r="N23" s="1450">
        <f>'E7 Reprog Inv Esg'!B57</f>
        <v>2772</v>
      </c>
      <c r="O23" s="1450">
        <f>'E7 Reprog Inv Esg'!C57</f>
        <v>0</v>
      </c>
      <c r="P23" s="1450">
        <f>'E7 Reprog Inv Esg'!D57</f>
        <v>0</v>
      </c>
      <c r="Q23" s="1450">
        <f>'E7 Reprog Inv Esg'!E57</f>
        <v>0</v>
      </c>
      <c r="R23" s="1450">
        <f>'E7 Reprog Inv Esg'!F57</f>
        <v>0</v>
      </c>
      <c r="S23" s="1450">
        <f>'E7 Reprog Inv Esg'!G57</f>
        <v>0</v>
      </c>
      <c r="T23" s="1450">
        <f>'E7 Reprog Inv Esg'!H57</f>
        <v>0</v>
      </c>
      <c r="U23" s="1450">
        <f>'E7 Reprog Inv Esg'!I57</f>
        <v>0</v>
      </c>
      <c r="V23" s="1450">
        <f>'E7 Reprog Inv Esg'!B71</f>
        <v>0</v>
      </c>
      <c r="W23" s="1450">
        <f>'E7 Reprog Inv Esg'!C71</f>
        <v>0</v>
      </c>
      <c r="X23" s="1450">
        <f>'E7 Reprog Inv Esg'!D71</f>
        <v>0</v>
      </c>
      <c r="Y23" s="1450">
        <f>'E7 Reprog Inv Esg'!E71</f>
        <v>0</v>
      </c>
      <c r="Z23" s="1450">
        <f>'E7 Reprog Inv Esg'!F71</f>
        <v>0</v>
      </c>
      <c r="AA23" s="1450">
        <f>'E7 Reprog Inv Esg'!G71</f>
        <v>0</v>
      </c>
      <c r="AB23" s="1450">
        <f t="shared" si="1"/>
        <v>0</v>
      </c>
    </row>
    <row r="24" spans="1:28" s="1194" customFormat="1">
      <c r="A24" s="1199" t="s">
        <v>752</v>
      </c>
      <c r="B24" s="1246">
        <f>SUM(B25:B28)</f>
        <v>1721.5048213358968</v>
      </c>
      <c r="C24" s="1246">
        <f t="shared" ref="C24:AA24" si="6">SUM(C25:C28)</f>
        <v>1703.2182808670914</v>
      </c>
      <c r="D24" s="1246">
        <f t="shared" si="6"/>
        <v>1659.6808884406928</v>
      </c>
      <c r="E24" s="1246">
        <f t="shared" si="6"/>
        <v>1618.4349377210019</v>
      </c>
      <c r="F24" s="1246">
        <f t="shared" si="6"/>
        <v>-7543.2758360386779</v>
      </c>
      <c r="G24" s="1246">
        <f t="shared" si="6"/>
        <v>-216.8865751594949</v>
      </c>
      <c r="H24" s="1246">
        <f t="shared" si="6"/>
        <v>-30739.426799000983</v>
      </c>
      <c r="I24" s="1246">
        <f t="shared" si="6"/>
        <v>-43932.535609220875</v>
      </c>
      <c r="J24" s="1246">
        <f t="shared" si="6"/>
        <v>8956.9055805591088</v>
      </c>
      <c r="K24" s="1246">
        <f t="shared" si="6"/>
        <v>10571.506770339152</v>
      </c>
      <c r="L24" s="1246">
        <f t="shared" si="6"/>
        <v>61474.357960119312</v>
      </c>
      <c r="M24" s="1246">
        <f t="shared" si="6"/>
        <v>65661.850327953551</v>
      </c>
      <c r="N24" s="1246">
        <f t="shared" si="6"/>
        <v>20514.487660072456</v>
      </c>
      <c r="O24" s="1246">
        <f t="shared" si="6"/>
        <v>10814.294992191371</v>
      </c>
      <c r="P24" s="1246">
        <f t="shared" si="6"/>
        <v>10816.102324310286</v>
      </c>
      <c r="Q24" s="1246">
        <f t="shared" si="6"/>
        <v>10935.499656429201</v>
      </c>
      <c r="R24" s="1246">
        <f t="shared" si="6"/>
        <v>10937.722566828576</v>
      </c>
      <c r="S24" s="1246">
        <f t="shared" si="6"/>
        <v>11056.856222141487</v>
      </c>
      <c r="T24" s="1246">
        <f t="shared" si="6"/>
        <v>11058.399877454398</v>
      </c>
      <c r="U24" s="1246">
        <f t="shared" si="6"/>
        <v>11177.523532767194</v>
      </c>
      <c r="V24" s="1246">
        <f t="shared" si="6"/>
        <v>11179.067188080047</v>
      </c>
      <c r="W24" s="1246">
        <f t="shared" si="6"/>
        <v>11298.88009847948</v>
      </c>
      <c r="X24" s="1246">
        <f t="shared" si="6"/>
        <v>11418.088844219983</v>
      </c>
      <c r="Y24" s="1246">
        <f t="shared" si="6"/>
        <v>11537.335995483772</v>
      </c>
      <c r="Z24" s="1246">
        <f t="shared" si="6"/>
        <v>11539.068237175212</v>
      </c>
      <c r="AA24" s="1246">
        <f t="shared" si="6"/>
        <v>11657.599448448407</v>
      </c>
      <c r="AB24" s="1246">
        <f t="shared" si="1"/>
        <v>236876.26139199757</v>
      </c>
    </row>
    <row r="25" spans="1:28" s="1187" customFormat="1">
      <c r="A25" s="1197" t="s">
        <v>823</v>
      </c>
      <c r="B25" s="1450">
        <f t="array" ref="B25:AA25">TRANSPOSE('E1 9 R2 EE'!R8:R33)</f>
        <v>1721.5048213358968</v>
      </c>
      <c r="C25" s="1450">
        <v>1703.2182808670914</v>
      </c>
      <c r="D25" s="1450">
        <v>1659.6808884406928</v>
      </c>
      <c r="E25" s="1450">
        <v>1618.4349377210019</v>
      </c>
      <c r="F25" s="1450">
        <v>1579.304163961322</v>
      </c>
      <c r="G25" s="1450">
        <v>1542.2434248405043</v>
      </c>
      <c r="H25" s="1450">
        <v>1544.6532009990187</v>
      </c>
      <c r="I25" s="1450">
        <v>1546.8743907791213</v>
      </c>
      <c r="J25" s="1450">
        <v>1549.0955805591075</v>
      </c>
      <c r="K25" s="1450">
        <v>1551.3167703391518</v>
      </c>
      <c r="L25" s="1450">
        <v>1553.5379601193126</v>
      </c>
      <c r="M25" s="1450">
        <v>1555.3103279535426</v>
      </c>
      <c r="N25" s="1450">
        <v>1557.1176600724575</v>
      </c>
      <c r="O25" s="1450">
        <v>1558.9249921913724</v>
      </c>
      <c r="P25" s="1450">
        <v>1560.7323243102874</v>
      </c>
      <c r="Q25" s="1450">
        <v>1562.5396564292023</v>
      </c>
      <c r="R25" s="1450">
        <v>1564.7625668285764</v>
      </c>
      <c r="S25" s="1450">
        <v>1566.3062221414875</v>
      </c>
      <c r="T25" s="1450">
        <v>1567.8498774543987</v>
      </c>
      <c r="U25" s="1450">
        <v>1569.3935327671934</v>
      </c>
      <c r="V25" s="1450">
        <v>1570.9371880800463</v>
      </c>
      <c r="W25" s="1450">
        <v>1573.1600984794786</v>
      </c>
      <c r="X25" s="1450">
        <v>1574.7788442199817</v>
      </c>
      <c r="Y25" s="1450">
        <v>1576.435995483771</v>
      </c>
      <c r="Z25" s="1450">
        <v>1578.1682371752104</v>
      </c>
      <c r="AA25" s="1450">
        <v>1579.1094484484056</v>
      </c>
      <c r="AB25" s="1450">
        <f t="shared" si="1"/>
        <v>41085.391391997633</v>
      </c>
    </row>
    <row r="26" spans="1:28" s="1187" customFormat="1">
      <c r="A26" s="1197" t="s">
        <v>819</v>
      </c>
      <c r="B26" s="1450"/>
      <c r="C26" s="1450"/>
      <c r="D26" s="1450"/>
      <c r="E26" s="1450"/>
      <c r="F26" s="1450"/>
      <c r="G26" s="1450">
        <f>'E2 VALE PASSAROS'!B41</f>
        <v>6349.75</v>
      </c>
      <c r="H26" s="1450">
        <f>'E2 VALE PASSAROS'!C41</f>
        <v>6467.34</v>
      </c>
      <c r="I26" s="1450">
        <f>'E2 VALE PASSAROS'!D41</f>
        <v>6584.93</v>
      </c>
      <c r="J26" s="1450">
        <f>'E2 VALE PASSAROS'!E41</f>
        <v>6702.51</v>
      </c>
      <c r="K26" s="1450">
        <f>'E2 VALE PASSAROS'!F41</f>
        <v>6702.51</v>
      </c>
      <c r="L26" s="1450">
        <f>'E2 VALE PASSAROS'!G41</f>
        <v>6820.1</v>
      </c>
      <c r="M26" s="1450">
        <f>'E2 VALE PASSAROS'!H41</f>
        <v>6820.1</v>
      </c>
      <c r="N26" s="1450">
        <f>'E2 VALE PASSAROS'!B58</f>
        <v>6937.69</v>
      </c>
      <c r="O26" s="1450">
        <f>'E2 VALE PASSAROS'!C58</f>
        <v>6937.69</v>
      </c>
      <c r="P26" s="1450">
        <f>'E2 VALE PASSAROS'!D58</f>
        <v>6937.69</v>
      </c>
      <c r="Q26" s="1450">
        <f>'E2 VALE PASSAROS'!E58</f>
        <v>7055.28</v>
      </c>
      <c r="R26" s="1450">
        <f>'E2 VALE PASSAROS'!F58</f>
        <v>7055.28</v>
      </c>
      <c r="S26" s="1450">
        <f>'E2 VALE PASSAROS'!G58</f>
        <v>7172.87</v>
      </c>
      <c r="T26" s="1450">
        <f>'E2 VALE PASSAROS'!H58</f>
        <v>7172.87</v>
      </c>
      <c r="U26" s="1450">
        <f>'E2 VALE PASSAROS'!B75</f>
        <v>7290.45</v>
      </c>
      <c r="V26" s="1450">
        <f>'E2 VALE PASSAROS'!C75</f>
        <v>7290.45</v>
      </c>
      <c r="W26" s="1450">
        <f>'E2 VALE PASSAROS'!D75</f>
        <v>7408.04</v>
      </c>
      <c r="X26" s="1450">
        <f>'E2 VALE PASSAROS'!E75</f>
        <v>7525.63</v>
      </c>
      <c r="Y26" s="1450">
        <f>'E2 VALE PASSAROS'!F75</f>
        <v>7643.22</v>
      </c>
      <c r="Z26" s="1450">
        <f>'E2 VALE PASSAROS'!G75</f>
        <v>7643.22</v>
      </c>
      <c r="AA26" s="1450">
        <f>'E2 VALE PASSAROS'!H75</f>
        <v>7760.81</v>
      </c>
      <c r="AB26" s="1450">
        <f t="shared" si="1"/>
        <v>148278.42999999996</v>
      </c>
    </row>
    <row r="27" spans="1:28" s="1187" customFormat="1">
      <c r="A27" s="1197" t="s">
        <v>820</v>
      </c>
      <c r="B27" s="1450"/>
      <c r="C27" s="1450"/>
      <c r="D27" s="1450"/>
      <c r="E27" s="1450"/>
      <c r="F27" s="1450">
        <f>'E3 DIST INDL'!B41</f>
        <v>579.41999999999996</v>
      </c>
      <c r="G27" s="1450">
        <f>'E3 DIST INDL'!C41</f>
        <v>1158.8399999999999</v>
      </c>
      <c r="H27" s="1450">
        <f>'E3 DIST INDL'!D41</f>
        <v>1738.26</v>
      </c>
      <c r="I27" s="1450">
        <f>'E3 DIST INDL'!E41</f>
        <v>2317.6799999999998</v>
      </c>
      <c r="J27" s="1450">
        <f>'E3 DIST INDL'!F41</f>
        <v>2317.6799999999998</v>
      </c>
      <c r="K27" s="1450">
        <f>'E3 DIST INDL'!G41</f>
        <v>2317.6799999999998</v>
      </c>
      <c r="L27" s="1450">
        <f>'E3 DIST INDL'!H41</f>
        <v>2317.6799999999998</v>
      </c>
      <c r="M27" s="1450">
        <f>'E3 DIST INDL'!I41</f>
        <v>2317.6799999999998</v>
      </c>
      <c r="N27" s="1450">
        <f>'E3 DIST INDL'!B56</f>
        <v>2317.6799999999998</v>
      </c>
      <c r="O27" s="1450">
        <f>'E3 DIST INDL'!C56</f>
        <v>2317.6799999999998</v>
      </c>
      <c r="P27" s="1450">
        <f>'E3 DIST INDL'!D56</f>
        <v>2317.6799999999998</v>
      </c>
      <c r="Q27" s="1450">
        <f>'E3 DIST INDL'!E56</f>
        <v>2317.6799999999998</v>
      </c>
      <c r="R27" s="1450">
        <f>'E3 DIST INDL'!F56</f>
        <v>2317.6799999999998</v>
      </c>
      <c r="S27" s="1450">
        <f>'E3 DIST INDL'!G56</f>
        <v>2317.6799999999998</v>
      </c>
      <c r="T27" s="1450">
        <f>'E3 DIST INDL'!H56</f>
        <v>2317.6799999999998</v>
      </c>
      <c r="U27" s="1450">
        <f>'E3 DIST INDL'!I56</f>
        <v>2317.6799999999998</v>
      </c>
      <c r="V27" s="1450">
        <f>'E3 DIST INDL'!B71</f>
        <v>2317.6799999999998</v>
      </c>
      <c r="W27" s="1450">
        <f>'E3 DIST INDL'!C71</f>
        <v>2317.6799999999998</v>
      </c>
      <c r="X27" s="1450">
        <f>'E3 DIST INDL'!D71</f>
        <v>2317.6799999999998</v>
      </c>
      <c r="Y27" s="1450">
        <f>'E3 DIST INDL'!E71</f>
        <v>2317.6799999999998</v>
      </c>
      <c r="Z27" s="1450">
        <f>'E3 DIST INDL'!F71</f>
        <v>2317.6799999999998</v>
      </c>
      <c r="AA27" s="1450">
        <f>'E3 DIST INDL'!G71</f>
        <v>2317.6799999999998</v>
      </c>
      <c r="AB27" s="1450">
        <f t="shared" si="1"/>
        <v>47512.44</v>
      </c>
    </row>
    <row r="28" spans="1:28" s="1187" customFormat="1">
      <c r="A28" s="1197" t="s">
        <v>935</v>
      </c>
      <c r="B28" s="1450"/>
      <c r="C28" s="1450"/>
      <c r="D28" s="1450"/>
      <c r="E28" s="1450"/>
      <c r="F28" s="1450">
        <f>'E7 Reprog Inv Esg'!B44</f>
        <v>-9702</v>
      </c>
      <c r="G28" s="1450">
        <f>'E7 Reprog Inv Esg'!C44</f>
        <v>-9267.7199999999993</v>
      </c>
      <c r="H28" s="1450">
        <f>'E7 Reprog Inv Esg'!D44</f>
        <v>-40489.68</v>
      </c>
      <c r="I28" s="1450">
        <f>'E7 Reprog Inv Esg'!E44</f>
        <v>-54382.02</v>
      </c>
      <c r="J28" s="1450">
        <f>'E7 Reprog Inv Esg'!F44</f>
        <v>-1612.38</v>
      </c>
      <c r="K28" s="1450">
        <f>'E7 Reprog Inv Esg'!G44</f>
        <v>0</v>
      </c>
      <c r="L28" s="1450">
        <f>'E7 Reprog Inv Esg'!H44</f>
        <v>50783.040000000001</v>
      </c>
      <c r="M28" s="1450">
        <f>'E7 Reprog Inv Esg'!I44</f>
        <v>54968.76</v>
      </c>
      <c r="N28" s="1450">
        <f>'E7 Reprog Inv Esg'!B58</f>
        <v>9702</v>
      </c>
      <c r="O28" s="1450">
        <f>'E7 Reprog Inv Esg'!C58</f>
        <v>0</v>
      </c>
      <c r="P28" s="1450">
        <f>'E7 Reprog Inv Esg'!D58</f>
        <v>0</v>
      </c>
      <c r="Q28" s="1450">
        <f>'E7 Reprog Inv Esg'!E58</f>
        <v>0</v>
      </c>
      <c r="R28" s="1450">
        <f>'E7 Reprog Inv Esg'!F58</f>
        <v>0</v>
      </c>
      <c r="S28" s="1450">
        <f>'E7 Reprog Inv Esg'!G58</f>
        <v>0</v>
      </c>
      <c r="T28" s="1450">
        <f>'E7 Reprog Inv Esg'!H58</f>
        <v>0</v>
      </c>
      <c r="U28" s="1450">
        <f>'E7 Reprog Inv Esg'!I58</f>
        <v>0</v>
      </c>
      <c r="V28" s="1450">
        <f>'E7 Reprog Inv Esg'!B72</f>
        <v>0</v>
      </c>
      <c r="W28" s="1450">
        <f>'E7 Reprog Inv Esg'!C72</f>
        <v>0</v>
      </c>
      <c r="X28" s="1450">
        <f>'E7 Reprog Inv Esg'!D72</f>
        <v>0</v>
      </c>
      <c r="Y28" s="1450">
        <f>'E7 Reprog Inv Esg'!E72</f>
        <v>0</v>
      </c>
      <c r="Z28" s="1450">
        <f>'E7 Reprog Inv Esg'!F72</f>
        <v>0</v>
      </c>
      <c r="AA28" s="1450">
        <f>'E7 Reprog Inv Esg'!G72</f>
        <v>0</v>
      </c>
      <c r="AB28" s="1450">
        <f t="shared" si="1"/>
        <v>0</v>
      </c>
    </row>
    <row r="29" spans="1:28" s="1194" customFormat="1">
      <c r="A29" s="1199" t="s">
        <v>753</v>
      </c>
      <c r="B29" s="1246">
        <f>SUM(B30:B33)</f>
        <v>0</v>
      </c>
      <c r="C29" s="1246">
        <f t="shared" ref="C29:AA29" si="7">SUM(C30:C33)</f>
        <v>10330.357632353613</v>
      </c>
      <c r="D29" s="1246">
        <f t="shared" si="7"/>
        <v>22399.472644042617</v>
      </c>
      <c r="E29" s="1246">
        <f t="shared" si="7"/>
        <v>33334.746490757963</v>
      </c>
      <c r="F29" s="1246">
        <f t="shared" si="7"/>
        <v>19784.95</v>
      </c>
      <c r="G29" s="1246">
        <f t="shared" si="7"/>
        <v>20096.929999999997</v>
      </c>
      <c r="H29" s="1246">
        <f t="shared" si="7"/>
        <v>18932.240000000002</v>
      </c>
      <c r="I29" s="1246">
        <f t="shared" si="7"/>
        <v>18440.27</v>
      </c>
      <c r="J29" s="1246">
        <f t="shared" si="7"/>
        <v>20529.86</v>
      </c>
      <c r="K29" s="1246">
        <f t="shared" si="7"/>
        <v>20621.719999999998</v>
      </c>
      <c r="L29" s="1246">
        <f t="shared" si="7"/>
        <v>22633.9</v>
      </c>
      <c r="M29" s="1246">
        <f t="shared" si="7"/>
        <v>22820.16</v>
      </c>
      <c r="N29" s="1246">
        <f t="shared" si="7"/>
        <v>21084.73</v>
      </c>
      <c r="O29" s="1246">
        <f t="shared" si="7"/>
        <v>20730.359999999997</v>
      </c>
      <c r="P29" s="1246">
        <f t="shared" si="7"/>
        <v>20753.989999999998</v>
      </c>
      <c r="Q29" s="1246">
        <f t="shared" si="7"/>
        <v>20782.2</v>
      </c>
      <c r="R29" s="1246">
        <f t="shared" si="7"/>
        <v>20811.27</v>
      </c>
      <c r="S29" s="1246">
        <f t="shared" si="7"/>
        <v>20836.03</v>
      </c>
      <c r="T29" s="1246">
        <f t="shared" si="7"/>
        <v>20856.219999999998</v>
      </c>
      <c r="U29" s="1246">
        <f t="shared" si="7"/>
        <v>20880.98</v>
      </c>
      <c r="V29" s="1246">
        <f t="shared" si="7"/>
        <v>20901.170000000002</v>
      </c>
      <c r="W29" s="1246">
        <f t="shared" si="7"/>
        <v>20934.82</v>
      </c>
      <c r="X29" s="1246">
        <f t="shared" si="7"/>
        <v>20960.57</v>
      </c>
      <c r="Y29" s="1246">
        <f t="shared" si="7"/>
        <v>20986.82</v>
      </c>
      <c r="Z29" s="1246">
        <f t="shared" si="7"/>
        <v>21009.47</v>
      </c>
      <c r="AA29" s="1246">
        <f t="shared" si="7"/>
        <v>21026.35</v>
      </c>
      <c r="AB29" s="1246">
        <f t="shared" si="1"/>
        <v>522479.58676715405</v>
      </c>
    </row>
    <row r="30" spans="1:28" s="1187" customFormat="1">
      <c r="A30" s="1197" t="s">
        <v>819</v>
      </c>
      <c r="B30" s="1450"/>
      <c r="C30" s="1450"/>
      <c r="D30" s="1450"/>
      <c r="E30" s="1450"/>
      <c r="F30" s="1450"/>
      <c r="G30" s="1450">
        <f>'E2 VALE PASSAROS'!B42</f>
        <v>247.39</v>
      </c>
      <c r="H30" s="1450">
        <f>'E2 VALE PASSAROS'!C42</f>
        <v>251.97</v>
      </c>
      <c r="I30" s="1450">
        <f>'E2 VALE PASSAROS'!D42</f>
        <v>256.56</v>
      </c>
      <c r="J30" s="1450">
        <f>'E2 VALE PASSAROS'!E42</f>
        <v>261.14</v>
      </c>
      <c r="K30" s="1450">
        <f>'E2 VALE PASSAROS'!F42</f>
        <v>261.14</v>
      </c>
      <c r="L30" s="1450">
        <f>'E2 VALE PASSAROS'!G42</f>
        <v>265.72000000000003</v>
      </c>
      <c r="M30" s="1450">
        <f>'E2 VALE PASSAROS'!H42</f>
        <v>265.72000000000003</v>
      </c>
      <c r="N30" s="1450">
        <f>'E2 VALE PASSAROS'!B59</f>
        <v>270.3</v>
      </c>
      <c r="O30" s="1450">
        <f>'E2 VALE PASSAROS'!C59</f>
        <v>270.3</v>
      </c>
      <c r="P30" s="1450">
        <f>'E2 VALE PASSAROS'!D59</f>
        <v>270.3</v>
      </c>
      <c r="Q30" s="1450">
        <f>'E2 VALE PASSAROS'!E59</f>
        <v>274.88</v>
      </c>
      <c r="R30" s="1450">
        <f>'E2 VALE PASSAROS'!F59</f>
        <v>274.88</v>
      </c>
      <c r="S30" s="1450">
        <f>'E2 VALE PASSAROS'!G59</f>
        <v>279.45999999999998</v>
      </c>
      <c r="T30" s="1450">
        <f>'E2 VALE PASSAROS'!H59</f>
        <v>279.45999999999998</v>
      </c>
      <c r="U30" s="1450">
        <f>'E2 VALE PASSAROS'!B76</f>
        <v>284.04000000000002</v>
      </c>
      <c r="V30" s="1450">
        <f>'E2 VALE PASSAROS'!C76</f>
        <v>284.04000000000002</v>
      </c>
      <c r="W30" s="1450">
        <f>'E2 VALE PASSAROS'!D76</f>
        <v>288.63</v>
      </c>
      <c r="X30" s="1450">
        <f>'E2 VALE PASSAROS'!E76</f>
        <v>293.20999999999998</v>
      </c>
      <c r="Y30" s="1450">
        <f>'E2 VALE PASSAROS'!F76</f>
        <v>297.79000000000002</v>
      </c>
      <c r="Z30" s="1450">
        <f>'E2 VALE PASSAROS'!G76</f>
        <v>297.79000000000002</v>
      </c>
      <c r="AA30" s="1450">
        <f>'E2 VALE PASSAROS'!H76</f>
        <v>302.37</v>
      </c>
      <c r="AB30" s="1450">
        <f t="shared" si="1"/>
        <v>5777.0900000000011</v>
      </c>
    </row>
    <row r="31" spans="1:28" s="1187" customFormat="1">
      <c r="A31" s="1197" t="s">
        <v>820</v>
      </c>
      <c r="B31" s="1450"/>
      <c r="C31" s="1450"/>
      <c r="D31" s="1450"/>
      <c r="E31" s="1450"/>
      <c r="F31" s="1450">
        <f>'E3 DIST INDL'!B42</f>
        <v>15.66</v>
      </c>
      <c r="G31" s="1450">
        <f>'E3 DIST INDL'!C42</f>
        <v>31.32</v>
      </c>
      <c r="H31" s="1450">
        <f>'E3 DIST INDL'!D42</f>
        <v>46.98</v>
      </c>
      <c r="I31" s="1450">
        <f>'E3 DIST INDL'!E42</f>
        <v>62.64</v>
      </c>
      <c r="J31" s="1450">
        <f>'E3 DIST INDL'!F42</f>
        <v>62.64</v>
      </c>
      <c r="K31" s="1450">
        <f>'E3 DIST INDL'!G42</f>
        <v>62.64</v>
      </c>
      <c r="L31" s="1450">
        <f>'E3 DIST INDL'!H42</f>
        <v>62.64</v>
      </c>
      <c r="M31" s="1450">
        <f>'E3 DIST INDL'!I42</f>
        <v>62.64</v>
      </c>
      <c r="N31" s="1450">
        <f>'E3 DIST INDL'!B57</f>
        <v>62.64</v>
      </c>
      <c r="O31" s="1450">
        <f>'E3 DIST INDL'!C57</f>
        <v>62.64</v>
      </c>
      <c r="P31" s="1450">
        <f>'E3 DIST INDL'!D57</f>
        <v>62.64</v>
      </c>
      <c r="Q31" s="1450">
        <f>'E3 DIST INDL'!E57</f>
        <v>62.64</v>
      </c>
      <c r="R31" s="1450">
        <f>'E3 DIST INDL'!F57</f>
        <v>62.64</v>
      </c>
      <c r="S31" s="1450">
        <f>'E3 DIST INDL'!G57</f>
        <v>62.64</v>
      </c>
      <c r="T31" s="1450">
        <f>'E3 DIST INDL'!H57</f>
        <v>62.64</v>
      </c>
      <c r="U31" s="1450">
        <f>'E3 DIST INDL'!I57</f>
        <v>62.64</v>
      </c>
      <c r="V31" s="1450">
        <f>'E3 DIST INDL'!B72</f>
        <v>62.64</v>
      </c>
      <c r="W31" s="1450">
        <f>'E3 DIST INDL'!C72</f>
        <v>62.64</v>
      </c>
      <c r="X31" s="1450">
        <f>'E3 DIST INDL'!D72</f>
        <v>62.64</v>
      </c>
      <c r="Y31" s="1450">
        <f>'E3 DIST INDL'!E72</f>
        <v>62.64</v>
      </c>
      <c r="Z31" s="1450">
        <f>'E3 DIST INDL'!F72</f>
        <v>62.64</v>
      </c>
      <c r="AA31" s="1450">
        <f>'E3 DIST INDL'!G72</f>
        <v>62.64</v>
      </c>
      <c r="AB31" s="1450">
        <f t="shared" si="1"/>
        <v>1284.1200000000003</v>
      </c>
    </row>
    <row r="32" spans="1:28" s="1187" customFormat="1">
      <c r="A32" s="1197" t="s">
        <v>821</v>
      </c>
      <c r="B32" s="1450">
        <f>'E4 CLORO'!B38</f>
        <v>0</v>
      </c>
      <c r="C32" s="1450">
        <f>'E4 CLORO'!C38</f>
        <v>10330.357632353613</v>
      </c>
      <c r="D32" s="1450">
        <f>'E4 CLORO'!D38</f>
        <v>22399.472644042617</v>
      </c>
      <c r="E32" s="1450">
        <f>'E4 CLORO'!E38</f>
        <v>33334.746490757963</v>
      </c>
      <c r="F32" s="1450">
        <f>'E4 CLORO'!F38</f>
        <v>20147.29</v>
      </c>
      <c r="G32" s="1450">
        <f>'E4 CLORO'!G38</f>
        <v>20179.3</v>
      </c>
      <c r="H32" s="1450">
        <f>'E4 CLORO'!H38</f>
        <v>20210.810000000001</v>
      </c>
      <c r="I32" s="1450">
        <f>'E4 CLORO'!I38</f>
        <v>20239.849999999999</v>
      </c>
      <c r="J32" s="1450">
        <f>'E4 CLORO'!J38</f>
        <v>20268.900000000001</v>
      </c>
      <c r="K32" s="1450">
        <f>'E4 CLORO'!K38</f>
        <v>20297.939999999999</v>
      </c>
      <c r="L32" s="1450">
        <f>'E4 CLORO'!L38</f>
        <v>20326.98</v>
      </c>
      <c r="M32" s="1450">
        <f>'E4 CLORO'!M38</f>
        <v>20350.16</v>
      </c>
      <c r="N32" s="1450">
        <f>'E4 CLORO'!N38</f>
        <v>20373.79</v>
      </c>
      <c r="O32" s="1450">
        <f>'E4 CLORO'!O38</f>
        <v>20397.419999999998</v>
      </c>
      <c r="P32" s="1450">
        <f>'E4 CLORO'!P38</f>
        <v>20421.05</v>
      </c>
      <c r="Q32" s="1450">
        <f>'E4 CLORO'!Q38</f>
        <v>20444.68</v>
      </c>
      <c r="R32" s="1450">
        <f>'E4 CLORO'!R38</f>
        <v>20473.75</v>
      </c>
      <c r="S32" s="1450">
        <f>'E4 CLORO'!S38</f>
        <v>20493.93</v>
      </c>
      <c r="T32" s="1450">
        <f>'E4 CLORO'!T38</f>
        <v>20514.12</v>
      </c>
      <c r="U32" s="1450">
        <f>'E4 CLORO'!U38</f>
        <v>20534.3</v>
      </c>
      <c r="V32" s="1450">
        <f>'E4 CLORO'!V38</f>
        <v>20554.490000000002</v>
      </c>
      <c r="W32" s="1450">
        <f>'E4 CLORO'!W38</f>
        <v>20583.55</v>
      </c>
      <c r="X32" s="1450">
        <f>'E4 CLORO'!X38</f>
        <v>20604.72</v>
      </c>
      <c r="Y32" s="1450">
        <f>'E4 CLORO'!Y38</f>
        <v>20626.39</v>
      </c>
      <c r="Z32" s="1450">
        <f>'E4 CLORO'!Z38</f>
        <v>20649.04</v>
      </c>
      <c r="AA32" s="1450">
        <f>'E4 CLORO'!AA38</f>
        <v>20661.34</v>
      </c>
      <c r="AB32" s="1450">
        <f t="shared" si="1"/>
        <v>515418.3767671542</v>
      </c>
    </row>
    <row r="33" spans="1:28" s="1187" customFormat="1">
      <c r="A33" s="1197" t="s">
        <v>935</v>
      </c>
      <c r="B33" s="1450"/>
      <c r="C33" s="1450"/>
      <c r="D33" s="1450"/>
      <c r="E33" s="1450"/>
      <c r="F33" s="1450">
        <f>'E7 Reprog Inv Esg'!B45</f>
        <v>-378</v>
      </c>
      <c r="G33" s="1450">
        <f>'E7 Reprog Inv Esg'!C45</f>
        <v>-361.08</v>
      </c>
      <c r="H33" s="1450">
        <f>'E7 Reprog Inv Esg'!D45</f>
        <v>-1577.52</v>
      </c>
      <c r="I33" s="1450">
        <f>'E7 Reprog Inv Esg'!E45</f>
        <v>-2118.7800000000002</v>
      </c>
      <c r="J33" s="1450">
        <f>'E7 Reprog Inv Esg'!F45</f>
        <v>-62.82</v>
      </c>
      <c r="K33" s="1450">
        <f>'E7 Reprog Inv Esg'!G45</f>
        <v>0</v>
      </c>
      <c r="L33" s="1450">
        <f>'E7 Reprog Inv Esg'!H45</f>
        <v>1978.56</v>
      </c>
      <c r="M33" s="1450">
        <f>'E7 Reprog Inv Esg'!I45</f>
        <v>2141.64</v>
      </c>
      <c r="N33" s="1450">
        <f>'E7 Reprog Inv Esg'!B59</f>
        <v>378</v>
      </c>
      <c r="O33" s="1450">
        <f>'E7 Reprog Inv Esg'!C59</f>
        <v>0</v>
      </c>
      <c r="P33" s="1450">
        <f>'E7 Reprog Inv Esg'!D59</f>
        <v>0</v>
      </c>
      <c r="Q33" s="1450">
        <f>'E7 Reprog Inv Esg'!E59</f>
        <v>0</v>
      </c>
      <c r="R33" s="1450">
        <f>'E7 Reprog Inv Esg'!F59</f>
        <v>0</v>
      </c>
      <c r="S33" s="1450">
        <f>'E7 Reprog Inv Esg'!G59</f>
        <v>0</v>
      </c>
      <c r="T33" s="1450">
        <f>'E7 Reprog Inv Esg'!H59</f>
        <v>0</v>
      </c>
      <c r="U33" s="1450">
        <f>'E7 Reprog Inv Esg'!I59</f>
        <v>0</v>
      </c>
      <c r="V33" s="1450">
        <f>'E7 Reprog Inv Esg'!B73</f>
        <v>0</v>
      </c>
      <c r="W33" s="1450">
        <f>'E7 Reprog Inv Esg'!C73</f>
        <v>0</v>
      </c>
      <c r="X33" s="1450">
        <f>'E7 Reprog Inv Esg'!D73</f>
        <v>0</v>
      </c>
      <c r="Y33" s="1450">
        <f>'E7 Reprog Inv Esg'!E73</f>
        <v>0</v>
      </c>
      <c r="Z33" s="1450">
        <f>'E7 Reprog Inv Esg'!F73</f>
        <v>0</v>
      </c>
      <c r="AA33" s="1450">
        <f>'E7 Reprog Inv Esg'!G73</f>
        <v>0</v>
      </c>
      <c r="AB33" s="1450">
        <f t="shared" si="1"/>
        <v>0</v>
      </c>
    </row>
    <row r="34" spans="1:28" s="1194" customFormat="1">
      <c r="A34" s="1199" t="s">
        <v>755</v>
      </c>
      <c r="B34" s="1246">
        <f>SUM(B35:B37)</f>
        <v>0</v>
      </c>
      <c r="C34" s="1246">
        <f t="shared" ref="C34:AA34" si="8">SUM(C35:C37)</f>
        <v>0</v>
      </c>
      <c r="D34" s="1246">
        <f t="shared" si="8"/>
        <v>0</v>
      </c>
      <c r="E34" s="1246">
        <f t="shared" si="8"/>
        <v>0</v>
      </c>
      <c r="F34" s="1246">
        <f t="shared" si="8"/>
        <v>-10193.94</v>
      </c>
      <c r="G34" s="1246">
        <f t="shared" si="8"/>
        <v>-1974.9099999999999</v>
      </c>
      <c r="H34" s="1246">
        <f t="shared" si="8"/>
        <v>-36072.799999999996</v>
      </c>
      <c r="I34" s="1246">
        <f t="shared" si="8"/>
        <v>-50815.53</v>
      </c>
      <c r="J34" s="1246">
        <f t="shared" si="8"/>
        <v>8253.32</v>
      </c>
      <c r="K34" s="1246">
        <f t="shared" si="8"/>
        <v>10054.16</v>
      </c>
      <c r="L34" s="1246">
        <f t="shared" si="8"/>
        <v>66904.22</v>
      </c>
      <c r="M34" s="1246">
        <f t="shared" si="8"/>
        <v>71579.179999999993</v>
      </c>
      <c r="N34" s="1246">
        <f t="shared" si="8"/>
        <v>21152.83</v>
      </c>
      <c r="O34" s="1246">
        <f t="shared" si="8"/>
        <v>10316.83</v>
      </c>
      <c r="P34" s="1246">
        <f t="shared" si="8"/>
        <v>10316.83</v>
      </c>
      <c r="Q34" s="1246">
        <f t="shared" si="8"/>
        <v>10448.16</v>
      </c>
      <c r="R34" s="1246">
        <f t="shared" si="8"/>
        <v>10448.16</v>
      </c>
      <c r="S34" s="1246">
        <f t="shared" si="8"/>
        <v>10579.49</v>
      </c>
      <c r="T34" s="1246">
        <f t="shared" si="8"/>
        <v>10579.49</v>
      </c>
      <c r="U34" s="1246">
        <f t="shared" si="8"/>
        <v>10710.82</v>
      </c>
      <c r="V34" s="1246">
        <f t="shared" si="8"/>
        <v>10710.82</v>
      </c>
      <c r="W34" s="1246">
        <f t="shared" si="8"/>
        <v>10842.16</v>
      </c>
      <c r="X34" s="1246">
        <f t="shared" si="8"/>
        <v>10973.49</v>
      </c>
      <c r="Y34" s="1246">
        <f t="shared" si="8"/>
        <v>11104.82</v>
      </c>
      <c r="Z34" s="1246">
        <f t="shared" si="8"/>
        <v>11104.82</v>
      </c>
      <c r="AA34" s="1246">
        <f t="shared" si="8"/>
        <v>11236.15</v>
      </c>
      <c r="AB34" s="1246">
        <f t="shared" si="1"/>
        <v>218258.57000000004</v>
      </c>
    </row>
    <row r="35" spans="1:28" s="1187" customFormat="1">
      <c r="A35" s="1197" t="s">
        <v>819</v>
      </c>
      <c r="B35" s="1450"/>
      <c r="C35" s="1450"/>
      <c r="D35" s="1450"/>
      <c r="E35" s="1450"/>
      <c r="F35" s="1450"/>
      <c r="G35" s="1450">
        <f>'E2 VALE PASSAROS'!B43</f>
        <v>7091.93</v>
      </c>
      <c r="H35" s="1450">
        <f>'E2 VALE PASSAROS'!C43</f>
        <v>7223.26</v>
      </c>
      <c r="I35" s="1450">
        <f>'E2 VALE PASSAROS'!D43</f>
        <v>7354.59</v>
      </c>
      <c r="J35" s="1450">
        <f>'E2 VALE PASSAROS'!E43</f>
        <v>7485.92</v>
      </c>
      <c r="K35" s="1450">
        <f>'E2 VALE PASSAROS'!F43</f>
        <v>7485.92</v>
      </c>
      <c r="L35" s="1450">
        <f>'E2 VALE PASSAROS'!G43</f>
        <v>7617.26</v>
      </c>
      <c r="M35" s="1450">
        <f>'E2 VALE PASSAROS'!H43</f>
        <v>7617.26</v>
      </c>
      <c r="N35" s="1450">
        <f>'E2 VALE PASSAROS'!B60</f>
        <v>7748.59</v>
      </c>
      <c r="O35" s="1450">
        <f>'E2 VALE PASSAROS'!C60</f>
        <v>7748.59</v>
      </c>
      <c r="P35" s="1450">
        <f>'E2 VALE PASSAROS'!D60</f>
        <v>7748.59</v>
      </c>
      <c r="Q35" s="1450">
        <f>'E2 VALE PASSAROS'!E60</f>
        <v>7879.92</v>
      </c>
      <c r="R35" s="1450">
        <f>'E2 VALE PASSAROS'!F60</f>
        <v>7879.92</v>
      </c>
      <c r="S35" s="1450">
        <f>'E2 VALE PASSAROS'!G60</f>
        <v>8011.25</v>
      </c>
      <c r="T35" s="1450">
        <f>'E2 VALE PASSAROS'!H60</f>
        <v>8011.25</v>
      </c>
      <c r="U35" s="1450">
        <f>'E2 VALE PASSAROS'!B77</f>
        <v>8142.58</v>
      </c>
      <c r="V35" s="1450">
        <f>'E2 VALE PASSAROS'!C77</f>
        <v>8142.58</v>
      </c>
      <c r="W35" s="1450">
        <f>'E2 VALE PASSAROS'!D77</f>
        <v>8273.92</v>
      </c>
      <c r="X35" s="1450">
        <f>'E2 VALE PASSAROS'!E77</f>
        <v>8405.25</v>
      </c>
      <c r="Y35" s="1450">
        <f>'E2 VALE PASSAROS'!F77</f>
        <v>8536.58</v>
      </c>
      <c r="Z35" s="1450">
        <f>'E2 VALE PASSAROS'!G77</f>
        <v>8536.58</v>
      </c>
      <c r="AA35" s="1450">
        <f>'E2 VALE PASSAROS'!H77</f>
        <v>8667.91</v>
      </c>
      <c r="AB35" s="1450">
        <f t="shared" si="1"/>
        <v>165609.64999999997</v>
      </c>
    </row>
    <row r="36" spans="1:28" s="1187" customFormat="1">
      <c r="A36" s="1197" t="s">
        <v>820</v>
      </c>
      <c r="B36" s="1450"/>
      <c r="C36" s="1450"/>
      <c r="D36" s="1450"/>
      <c r="E36" s="1450"/>
      <c r="F36" s="1450">
        <f>'E3 DIST INDL'!B43</f>
        <v>642.05999999999995</v>
      </c>
      <c r="G36" s="1450">
        <f>'E3 DIST INDL'!C43</f>
        <v>1284.1199999999999</v>
      </c>
      <c r="H36" s="1450">
        <f>'E3 DIST INDL'!D43</f>
        <v>1926.18</v>
      </c>
      <c r="I36" s="1450">
        <f>'E3 DIST INDL'!E43</f>
        <v>2568.2399999999998</v>
      </c>
      <c r="J36" s="1450">
        <f>'E3 DIST INDL'!F43</f>
        <v>2568.2399999999998</v>
      </c>
      <c r="K36" s="1450">
        <f>'E3 DIST INDL'!G43</f>
        <v>2568.2399999999998</v>
      </c>
      <c r="L36" s="1450">
        <f>'E3 DIST INDL'!H43</f>
        <v>2568.2399999999998</v>
      </c>
      <c r="M36" s="1450">
        <f>'E3 DIST INDL'!I43</f>
        <v>2568.2399999999998</v>
      </c>
      <c r="N36" s="1450">
        <f>'E3 DIST INDL'!B58</f>
        <v>2568.2399999999998</v>
      </c>
      <c r="O36" s="1450">
        <f>'E3 DIST INDL'!C58</f>
        <v>2568.2399999999998</v>
      </c>
      <c r="P36" s="1450">
        <f>'E3 DIST INDL'!D58</f>
        <v>2568.2399999999998</v>
      </c>
      <c r="Q36" s="1450">
        <f>'E3 DIST INDL'!E58</f>
        <v>2568.2399999999998</v>
      </c>
      <c r="R36" s="1450">
        <f>'E3 DIST INDL'!F58</f>
        <v>2568.2399999999998</v>
      </c>
      <c r="S36" s="1450">
        <f>'E3 DIST INDL'!G58</f>
        <v>2568.2399999999998</v>
      </c>
      <c r="T36" s="1450">
        <f>'E3 DIST INDL'!H58</f>
        <v>2568.2399999999998</v>
      </c>
      <c r="U36" s="1450">
        <f>'E3 DIST INDL'!I58</f>
        <v>2568.2399999999998</v>
      </c>
      <c r="V36" s="1450">
        <f>'E3 DIST INDL'!B73</f>
        <v>2568.2399999999998</v>
      </c>
      <c r="W36" s="1450">
        <f>'E3 DIST INDL'!C73</f>
        <v>2568.2399999999998</v>
      </c>
      <c r="X36" s="1450">
        <f>'E3 DIST INDL'!D73</f>
        <v>2568.2399999999998</v>
      </c>
      <c r="Y36" s="1450">
        <f>'E3 DIST INDL'!E73</f>
        <v>2568.2399999999998</v>
      </c>
      <c r="Z36" s="1450">
        <f>'E3 DIST INDL'!F73</f>
        <v>2568.2399999999998</v>
      </c>
      <c r="AA36" s="1450">
        <f>'E3 DIST INDL'!G73</f>
        <v>2568.2399999999998</v>
      </c>
      <c r="AB36" s="1450">
        <f t="shared" si="1"/>
        <v>52648.919999999969</v>
      </c>
    </row>
    <row r="37" spans="1:28" s="1187" customFormat="1">
      <c r="A37" s="1197" t="s">
        <v>935</v>
      </c>
      <c r="B37" s="1450"/>
      <c r="C37" s="1450"/>
      <c r="D37" s="1450"/>
      <c r="E37" s="1450"/>
      <c r="F37" s="1450">
        <f>'E7 Reprog Inv Esg'!B46</f>
        <v>-10836</v>
      </c>
      <c r="G37" s="1450">
        <f>'E7 Reprog Inv Esg'!C46</f>
        <v>-10350.959999999999</v>
      </c>
      <c r="H37" s="1450">
        <f>'E7 Reprog Inv Esg'!D46</f>
        <v>-45222.239999999998</v>
      </c>
      <c r="I37" s="1450">
        <f>'E7 Reprog Inv Esg'!E46</f>
        <v>-60738.36</v>
      </c>
      <c r="J37" s="1450">
        <f>'E7 Reprog Inv Esg'!F46</f>
        <v>-1800.84</v>
      </c>
      <c r="K37" s="1450">
        <f>'E7 Reprog Inv Esg'!G46</f>
        <v>0</v>
      </c>
      <c r="L37" s="1450">
        <f>'E7 Reprog Inv Esg'!H46</f>
        <v>56718.720000000001</v>
      </c>
      <c r="M37" s="1450">
        <f>'E7 Reprog Inv Esg'!I46</f>
        <v>61393.68</v>
      </c>
      <c r="N37" s="1450">
        <f>'E7 Reprog Inv Esg'!B60</f>
        <v>10836</v>
      </c>
      <c r="O37" s="1450">
        <f>'E7 Reprog Inv Esg'!C60</f>
        <v>0</v>
      </c>
      <c r="P37" s="1450">
        <f>'E7 Reprog Inv Esg'!D60</f>
        <v>0</v>
      </c>
      <c r="Q37" s="1450">
        <f>'E7 Reprog Inv Esg'!E60</f>
        <v>0</v>
      </c>
      <c r="R37" s="1450">
        <f>'E7 Reprog Inv Esg'!F60</f>
        <v>0</v>
      </c>
      <c r="S37" s="1450">
        <f>'E7 Reprog Inv Esg'!G60</f>
        <v>0</v>
      </c>
      <c r="T37" s="1450">
        <f>'E7 Reprog Inv Esg'!H60</f>
        <v>0</v>
      </c>
      <c r="U37" s="1450">
        <f>'E7 Reprog Inv Esg'!I60</f>
        <v>0</v>
      </c>
      <c r="V37" s="1450">
        <f>'E7 Reprog Inv Esg'!B74</f>
        <v>0</v>
      </c>
      <c r="W37" s="1450">
        <f>'E7 Reprog Inv Esg'!C74</f>
        <v>0</v>
      </c>
      <c r="X37" s="1450">
        <f>'E7 Reprog Inv Esg'!D74</f>
        <v>0</v>
      </c>
      <c r="Y37" s="1450">
        <f>'E7 Reprog Inv Esg'!E74</f>
        <v>0</v>
      </c>
      <c r="Z37" s="1450">
        <f>'E7 Reprog Inv Esg'!F74</f>
        <v>0</v>
      </c>
      <c r="AA37" s="1450">
        <f>'E7 Reprog Inv Esg'!G74</f>
        <v>0</v>
      </c>
      <c r="AB37" s="1450">
        <f t="shared" si="1"/>
        <v>7.2759576141834259E-12</v>
      </c>
    </row>
    <row r="38" spans="1:28" s="1194" customFormat="1">
      <c r="A38" s="1199" t="s">
        <v>754</v>
      </c>
      <c r="B38" s="1246">
        <f>SUM(B39:B41)</f>
        <v>0</v>
      </c>
      <c r="C38" s="1246">
        <f t="shared" ref="C38:AA38" si="9">SUM(C39:C41)</f>
        <v>0</v>
      </c>
      <c r="D38" s="1246">
        <f t="shared" si="9"/>
        <v>0</v>
      </c>
      <c r="E38" s="1246">
        <f t="shared" si="9"/>
        <v>0</v>
      </c>
      <c r="F38" s="1246">
        <f t="shared" si="9"/>
        <v>-7468.2</v>
      </c>
      <c r="G38" s="1246">
        <f t="shared" si="9"/>
        <v>-1447.83</v>
      </c>
      <c r="H38" s="1246">
        <f t="shared" si="9"/>
        <v>-26427.059999999998</v>
      </c>
      <c r="I38" s="1246">
        <f t="shared" si="9"/>
        <v>-37227.509999999995</v>
      </c>
      <c r="J38" s="1246">
        <f t="shared" si="9"/>
        <v>6043.86</v>
      </c>
      <c r="K38" s="1246">
        <f t="shared" si="9"/>
        <v>7363.08</v>
      </c>
      <c r="L38" s="1246">
        <f t="shared" si="9"/>
        <v>49009.04</v>
      </c>
      <c r="M38" s="1246">
        <f t="shared" si="9"/>
        <v>52433.72</v>
      </c>
      <c r="N38" s="1246">
        <f t="shared" si="9"/>
        <v>15493.49</v>
      </c>
      <c r="O38" s="1246">
        <f t="shared" si="9"/>
        <v>7555.49</v>
      </c>
      <c r="P38" s="1246">
        <f t="shared" si="9"/>
        <v>7555.49</v>
      </c>
      <c r="Q38" s="1246">
        <f t="shared" si="9"/>
        <v>7651.7</v>
      </c>
      <c r="R38" s="1246">
        <f t="shared" si="9"/>
        <v>7651.7</v>
      </c>
      <c r="S38" s="1246">
        <f t="shared" si="9"/>
        <v>7747.91</v>
      </c>
      <c r="T38" s="1246">
        <f t="shared" si="9"/>
        <v>7747.91</v>
      </c>
      <c r="U38" s="1246">
        <f t="shared" si="9"/>
        <v>7844.12</v>
      </c>
      <c r="V38" s="1246">
        <f t="shared" si="9"/>
        <v>7844.12</v>
      </c>
      <c r="W38" s="1246">
        <f t="shared" si="9"/>
        <v>7940.33</v>
      </c>
      <c r="X38" s="1246">
        <f t="shared" si="9"/>
        <v>8036.53</v>
      </c>
      <c r="Y38" s="1246">
        <f t="shared" si="9"/>
        <v>8132.74</v>
      </c>
      <c r="Z38" s="1246">
        <f t="shared" si="9"/>
        <v>8132.74</v>
      </c>
      <c r="AA38" s="1246">
        <f t="shared" si="9"/>
        <v>8228.9500000000007</v>
      </c>
      <c r="AB38" s="1246">
        <f t="shared" si="1"/>
        <v>159842.32</v>
      </c>
    </row>
    <row r="39" spans="1:28" s="1187" customFormat="1">
      <c r="A39" s="1197" t="s">
        <v>819</v>
      </c>
      <c r="B39" s="1450"/>
      <c r="C39" s="1450"/>
      <c r="D39" s="1450"/>
      <c r="E39" s="1450"/>
      <c r="F39" s="1450"/>
      <c r="G39" s="1450">
        <f>'E2 VALE PASSAROS'!B44</f>
        <v>5195.25</v>
      </c>
      <c r="H39" s="1450">
        <f>'E2 VALE PASSAROS'!C44</f>
        <v>5291.46</v>
      </c>
      <c r="I39" s="1450">
        <f>'E2 VALE PASSAROS'!D44</f>
        <v>5387.67</v>
      </c>
      <c r="J39" s="1450">
        <f>'E2 VALE PASSAROS'!E44</f>
        <v>5483.88</v>
      </c>
      <c r="K39" s="1450">
        <f>'E2 VALE PASSAROS'!F44</f>
        <v>5483.88</v>
      </c>
      <c r="L39" s="1450">
        <f>'E2 VALE PASSAROS'!G44</f>
        <v>5580.08</v>
      </c>
      <c r="M39" s="1450">
        <f>'E2 VALE PASSAROS'!H44</f>
        <v>5580.08</v>
      </c>
      <c r="N39" s="1450">
        <f>'E2 VALE PASSAROS'!B61</f>
        <v>5676.29</v>
      </c>
      <c r="O39" s="1450">
        <f>'E2 VALE PASSAROS'!C61</f>
        <v>5676.29</v>
      </c>
      <c r="P39" s="1450">
        <f>'E2 VALE PASSAROS'!D61</f>
        <v>5676.29</v>
      </c>
      <c r="Q39" s="1450">
        <f>'E2 VALE PASSAROS'!E61</f>
        <v>5772.5</v>
      </c>
      <c r="R39" s="1450">
        <f>'E2 VALE PASSAROS'!F61</f>
        <v>5772.5</v>
      </c>
      <c r="S39" s="1450">
        <f>'E2 VALE PASSAROS'!G61</f>
        <v>5868.71</v>
      </c>
      <c r="T39" s="1450">
        <f>'E2 VALE PASSAROS'!H61</f>
        <v>5868.71</v>
      </c>
      <c r="U39" s="1450">
        <f>'E2 VALE PASSAROS'!B78</f>
        <v>5964.92</v>
      </c>
      <c r="V39" s="1450">
        <f>'E2 VALE PASSAROS'!C78</f>
        <v>5964.92</v>
      </c>
      <c r="W39" s="1450">
        <f>'E2 VALE PASSAROS'!D78</f>
        <v>6061.13</v>
      </c>
      <c r="X39" s="1450">
        <f>'E2 VALE PASSAROS'!E78</f>
        <v>6157.33</v>
      </c>
      <c r="Y39" s="1450">
        <f>'E2 VALE PASSAROS'!F78</f>
        <v>6253.54</v>
      </c>
      <c r="Z39" s="1450">
        <f>'E2 VALE PASSAROS'!G78</f>
        <v>6253.54</v>
      </c>
      <c r="AA39" s="1450">
        <f>'E2 VALE PASSAROS'!H78</f>
        <v>6349.75</v>
      </c>
      <c r="AB39" s="1450">
        <f t="shared" si="1"/>
        <v>121318.72000000002</v>
      </c>
    </row>
    <row r="40" spans="1:28" s="1187" customFormat="1">
      <c r="A40" s="1197" t="s">
        <v>820</v>
      </c>
      <c r="B40" s="1450"/>
      <c r="C40" s="1450"/>
      <c r="D40" s="1450"/>
      <c r="E40" s="1450"/>
      <c r="F40" s="1450">
        <f>'E3 DIST INDL'!B44</f>
        <v>469.8</v>
      </c>
      <c r="G40" s="1450">
        <f>'E3 DIST INDL'!C44</f>
        <v>939.6</v>
      </c>
      <c r="H40" s="1450">
        <f>'E3 DIST INDL'!D44</f>
        <v>1409.4</v>
      </c>
      <c r="I40" s="1450">
        <f>'E3 DIST INDL'!E44</f>
        <v>1879.2</v>
      </c>
      <c r="J40" s="1450">
        <f>'E3 DIST INDL'!F44</f>
        <v>1879.2</v>
      </c>
      <c r="K40" s="1450">
        <f>'E3 DIST INDL'!G44</f>
        <v>1879.2</v>
      </c>
      <c r="L40" s="1450">
        <f>'E3 DIST INDL'!H44</f>
        <v>1879.2</v>
      </c>
      <c r="M40" s="1450">
        <f>'E3 DIST INDL'!I44</f>
        <v>1879.2</v>
      </c>
      <c r="N40" s="1450">
        <f>'E3 DIST INDL'!B59</f>
        <v>1879.2</v>
      </c>
      <c r="O40" s="1450">
        <f>'E3 DIST INDL'!C59</f>
        <v>1879.2</v>
      </c>
      <c r="P40" s="1450">
        <f>'E3 DIST INDL'!D59</f>
        <v>1879.2</v>
      </c>
      <c r="Q40" s="1450">
        <f>'E3 DIST INDL'!E59</f>
        <v>1879.2</v>
      </c>
      <c r="R40" s="1450">
        <f>'E3 DIST INDL'!F59</f>
        <v>1879.2</v>
      </c>
      <c r="S40" s="1450">
        <f>'E3 DIST INDL'!G59</f>
        <v>1879.2</v>
      </c>
      <c r="T40" s="1450">
        <f>'E3 DIST INDL'!H59</f>
        <v>1879.2</v>
      </c>
      <c r="U40" s="1450">
        <f>'E3 DIST INDL'!I59</f>
        <v>1879.2</v>
      </c>
      <c r="V40" s="1450">
        <f>'E3 DIST INDL'!B74</f>
        <v>1879.2</v>
      </c>
      <c r="W40" s="1450">
        <f>'E3 DIST INDL'!C74</f>
        <v>1879.2</v>
      </c>
      <c r="X40" s="1450">
        <f>'E3 DIST INDL'!D74</f>
        <v>1879.2</v>
      </c>
      <c r="Y40" s="1450">
        <f>'E3 DIST INDL'!E74</f>
        <v>1879.2</v>
      </c>
      <c r="Z40" s="1450">
        <f>'E3 DIST INDL'!F74</f>
        <v>1879.2</v>
      </c>
      <c r="AA40" s="1450">
        <f>'E3 DIST INDL'!G74</f>
        <v>1879.2</v>
      </c>
      <c r="AB40" s="1450">
        <f t="shared" si="1"/>
        <v>38523.599999999999</v>
      </c>
    </row>
    <row r="41" spans="1:28" s="1187" customFormat="1">
      <c r="A41" s="1197" t="s">
        <v>935</v>
      </c>
      <c r="B41" s="1450"/>
      <c r="C41" s="1450"/>
      <c r="D41" s="1450"/>
      <c r="E41" s="1450"/>
      <c r="F41" s="1450">
        <f>'E7 Reprog Inv Esg'!B47</f>
        <v>-7938</v>
      </c>
      <c r="G41" s="1450">
        <f>'E7 Reprog Inv Esg'!C47</f>
        <v>-7582.68</v>
      </c>
      <c r="H41" s="1450">
        <f>'E7 Reprog Inv Esg'!D47</f>
        <v>-33127.919999999998</v>
      </c>
      <c r="I41" s="1450">
        <f>'E7 Reprog Inv Esg'!E47</f>
        <v>-44494.38</v>
      </c>
      <c r="J41" s="1450">
        <f>'E7 Reprog Inv Esg'!F47</f>
        <v>-1319.22</v>
      </c>
      <c r="K41" s="1450">
        <f>'E7 Reprog Inv Esg'!G47</f>
        <v>0</v>
      </c>
      <c r="L41" s="1450">
        <f>'E7 Reprog Inv Esg'!H47</f>
        <v>41549.760000000002</v>
      </c>
      <c r="M41" s="1450">
        <f>'E7 Reprog Inv Esg'!I47</f>
        <v>44974.44</v>
      </c>
      <c r="N41" s="1450">
        <f>'E7 Reprog Inv Esg'!B61</f>
        <v>7938</v>
      </c>
      <c r="O41" s="1450">
        <f>'E7 Reprog Inv Esg'!C61</f>
        <v>0</v>
      </c>
      <c r="P41" s="1450">
        <f>'E7 Reprog Inv Esg'!D61</f>
        <v>0</v>
      </c>
      <c r="Q41" s="1450">
        <f>'E7 Reprog Inv Esg'!E61</f>
        <v>0</v>
      </c>
      <c r="R41" s="1450">
        <f>'E7 Reprog Inv Esg'!F61</f>
        <v>0</v>
      </c>
      <c r="S41" s="1450">
        <f>'E7 Reprog Inv Esg'!G61</f>
        <v>0</v>
      </c>
      <c r="T41" s="1450">
        <f>'E7 Reprog Inv Esg'!H61</f>
        <v>0</v>
      </c>
      <c r="U41" s="1450">
        <f>'E7 Reprog Inv Esg'!I61</f>
        <v>0</v>
      </c>
      <c r="V41" s="1450">
        <f>'E7 Reprog Inv Esg'!B75</f>
        <v>0</v>
      </c>
      <c r="W41" s="1450">
        <f>'E7 Reprog Inv Esg'!C75</f>
        <v>0</v>
      </c>
      <c r="X41" s="1450">
        <f>'E7 Reprog Inv Esg'!D75</f>
        <v>0</v>
      </c>
      <c r="Y41" s="1450">
        <f>'E7 Reprog Inv Esg'!E75</f>
        <v>0</v>
      </c>
      <c r="Z41" s="1450">
        <f>'E7 Reprog Inv Esg'!F75</f>
        <v>0</v>
      </c>
      <c r="AA41" s="1450">
        <f>'E7 Reprog Inv Esg'!G75</f>
        <v>0</v>
      </c>
      <c r="AB41" s="1450">
        <f t="shared" si="1"/>
        <v>7.2759576141834259E-12</v>
      </c>
    </row>
    <row r="42" spans="1:28" s="1194" customFormat="1">
      <c r="A42" s="1199" t="s">
        <v>764</v>
      </c>
      <c r="B42" s="1246">
        <f>SUM(B43:B46)</f>
        <v>-31099.737391258997</v>
      </c>
      <c r="C42" s="1246">
        <f t="shared" ref="C42:AA42" si="10">SUM(C43:C46)</f>
        <v>2139945.8239350519</v>
      </c>
      <c r="D42" s="1246">
        <f t="shared" si="10"/>
        <v>84853.925736231118</v>
      </c>
      <c r="E42" s="1246">
        <f t="shared" si="10"/>
        <v>142049.00740315748</v>
      </c>
      <c r="F42" s="1246">
        <f t="shared" si="10"/>
        <v>1023752.9967814514</v>
      </c>
      <c r="G42" s="1246">
        <f t="shared" si="10"/>
        <v>685756.7830182102</v>
      </c>
      <c r="H42" s="1246">
        <f t="shared" si="10"/>
        <v>0</v>
      </c>
      <c r="I42" s="1246">
        <f t="shared" si="10"/>
        <v>0</v>
      </c>
      <c r="J42" s="1246">
        <f t="shared" si="10"/>
        <v>0</v>
      </c>
      <c r="K42" s="1246">
        <f t="shared" si="10"/>
        <v>0</v>
      </c>
      <c r="L42" s="1246">
        <f t="shared" si="10"/>
        <v>0</v>
      </c>
      <c r="M42" s="1246">
        <f t="shared" si="10"/>
        <v>0</v>
      </c>
      <c r="N42" s="1246">
        <f t="shared" si="10"/>
        <v>0</v>
      </c>
      <c r="O42" s="1246">
        <f t="shared" si="10"/>
        <v>0</v>
      </c>
      <c r="P42" s="1246">
        <f t="shared" si="10"/>
        <v>0</v>
      </c>
      <c r="Q42" s="1246">
        <f t="shared" si="10"/>
        <v>0</v>
      </c>
      <c r="R42" s="1246">
        <f t="shared" si="10"/>
        <v>0</v>
      </c>
      <c r="S42" s="1246">
        <f t="shared" si="10"/>
        <v>0</v>
      </c>
      <c r="T42" s="1246">
        <f t="shared" si="10"/>
        <v>0</v>
      </c>
      <c r="U42" s="1246">
        <f t="shared" si="10"/>
        <v>0</v>
      </c>
      <c r="V42" s="1246">
        <f t="shared" si="10"/>
        <v>0</v>
      </c>
      <c r="W42" s="1246">
        <f t="shared" si="10"/>
        <v>0</v>
      </c>
      <c r="X42" s="1246">
        <f t="shared" si="10"/>
        <v>0</v>
      </c>
      <c r="Y42" s="1246">
        <f t="shared" si="10"/>
        <v>0</v>
      </c>
      <c r="Z42" s="1246">
        <f t="shared" si="10"/>
        <v>0</v>
      </c>
      <c r="AA42" s="1246">
        <f t="shared" si="10"/>
        <v>0</v>
      </c>
      <c r="AB42" s="1246">
        <f t="shared" si="1"/>
        <v>4045258.7994828429</v>
      </c>
    </row>
    <row r="43" spans="1:28" s="1187" customFormat="1">
      <c r="A43" s="1197" t="s">
        <v>819</v>
      </c>
      <c r="B43" s="1450"/>
      <c r="C43" s="1450"/>
      <c r="D43" s="1450"/>
      <c r="E43" s="1450"/>
      <c r="F43" s="1450"/>
      <c r="G43" s="1450">
        <f>'E2 VALE PASSAROS'!B38</f>
        <v>685756.7830182102</v>
      </c>
      <c r="H43" s="1450">
        <f>'E2 VALE PASSAROS'!C38</f>
        <v>0</v>
      </c>
      <c r="I43" s="1450">
        <f>'COMB A R2 reeq'!H3</f>
        <v>0</v>
      </c>
      <c r="J43" s="1450">
        <f>'E2 VALE PASSAROS'!E38</f>
        <v>0</v>
      </c>
      <c r="K43" s="1450">
        <f>'E2 VALE PASSAROS'!F38</f>
        <v>0</v>
      </c>
      <c r="L43" s="1450">
        <f>'E2 VALE PASSAROS'!G38</f>
        <v>0</v>
      </c>
      <c r="M43" s="1450">
        <f>'E2 VALE PASSAROS'!H38</f>
        <v>0</v>
      </c>
      <c r="N43" s="1450">
        <f>'E2 VALE PASSAROS'!B55</f>
        <v>0</v>
      </c>
      <c r="O43" s="1450">
        <f>'E2 VALE PASSAROS'!C55</f>
        <v>0</v>
      </c>
      <c r="P43" s="1450">
        <f>'E2 VALE PASSAROS'!D55</f>
        <v>0</v>
      </c>
      <c r="Q43" s="1450">
        <f>'E2 VALE PASSAROS'!E55</f>
        <v>0</v>
      </c>
      <c r="R43" s="1450">
        <f>'E2 VALE PASSAROS'!F55</f>
        <v>0</v>
      </c>
      <c r="S43" s="1450">
        <f>'E2 VALE PASSAROS'!G55</f>
        <v>0</v>
      </c>
      <c r="T43" s="1450">
        <f>'E2 VALE PASSAROS'!H55</f>
        <v>0</v>
      </c>
      <c r="U43" s="1450">
        <f>'E2 VALE PASSAROS'!B72</f>
        <v>0</v>
      </c>
      <c r="V43" s="1450">
        <f>'E2 VALE PASSAROS'!C72</f>
        <v>0</v>
      </c>
      <c r="W43" s="1450">
        <f>'E2 VALE PASSAROS'!D72</f>
        <v>0</v>
      </c>
      <c r="X43" s="1450">
        <f>'E2 VALE PASSAROS'!E72</f>
        <v>0</v>
      </c>
      <c r="Y43" s="1450">
        <f>'E2 VALE PASSAROS'!F72</f>
        <v>0</v>
      </c>
      <c r="Z43" s="1450">
        <f>'E2 VALE PASSAROS'!G72</f>
        <v>0</v>
      </c>
      <c r="AA43" s="1450">
        <f>'E2 VALE PASSAROS'!H72</f>
        <v>0</v>
      </c>
      <c r="AB43" s="1450">
        <f t="shared" si="1"/>
        <v>685756.7830182102</v>
      </c>
    </row>
    <row r="44" spans="1:28" s="1187" customFormat="1">
      <c r="A44" s="1197" t="s">
        <v>820</v>
      </c>
      <c r="B44" s="1450"/>
      <c r="C44" s="1450"/>
      <c r="D44" s="1450"/>
      <c r="E44" s="1450"/>
      <c r="F44" s="1450">
        <f>'E3 DIST INDL'!B37</f>
        <v>1023752.9967814514</v>
      </c>
      <c r="G44" s="1450">
        <f>'E3 DIST INDL'!C37</f>
        <v>0</v>
      </c>
      <c r="H44" s="1450">
        <f>'E3 DIST INDL'!D37</f>
        <v>0</v>
      </c>
      <c r="I44" s="1450">
        <f>'E3 DIST INDL'!E37</f>
        <v>0</v>
      </c>
      <c r="J44" s="1450">
        <f>'E3 DIST INDL'!F37</f>
        <v>0</v>
      </c>
      <c r="K44" s="1450">
        <f>'E3 DIST INDL'!G37</f>
        <v>0</v>
      </c>
      <c r="L44" s="1450">
        <f>'E3 DIST INDL'!H37</f>
        <v>0</v>
      </c>
      <c r="M44" s="1450">
        <f>'E3 DIST INDL'!I37</f>
        <v>0</v>
      </c>
      <c r="N44" s="1450">
        <f>'E3 DIST INDL'!B52</f>
        <v>0</v>
      </c>
      <c r="O44" s="1450">
        <f>'E3 DIST INDL'!C52</f>
        <v>0</v>
      </c>
      <c r="P44" s="1450">
        <f>'E3 DIST INDL'!D52</f>
        <v>0</v>
      </c>
      <c r="Q44" s="1450">
        <f>'E3 DIST INDL'!E52</f>
        <v>0</v>
      </c>
      <c r="R44" s="1450">
        <f>'E3 DIST INDL'!F52</f>
        <v>0</v>
      </c>
      <c r="S44" s="1450">
        <f>'E3 DIST INDL'!G52</f>
        <v>0</v>
      </c>
      <c r="T44" s="1450">
        <f>'E3 DIST INDL'!H52</f>
        <v>0</v>
      </c>
      <c r="U44" s="1450">
        <f>'E3 DIST INDL'!I52</f>
        <v>0</v>
      </c>
      <c r="V44" s="1450">
        <f>'E3 DIST INDL'!B67</f>
        <v>0</v>
      </c>
      <c r="W44" s="1450">
        <f>'E3 DIST INDL'!C67</f>
        <v>0</v>
      </c>
      <c r="X44" s="1450">
        <f>'E3 DIST INDL'!D67</f>
        <v>0</v>
      </c>
      <c r="Y44" s="1450">
        <f>'E3 DIST INDL'!E67</f>
        <v>0</v>
      </c>
      <c r="Z44" s="1450">
        <f>'E3 DIST INDL'!F67</f>
        <v>0</v>
      </c>
      <c r="AA44" s="1450">
        <f>'E3 DIST INDL'!G67</f>
        <v>0</v>
      </c>
      <c r="AB44" s="1450">
        <f t="shared" si="1"/>
        <v>1023752.9967814514</v>
      </c>
    </row>
    <row r="45" spans="1:28" s="1187" customFormat="1">
      <c r="A45" s="1197" t="s">
        <v>821</v>
      </c>
      <c r="B45" s="1450">
        <f>'E4 CLORO'!B37</f>
        <v>0</v>
      </c>
      <c r="C45" s="1450">
        <f>'E4 CLORO'!C37</f>
        <v>19707.057260463262</v>
      </c>
      <c r="D45" s="1450">
        <f>'E4 CLORO'!D37</f>
        <v>0</v>
      </c>
      <c r="E45" s="1450">
        <f>'E4 CLORO'!E37</f>
        <v>0</v>
      </c>
      <c r="F45" s="1450">
        <f>'E4 CLORO'!F37</f>
        <v>0</v>
      </c>
      <c r="G45" s="1450">
        <f>'E4 CLORO'!G37</f>
        <v>0</v>
      </c>
      <c r="H45" s="1450">
        <f>'E4 CLORO'!H37</f>
        <v>0</v>
      </c>
      <c r="I45" s="1450">
        <f>'E4 CLORO'!I37</f>
        <v>0</v>
      </c>
      <c r="J45" s="1450">
        <f>'E4 CLORO'!J37</f>
        <v>0</v>
      </c>
      <c r="K45" s="1450">
        <f>'E4 CLORO'!K37</f>
        <v>0</v>
      </c>
      <c r="L45" s="1450">
        <f>'E4 CLORO'!L37</f>
        <v>0</v>
      </c>
      <c r="M45" s="1450">
        <f>'E4 CLORO'!M37</f>
        <v>0</v>
      </c>
      <c r="N45" s="1450">
        <f>'E4 CLORO'!N37</f>
        <v>0</v>
      </c>
      <c r="O45" s="1450">
        <f>'E4 CLORO'!O37</f>
        <v>0</v>
      </c>
      <c r="P45" s="1450">
        <f>'E4 CLORO'!P37</f>
        <v>0</v>
      </c>
      <c r="Q45" s="1450">
        <f>'E4 CLORO'!Q37</f>
        <v>0</v>
      </c>
      <c r="R45" s="1450">
        <f>'E4 CLORO'!R37</f>
        <v>0</v>
      </c>
      <c r="S45" s="1450">
        <f>'E4 CLORO'!S37</f>
        <v>0</v>
      </c>
      <c r="T45" s="1450">
        <f>'E4 CLORO'!T37</f>
        <v>0</v>
      </c>
      <c r="U45" s="1450">
        <f>'E4 CLORO'!U37</f>
        <v>0</v>
      </c>
      <c r="V45" s="1450">
        <f>'E4 CLORO'!V37</f>
        <v>0</v>
      </c>
      <c r="W45" s="1450">
        <f>'E4 CLORO'!W37</f>
        <v>0</v>
      </c>
      <c r="X45" s="1450">
        <f>'E4 CLORO'!X37</f>
        <v>0</v>
      </c>
      <c r="Y45" s="1450">
        <f>'E4 CLORO'!Y37</f>
        <v>0</v>
      </c>
      <c r="Z45" s="1450">
        <f>'E4 CLORO'!Z37</f>
        <v>0</v>
      </c>
      <c r="AA45" s="1450">
        <f>'E4 CLORO'!AA37</f>
        <v>0</v>
      </c>
      <c r="AB45" s="1450"/>
    </row>
    <row r="46" spans="1:28" s="1187" customFormat="1">
      <c r="A46" s="1197" t="s">
        <v>824</v>
      </c>
      <c r="B46" s="1450">
        <f>'E5 CAPEX'!J120</f>
        <v>-31099.737391258997</v>
      </c>
      <c r="C46" s="1450">
        <f>'E5 CAPEX'!K120</f>
        <v>2120238.7666745884</v>
      </c>
      <c r="D46" s="1450">
        <f>'E5 CAPEX'!L120</f>
        <v>84853.925736231118</v>
      </c>
      <c r="E46" s="1450">
        <f>'E5 CAPEX'!M120</f>
        <v>142049.00740315748</v>
      </c>
      <c r="F46" s="1450"/>
      <c r="G46" s="1450"/>
      <c r="H46" s="1450"/>
      <c r="I46" s="1450"/>
      <c r="J46" s="1450"/>
      <c r="K46" s="1450"/>
      <c r="L46" s="1450"/>
      <c r="M46" s="1450"/>
      <c r="N46" s="1450"/>
      <c r="O46" s="1450"/>
      <c r="P46" s="1450"/>
      <c r="Q46" s="1450"/>
      <c r="R46" s="1450"/>
      <c r="S46" s="1450"/>
      <c r="T46" s="1450"/>
      <c r="U46" s="1450"/>
      <c r="V46" s="1450"/>
      <c r="W46" s="1450"/>
      <c r="X46" s="1450"/>
      <c r="Y46" s="1450"/>
      <c r="Z46" s="1450"/>
      <c r="AA46" s="1450"/>
      <c r="AB46" s="1450">
        <f t="shared" si="1"/>
        <v>2316041.9624227183</v>
      </c>
    </row>
    <row r="47" spans="1:28" s="1194" customFormat="1">
      <c r="A47" s="1199" t="s">
        <v>765</v>
      </c>
      <c r="B47" s="1246">
        <f>SUM(B48:B50)</f>
        <v>-4488692.1014939854</v>
      </c>
      <c r="C47" s="1246">
        <f t="shared" ref="C47:AA47" si="11">SUM(C48:C50)</f>
        <v>4626052.3384238575</v>
      </c>
      <c r="D47" s="1246">
        <f t="shared" si="11"/>
        <v>-642394.0963967595</v>
      </c>
      <c r="E47" s="1246">
        <f t="shared" si="11"/>
        <v>1035572.1023463428</v>
      </c>
      <c r="F47" s="1246">
        <f t="shared" si="11"/>
        <v>-647268.41110309365</v>
      </c>
      <c r="G47" s="1246">
        <f t="shared" si="11"/>
        <v>-602831.14230781922</v>
      </c>
      <c r="H47" s="1246">
        <f t="shared" si="11"/>
        <v>-1944983.1321097673</v>
      </c>
      <c r="I47" s="1246">
        <f t="shared" si="11"/>
        <v>-2351041.4550004946</v>
      </c>
      <c r="J47" s="1246">
        <f t="shared" si="11"/>
        <v>-60283.114230781925</v>
      </c>
      <c r="K47" s="1246">
        <f t="shared" si="11"/>
        <v>0</v>
      </c>
      <c r="L47" s="1246">
        <f t="shared" si="11"/>
        <v>2411324.5692312769</v>
      </c>
      <c r="M47" s="1246">
        <f t="shared" si="11"/>
        <v>2547814.2744175866</v>
      </c>
      <c r="N47" s="1246">
        <f t="shared" si="11"/>
        <v>1087471.0930212331</v>
      </c>
      <c r="O47" s="1246">
        <f t="shared" si="11"/>
        <v>0</v>
      </c>
      <c r="P47" s="1246">
        <f t="shared" si="11"/>
        <v>0</v>
      </c>
      <c r="Q47" s="1246">
        <f t="shared" si="11"/>
        <v>0</v>
      </c>
      <c r="R47" s="1246">
        <f t="shared" si="11"/>
        <v>0</v>
      </c>
      <c r="S47" s="1246">
        <f t="shared" si="11"/>
        <v>0</v>
      </c>
      <c r="T47" s="1246">
        <f t="shared" si="11"/>
        <v>0</v>
      </c>
      <c r="U47" s="1246">
        <f t="shared" si="11"/>
        <v>0</v>
      </c>
      <c r="V47" s="1246">
        <f t="shared" si="11"/>
        <v>0</v>
      </c>
      <c r="W47" s="1246">
        <f t="shared" si="11"/>
        <v>0</v>
      </c>
      <c r="X47" s="1246">
        <f t="shared" si="11"/>
        <v>0</v>
      </c>
      <c r="Y47" s="1246">
        <f t="shared" si="11"/>
        <v>0</v>
      </c>
      <c r="Z47" s="1246">
        <f t="shared" si="11"/>
        <v>0</v>
      </c>
      <c r="AA47" s="1246">
        <f t="shared" si="11"/>
        <v>0</v>
      </c>
      <c r="AB47" s="1246">
        <f t="shared" si="1"/>
        <v>970740.92479759548</v>
      </c>
    </row>
    <row r="48" spans="1:28" s="1187" customFormat="1">
      <c r="A48" s="1197" t="s">
        <v>820</v>
      </c>
      <c r="B48" s="1450"/>
      <c r="C48" s="1450"/>
      <c r="D48" s="1450"/>
      <c r="E48" s="1450"/>
      <c r="F48" s="1450">
        <f>'E3 DIST INDL'!B38</f>
        <v>440202.68191813945</v>
      </c>
      <c r="G48" s="1450">
        <f>'E3 DIST INDL'!C38</f>
        <v>0</v>
      </c>
      <c r="H48" s="1450">
        <f>'E3 DIST INDL'!D38</f>
        <v>0</v>
      </c>
      <c r="I48" s="1450">
        <f>'E3 DIST INDL'!E38</f>
        <v>0</v>
      </c>
      <c r="J48" s="1450">
        <f>'E3 DIST INDL'!F38</f>
        <v>0</v>
      </c>
      <c r="K48" s="1450">
        <f>'E3 DIST INDL'!G38</f>
        <v>0</v>
      </c>
      <c r="L48" s="1450">
        <f>'E3 DIST INDL'!H38</f>
        <v>0</v>
      </c>
      <c r="M48" s="1450">
        <f>'E3 DIST INDL'!I38</f>
        <v>0</v>
      </c>
      <c r="N48" s="1450">
        <f>'E3 DIST INDL'!B53</f>
        <v>0</v>
      </c>
      <c r="O48" s="1450">
        <f>'E3 DIST INDL'!C53</f>
        <v>0</v>
      </c>
      <c r="P48" s="1450">
        <f>'E3 DIST INDL'!D53</f>
        <v>0</v>
      </c>
      <c r="Q48" s="1450">
        <f>'E3 DIST INDL'!E53</f>
        <v>0</v>
      </c>
      <c r="R48" s="1450">
        <f>'E3 DIST INDL'!F53</f>
        <v>0</v>
      </c>
      <c r="S48" s="1450">
        <f>'E3 DIST INDL'!G53</f>
        <v>0</v>
      </c>
      <c r="T48" s="1450">
        <f>'E3 DIST INDL'!H53</f>
        <v>0</v>
      </c>
      <c r="U48" s="1450">
        <f>'E3 DIST INDL'!I53</f>
        <v>0</v>
      </c>
      <c r="V48" s="1450">
        <f>'E3 DIST INDL'!B68</f>
        <v>0</v>
      </c>
      <c r="W48" s="1450">
        <f>'E3 DIST INDL'!C68</f>
        <v>0</v>
      </c>
      <c r="X48" s="1450">
        <f>'E3 DIST INDL'!D68</f>
        <v>0</v>
      </c>
      <c r="Y48" s="1450">
        <f>'E3 DIST INDL'!E68</f>
        <v>0</v>
      </c>
      <c r="Z48" s="1450">
        <f>'E3 DIST INDL'!F68</f>
        <v>0</v>
      </c>
      <c r="AA48" s="1450">
        <f>'E3 DIST INDL'!G68</f>
        <v>0</v>
      </c>
      <c r="AB48" s="1450">
        <f t="shared" si="1"/>
        <v>440202.68191813945</v>
      </c>
    </row>
    <row r="49" spans="1:28" s="1187" customFormat="1">
      <c r="A49" s="1197" t="s">
        <v>822</v>
      </c>
      <c r="B49" s="1450">
        <f>'E5 CAPEX'!J121</f>
        <v>-4488692.1014939854</v>
      </c>
      <c r="C49" s="1450">
        <f>'E5 CAPEX'!K121</f>
        <v>4626052.3384238575</v>
      </c>
      <c r="D49" s="1450">
        <f>'E5 CAPEX'!L121</f>
        <v>-642394.0963967595</v>
      </c>
      <c r="E49" s="1450">
        <f>'E5 CAPEX'!M121</f>
        <v>1035572.1023463428</v>
      </c>
      <c r="F49" s="1450"/>
      <c r="G49" s="1450"/>
      <c r="H49" s="1450"/>
      <c r="I49" s="1450"/>
      <c r="J49" s="1450"/>
      <c r="K49" s="1450"/>
      <c r="L49" s="1450"/>
      <c r="M49" s="1450"/>
      <c r="N49" s="1450"/>
      <c r="O49" s="1450"/>
      <c r="P49" s="1450"/>
      <c r="Q49" s="1450"/>
      <c r="R49" s="1450"/>
      <c r="S49" s="1450"/>
      <c r="T49" s="1450"/>
      <c r="U49" s="1450"/>
      <c r="V49" s="1450"/>
      <c r="W49" s="1450"/>
      <c r="X49" s="1450"/>
      <c r="Y49" s="1450"/>
      <c r="Z49" s="1450"/>
      <c r="AA49" s="1450"/>
      <c r="AB49" s="1450">
        <f t="shared" si="1"/>
        <v>530538.24287945533</v>
      </c>
    </row>
    <row r="50" spans="1:28" s="1187" customFormat="1">
      <c r="A50" s="1197" t="s">
        <v>935</v>
      </c>
      <c r="B50" s="1450"/>
      <c r="C50" s="1450"/>
      <c r="D50" s="1450"/>
      <c r="E50" s="1450"/>
      <c r="F50" s="1450">
        <f>'E7 Reprog Inv Esg'!B41</f>
        <v>-1087471.0930212331</v>
      </c>
      <c r="G50" s="1450">
        <f>'E7 Reprog Inv Esg'!C41</f>
        <v>-602831.14230781922</v>
      </c>
      <c r="H50" s="1450">
        <f>'E7 Reprog Inv Esg'!D41</f>
        <v>-1944983.1321097673</v>
      </c>
      <c r="I50" s="1450">
        <f>'E7 Reprog Inv Esg'!E41</f>
        <v>-2351041.4550004946</v>
      </c>
      <c r="J50" s="1450">
        <f>'E7 Reprog Inv Esg'!F41</f>
        <v>-60283.114230781925</v>
      </c>
      <c r="K50" s="1450">
        <f>'E7 Reprog Inv Esg'!G41</f>
        <v>0</v>
      </c>
      <c r="L50" s="1450">
        <f>'E7 Reprog Inv Esg'!H41</f>
        <v>2411324.5692312769</v>
      </c>
      <c r="M50" s="1450">
        <f>'E7 Reprog Inv Esg'!I41</f>
        <v>2547814.2744175866</v>
      </c>
      <c r="N50" s="1450">
        <f>'E7 Reprog Inv Esg'!B55</f>
        <v>1087471.0930212331</v>
      </c>
      <c r="O50" s="1450">
        <f>'E7 Reprog Inv Esg'!C55</f>
        <v>0</v>
      </c>
      <c r="P50" s="1450">
        <f>'E7 Reprog Inv Esg'!D55</f>
        <v>0</v>
      </c>
      <c r="Q50" s="1450">
        <f>'E7 Reprog Inv Esg'!E55</f>
        <v>0</v>
      </c>
      <c r="R50" s="1450">
        <f>'E7 Reprog Inv Esg'!F55</f>
        <v>0</v>
      </c>
      <c r="S50" s="1450">
        <f>'E7 Reprog Inv Esg'!G55</f>
        <v>0</v>
      </c>
      <c r="T50" s="1450">
        <f>'E7 Reprog Inv Esg'!H55</f>
        <v>0</v>
      </c>
      <c r="U50" s="1450">
        <f>'E7 Reprog Inv Esg'!I55</f>
        <v>0</v>
      </c>
      <c r="V50" s="1450">
        <f>'E7 Reprog Inv Esg'!B69</f>
        <v>0</v>
      </c>
      <c r="W50" s="1450">
        <f>'E7 Reprog Inv Esg'!C69</f>
        <v>0</v>
      </c>
      <c r="X50" s="1450">
        <f>'E7 Reprog Inv Esg'!D69</f>
        <v>0</v>
      </c>
      <c r="Y50" s="1450">
        <f>'E7 Reprog Inv Esg'!E69</f>
        <v>0</v>
      </c>
      <c r="Z50" s="1450">
        <f>'E7 Reprog Inv Esg'!F69</f>
        <v>0</v>
      </c>
      <c r="AA50" s="1450">
        <f>'E7 Reprog Inv Esg'!G69</f>
        <v>0</v>
      </c>
      <c r="AB50" s="1450">
        <f t="shared" si="1"/>
        <v>0</v>
      </c>
    </row>
    <row r="51" spans="1:28">
      <c r="A51" s="1199" t="s">
        <v>817</v>
      </c>
      <c r="B51" s="1246">
        <f>B52</f>
        <v>-18203.509460307225</v>
      </c>
      <c r="C51" s="1246">
        <f t="shared" ref="C51:AA51" si="12">C52</f>
        <v>16203.597322842637</v>
      </c>
      <c r="D51" s="1246">
        <f t="shared" si="12"/>
        <v>-12787.947525637624</v>
      </c>
      <c r="E51" s="1246">
        <f t="shared" si="12"/>
        <v>32360.120187228189</v>
      </c>
      <c r="F51" s="1246">
        <f t="shared" si="12"/>
        <v>0</v>
      </c>
      <c r="G51" s="1246">
        <f t="shared" si="12"/>
        <v>0</v>
      </c>
      <c r="H51" s="1246">
        <f t="shared" si="12"/>
        <v>0</v>
      </c>
      <c r="I51" s="1246">
        <f t="shared" si="12"/>
        <v>0</v>
      </c>
      <c r="J51" s="1246">
        <f t="shared" si="12"/>
        <v>0</v>
      </c>
      <c r="K51" s="1246">
        <f t="shared" si="12"/>
        <v>0</v>
      </c>
      <c r="L51" s="1246">
        <f t="shared" si="12"/>
        <v>0</v>
      </c>
      <c r="M51" s="1246">
        <f t="shared" si="12"/>
        <v>0</v>
      </c>
      <c r="N51" s="1246">
        <f t="shared" si="12"/>
        <v>0</v>
      </c>
      <c r="O51" s="1246">
        <f t="shared" si="12"/>
        <v>0</v>
      </c>
      <c r="P51" s="1246">
        <f t="shared" si="12"/>
        <v>0</v>
      </c>
      <c r="Q51" s="1246">
        <f t="shared" si="12"/>
        <v>0</v>
      </c>
      <c r="R51" s="1246">
        <f t="shared" si="12"/>
        <v>0</v>
      </c>
      <c r="S51" s="1246">
        <f t="shared" si="12"/>
        <v>0</v>
      </c>
      <c r="T51" s="1246">
        <f t="shared" si="12"/>
        <v>0</v>
      </c>
      <c r="U51" s="1246">
        <f t="shared" si="12"/>
        <v>0</v>
      </c>
      <c r="V51" s="1246">
        <f t="shared" si="12"/>
        <v>0</v>
      </c>
      <c r="W51" s="1246">
        <f t="shared" si="12"/>
        <v>0</v>
      </c>
      <c r="X51" s="1246">
        <f t="shared" si="12"/>
        <v>0</v>
      </c>
      <c r="Y51" s="1246">
        <f t="shared" si="12"/>
        <v>0</v>
      </c>
      <c r="Z51" s="1246">
        <f t="shared" si="12"/>
        <v>0</v>
      </c>
      <c r="AA51" s="1246">
        <f t="shared" si="12"/>
        <v>0</v>
      </c>
      <c r="AB51" s="1246">
        <f t="shared" si="1"/>
        <v>17572.260524125977</v>
      </c>
    </row>
    <row r="52" spans="1:28" s="1187" customFormat="1">
      <c r="A52" s="1197" t="s">
        <v>822</v>
      </c>
      <c r="B52" s="1450">
        <f>'E5 CAPEX'!J122</f>
        <v>-18203.509460307225</v>
      </c>
      <c r="C52" s="1450">
        <f>'E5 CAPEX'!K122</f>
        <v>16203.597322842637</v>
      </c>
      <c r="D52" s="1450">
        <f>'E5 CAPEX'!L122</f>
        <v>-12787.947525637624</v>
      </c>
      <c r="E52" s="1450">
        <f>'E5 CAPEX'!M122</f>
        <v>32360.120187228189</v>
      </c>
      <c r="F52" s="1450"/>
      <c r="G52" s="1450"/>
      <c r="H52" s="1450"/>
      <c r="I52" s="1450"/>
      <c r="J52" s="1450"/>
      <c r="K52" s="1450"/>
      <c r="L52" s="1450"/>
      <c r="M52" s="1450"/>
      <c r="N52" s="1450"/>
      <c r="O52" s="1450"/>
      <c r="P52" s="1450"/>
      <c r="Q52" s="1450"/>
      <c r="R52" s="1450"/>
      <c r="S52" s="1450"/>
      <c r="T52" s="1450"/>
      <c r="U52" s="1450"/>
      <c r="V52" s="1450"/>
      <c r="W52" s="1450"/>
      <c r="X52" s="1450"/>
      <c r="Y52" s="1450"/>
      <c r="Z52" s="1450"/>
      <c r="AA52" s="1450"/>
      <c r="AB52" s="1450">
        <f t="shared" si="1"/>
        <v>17572.260524125977</v>
      </c>
    </row>
  </sheetData>
  <mergeCells count="2">
    <mergeCell ref="A5:A6"/>
    <mergeCell ref="AB5:AB6"/>
  </mergeCells>
  <phoneticPr fontId="12" type="noConversion"/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692AC-E366-4523-996D-EF770A8EA177}">
  <sheetPr>
    <tabColor rgb="FFFFC000"/>
    <pageSetUpPr fitToPage="1"/>
  </sheetPr>
  <dimension ref="A1:AL371"/>
  <sheetViews>
    <sheetView workbookViewId="0">
      <selection activeCell="M12" sqref="M12"/>
    </sheetView>
  </sheetViews>
  <sheetFormatPr defaultRowHeight="12.75"/>
  <cols>
    <col min="1" max="1" width="14" style="13" bestFit="1" customWidth="1"/>
    <col min="2" max="2" width="14.85546875" style="13" customWidth="1"/>
    <col min="3" max="3" width="8.85546875" style="13"/>
    <col min="4" max="4" width="10.42578125" style="13" customWidth="1"/>
    <col min="5" max="5" width="9.140625" style="13" customWidth="1"/>
    <col min="6" max="7" width="8.85546875" style="13"/>
    <col min="8" max="8" width="9.140625" style="13" bestFit="1"/>
    <col min="9" max="33" width="8.85546875" style="13"/>
    <col min="34" max="34" width="11" style="13" customWidth="1"/>
    <col min="35" max="256" width="8.85546875" style="13"/>
    <col min="257" max="257" width="14" style="13" bestFit="1" customWidth="1"/>
    <col min="258" max="258" width="14.85546875" style="13" customWidth="1"/>
    <col min="259" max="260" width="8.85546875" style="13"/>
    <col min="261" max="261" width="9.140625" style="13" customWidth="1"/>
    <col min="262" max="289" width="8.85546875" style="13"/>
    <col min="290" max="290" width="11" style="13" customWidth="1"/>
    <col min="291" max="512" width="8.85546875" style="13"/>
    <col min="513" max="513" width="14" style="13" bestFit="1" customWidth="1"/>
    <col min="514" max="514" width="14.85546875" style="13" customWidth="1"/>
    <col min="515" max="516" width="8.85546875" style="13"/>
    <col min="517" max="517" width="9.140625" style="13" customWidth="1"/>
    <col min="518" max="545" width="8.85546875" style="13"/>
    <col min="546" max="546" width="11" style="13" customWidth="1"/>
    <col min="547" max="768" width="8.85546875" style="13"/>
    <col min="769" max="769" width="14" style="13" bestFit="1" customWidth="1"/>
    <col min="770" max="770" width="14.85546875" style="13" customWidth="1"/>
    <col min="771" max="772" width="8.85546875" style="13"/>
    <col min="773" max="773" width="9.140625" style="13" customWidth="1"/>
    <col min="774" max="801" width="8.85546875" style="13"/>
    <col min="802" max="802" width="11" style="13" customWidth="1"/>
    <col min="803" max="1024" width="8.85546875" style="13"/>
    <col min="1025" max="1025" width="14" style="13" bestFit="1" customWidth="1"/>
    <col min="1026" max="1026" width="14.85546875" style="13" customWidth="1"/>
    <col min="1027" max="1028" width="8.85546875" style="13"/>
    <col min="1029" max="1029" width="9.140625" style="13" customWidth="1"/>
    <col min="1030" max="1057" width="8.85546875" style="13"/>
    <col min="1058" max="1058" width="11" style="13" customWidth="1"/>
    <col min="1059" max="1280" width="8.85546875" style="13"/>
    <col min="1281" max="1281" width="14" style="13" bestFit="1" customWidth="1"/>
    <col min="1282" max="1282" width="14.85546875" style="13" customWidth="1"/>
    <col min="1283" max="1284" width="8.85546875" style="13"/>
    <col min="1285" max="1285" width="9.140625" style="13" customWidth="1"/>
    <col min="1286" max="1313" width="8.85546875" style="13"/>
    <col min="1314" max="1314" width="11" style="13" customWidth="1"/>
    <col min="1315" max="1536" width="8.85546875" style="13"/>
    <col min="1537" max="1537" width="14" style="13" bestFit="1" customWidth="1"/>
    <col min="1538" max="1538" width="14.85546875" style="13" customWidth="1"/>
    <col min="1539" max="1540" width="8.85546875" style="13"/>
    <col min="1541" max="1541" width="9.140625" style="13" customWidth="1"/>
    <col min="1542" max="1569" width="8.85546875" style="13"/>
    <col min="1570" max="1570" width="11" style="13" customWidth="1"/>
    <col min="1571" max="1792" width="8.85546875" style="13"/>
    <col min="1793" max="1793" width="14" style="13" bestFit="1" customWidth="1"/>
    <col min="1794" max="1794" width="14.85546875" style="13" customWidth="1"/>
    <col min="1795" max="1796" width="8.85546875" style="13"/>
    <col min="1797" max="1797" width="9.140625" style="13" customWidth="1"/>
    <col min="1798" max="1825" width="8.85546875" style="13"/>
    <col min="1826" max="1826" width="11" style="13" customWidth="1"/>
    <col min="1827" max="2048" width="8.85546875" style="13"/>
    <col min="2049" max="2049" width="14" style="13" bestFit="1" customWidth="1"/>
    <col min="2050" max="2050" width="14.85546875" style="13" customWidth="1"/>
    <col min="2051" max="2052" width="8.85546875" style="13"/>
    <col min="2053" max="2053" width="9.140625" style="13" customWidth="1"/>
    <col min="2054" max="2081" width="8.85546875" style="13"/>
    <col min="2082" max="2082" width="11" style="13" customWidth="1"/>
    <col min="2083" max="2304" width="8.85546875" style="13"/>
    <col min="2305" max="2305" width="14" style="13" bestFit="1" customWidth="1"/>
    <col min="2306" max="2306" width="14.85546875" style="13" customWidth="1"/>
    <col min="2307" max="2308" width="8.85546875" style="13"/>
    <col min="2309" max="2309" width="9.140625" style="13" customWidth="1"/>
    <col min="2310" max="2337" width="8.85546875" style="13"/>
    <col min="2338" max="2338" width="11" style="13" customWidth="1"/>
    <col min="2339" max="2560" width="8.85546875" style="13"/>
    <col min="2561" max="2561" width="14" style="13" bestFit="1" customWidth="1"/>
    <col min="2562" max="2562" width="14.85546875" style="13" customWidth="1"/>
    <col min="2563" max="2564" width="8.85546875" style="13"/>
    <col min="2565" max="2565" width="9.140625" style="13" customWidth="1"/>
    <col min="2566" max="2593" width="8.85546875" style="13"/>
    <col min="2594" max="2594" width="11" style="13" customWidth="1"/>
    <col min="2595" max="2816" width="8.85546875" style="13"/>
    <col min="2817" max="2817" width="14" style="13" bestFit="1" customWidth="1"/>
    <col min="2818" max="2818" width="14.85546875" style="13" customWidth="1"/>
    <col min="2819" max="2820" width="8.85546875" style="13"/>
    <col min="2821" max="2821" width="9.140625" style="13" customWidth="1"/>
    <col min="2822" max="2849" width="8.85546875" style="13"/>
    <col min="2850" max="2850" width="11" style="13" customWidth="1"/>
    <col min="2851" max="3072" width="8.85546875" style="13"/>
    <col min="3073" max="3073" width="14" style="13" bestFit="1" customWidth="1"/>
    <col min="3074" max="3074" width="14.85546875" style="13" customWidth="1"/>
    <col min="3075" max="3076" width="8.85546875" style="13"/>
    <col min="3077" max="3077" width="9.140625" style="13" customWidth="1"/>
    <col min="3078" max="3105" width="8.85546875" style="13"/>
    <col min="3106" max="3106" width="11" style="13" customWidth="1"/>
    <col min="3107" max="3328" width="8.85546875" style="13"/>
    <col min="3329" max="3329" width="14" style="13" bestFit="1" customWidth="1"/>
    <col min="3330" max="3330" width="14.85546875" style="13" customWidth="1"/>
    <col min="3331" max="3332" width="8.85546875" style="13"/>
    <col min="3333" max="3333" width="9.140625" style="13" customWidth="1"/>
    <col min="3334" max="3361" width="8.85546875" style="13"/>
    <col min="3362" max="3362" width="11" style="13" customWidth="1"/>
    <col min="3363" max="3584" width="8.85546875" style="13"/>
    <col min="3585" max="3585" width="14" style="13" bestFit="1" customWidth="1"/>
    <col min="3586" max="3586" width="14.85546875" style="13" customWidth="1"/>
    <col min="3587" max="3588" width="8.85546875" style="13"/>
    <col min="3589" max="3589" width="9.140625" style="13" customWidth="1"/>
    <col min="3590" max="3617" width="8.85546875" style="13"/>
    <col min="3618" max="3618" width="11" style="13" customWidth="1"/>
    <col min="3619" max="3840" width="8.85546875" style="13"/>
    <col min="3841" max="3841" width="14" style="13" bestFit="1" customWidth="1"/>
    <col min="3842" max="3842" width="14.85546875" style="13" customWidth="1"/>
    <col min="3843" max="3844" width="8.85546875" style="13"/>
    <col min="3845" max="3845" width="9.140625" style="13" customWidth="1"/>
    <col min="3846" max="3873" width="8.85546875" style="13"/>
    <col min="3874" max="3874" width="11" style="13" customWidth="1"/>
    <col min="3875" max="4096" width="8.85546875" style="13"/>
    <col min="4097" max="4097" width="14" style="13" bestFit="1" customWidth="1"/>
    <col min="4098" max="4098" width="14.85546875" style="13" customWidth="1"/>
    <col min="4099" max="4100" width="8.85546875" style="13"/>
    <col min="4101" max="4101" width="9.140625" style="13" customWidth="1"/>
    <col min="4102" max="4129" width="8.85546875" style="13"/>
    <col min="4130" max="4130" width="11" style="13" customWidth="1"/>
    <col min="4131" max="4352" width="8.85546875" style="13"/>
    <col min="4353" max="4353" width="14" style="13" bestFit="1" customWidth="1"/>
    <col min="4354" max="4354" width="14.85546875" style="13" customWidth="1"/>
    <col min="4355" max="4356" width="8.85546875" style="13"/>
    <col min="4357" max="4357" width="9.140625" style="13" customWidth="1"/>
    <col min="4358" max="4385" width="8.85546875" style="13"/>
    <col min="4386" max="4386" width="11" style="13" customWidth="1"/>
    <col min="4387" max="4608" width="8.85546875" style="13"/>
    <col min="4609" max="4609" width="14" style="13" bestFit="1" customWidth="1"/>
    <col min="4610" max="4610" width="14.85546875" style="13" customWidth="1"/>
    <col min="4611" max="4612" width="8.85546875" style="13"/>
    <col min="4613" max="4613" width="9.140625" style="13" customWidth="1"/>
    <col min="4614" max="4641" width="8.85546875" style="13"/>
    <col min="4642" max="4642" width="11" style="13" customWidth="1"/>
    <col min="4643" max="4864" width="8.85546875" style="13"/>
    <col min="4865" max="4865" width="14" style="13" bestFit="1" customWidth="1"/>
    <col min="4866" max="4866" width="14.85546875" style="13" customWidth="1"/>
    <col min="4867" max="4868" width="8.85546875" style="13"/>
    <col min="4869" max="4869" width="9.140625" style="13" customWidth="1"/>
    <col min="4870" max="4897" width="8.85546875" style="13"/>
    <col min="4898" max="4898" width="11" style="13" customWidth="1"/>
    <col min="4899" max="5120" width="8.85546875" style="13"/>
    <col min="5121" max="5121" width="14" style="13" bestFit="1" customWidth="1"/>
    <col min="5122" max="5122" width="14.85546875" style="13" customWidth="1"/>
    <col min="5123" max="5124" width="8.85546875" style="13"/>
    <col min="5125" max="5125" width="9.140625" style="13" customWidth="1"/>
    <col min="5126" max="5153" width="8.85546875" style="13"/>
    <col min="5154" max="5154" width="11" style="13" customWidth="1"/>
    <col min="5155" max="5376" width="8.85546875" style="13"/>
    <col min="5377" max="5377" width="14" style="13" bestFit="1" customWidth="1"/>
    <col min="5378" max="5378" width="14.85546875" style="13" customWidth="1"/>
    <col min="5379" max="5380" width="8.85546875" style="13"/>
    <col min="5381" max="5381" width="9.140625" style="13" customWidth="1"/>
    <col min="5382" max="5409" width="8.85546875" style="13"/>
    <col min="5410" max="5410" width="11" style="13" customWidth="1"/>
    <col min="5411" max="5632" width="8.85546875" style="13"/>
    <col min="5633" max="5633" width="14" style="13" bestFit="1" customWidth="1"/>
    <col min="5634" max="5634" width="14.85546875" style="13" customWidth="1"/>
    <col min="5635" max="5636" width="8.85546875" style="13"/>
    <col min="5637" max="5637" width="9.140625" style="13" customWidth="1"/>
    <col min="5638" max="5665" width="8.85546875" style="13"/>
    <col min="5666" max="5666" width="11" style="13" customWidth="1"/>
    <col min="5667" max="5888" width="8.85546875" style="13"/>
    <col min="5889" max="5889" width="14" style="13" bestFit="1" customWidth="1"/>
    <col min="5890" max="5890" width="14.85546875" style="13" customWidth="1"/>
    <col min="5891" max="5892" width="8.85546875" style="13"/>
    <col min="5893" max="5893" width="9.140625" style="13" customWidth="1"/>
    <col min="5894" max="5921" width="8.85546875" style="13"/>
    <col min="5922" max="5922" width="11" style="13" customWidth="1"/>
    <col min="5923" max="6144" width="8.85546875" style="13"/>
    <col min="6145" max="6145" width="14" style="13" bestFit="1" customWidth="1"/>
    <col min="6146" max="6146" width="14.85546875" style="13" customWidth="1"/>
    <col min="6147" max="6148" width="8.85546875" style="13"/>
    <col min="6149" max="6149" width="9.140625" style="13" customWidth="1"/>
    <col min="6150" max="6177" width="8.85546875" style="13"/>
    <col min="6178" max="6178" width="11" style="13" customWidth="1"/>
    <col min="6179" max="6400" width="8.85546875" style="13"/>
    <col min="6401" max="6401" width="14" style="13" bestFit="1" customWidth="1"/>
    <col min="6402" max="6402" width="14.85546875" style="13" customWidth="1"/>
    <col min="6403" max="6404" width="8.85546875" style="13"/>
    <col min="6405" max="6405" width="9.140625" style="13" customWidth="1"/>
    <col min="6406" max="6433" width="8.85546875" style="13"/>
    <col min="6434" max="6434" width="11" style="13" customWidth="1"/>
    <col min="6435" max="6656" width="8.85546875" style="13"/>
    <col min="6657" max="6657" width="14" style="13" bestFit="1" customWidth="1"/>
    <col min="6658" max="6658" width="14.85546875" style="13" customWidth="1"/>
    <col min="6659" max="6660" width="8.85546875" style="13"/>
    <col min="6661" max="6661" width="9.140625" style="13" customWidth="1"/>
    <col min="6662" max="6689" width="8.85546875" style="13"/>
    <col min="6690" max="6690" width="11" style="13" customWidth="1"/>
    <col min="6691" max="6912" width="8.85546875" style="13"/>
    <col min="6913" max="6913" width="14" style="13" bestFit="1" customWidth="1"/>
    <col min="6914" max="6914" width="14.85546875" style="13" customWidth="1"/>
    <col min="6915" max="6916" width="8.85546875" style="13"/>
    <col min="6917" max="6917" width="9.140625" style="13" customWidth="1"/>
    <col min="6918" max="6945" width="8.85546875" style="13"/>
    <col min="6946" max="6946" width="11" style="13" customWidth="1"/>
    <col min="6947" max="7168" width="8.85546875" style="13"/>
    <col min="7169" max="7169" width="14" style="13" bestFit="1" customWidth="1"/>
    <col min="7170" max="7170" width="14.85546875" style="13" customWidth="1"/>
    <col min="7171" max="7172" width="8.85546875" style="13"/>
    <col min="7173" max="7173" width="9.140625" style="13" customWidth="1"/>
    <col min="7174" max="7201" width="8.85546875" style="13"/>
    <col min="7202" max="7202" width="11" style="13" customWidth="1"/>
    <col min="7203" max="7424" width="8.85546875" style="13"/>
    <col min="7425" max="7425" width="14" style="13" bestFit="1" customWidth="1"/>
    <col min="7426" max="7426" width="14.85546875" style="13" customWidth="1"/>
    <col min="7427" max="7428" width="8.85546875" style="13"/>
    <col min="7429" max="7429" width="9.140625" style="13" customWidth="1"/>
    <col min="7430" max="7457" width="8.85546875" style="13"/>
    <col min="7458" max="7458" width="11" style="13" customWidth="1"/>
    <col min="7459" max="7680" width="8.85546875" style="13"/>
    <col min="7681" max="7681" width="14" style="13" bestFit="1" customWidth="1"/>
    <col min="7682" max="7682" width="14.85546875" style="13" customWidth="1"/>
    <col min="7683" max="7684" width="8.85546875" style="13"/>
    <col min="7685" max="7685" width="9.140625" style="13" customWidth="1"/>
    <col min="7686" max="7713" width="8.85546875" style="13"/>
    <col min="7714" max="7714" width="11" style="13" customWidth="1"/>
    <col min="7715" max="7936" width="8.85546875" style="13"/>
    <col min="7937" max="7937" width="14" style="13" bestFit="1" customWidth="1"/>
    <col min="7938" max="7938" width="14.85546875" style="13" customWidth="1"/>
    <col min="7939" max="7940" width="8.85546875" style="13"/>
    <col min="7941" max="7941" width="9.140625" style="13" customWidth="1"/>
    <col min="7942" max="7969" width="8.85546875" style="13"/>
    <col min="7970" max="7970" width="11" style="13" customWidth="1"/>
    <col min="7971" max="8192" width="8.85546875" style="13"/>
    <col min="8193" max="8193" width="14" style="13" bestFit="1" customWidth="1"/>
    <col min="8194" max="8194" width="14.85546875" style="13" customWidth="1"/>
    <col min="8195" max="8196" width="8.85546875" style="13"/>
    <col min="8197" max="8197" width="9.140625" style="13" customWidth="1"/>
    <col min="8198" max="8225" width="8.85546875" style="13"/>
    <col min="8226" max="8226" width="11" style="13" customWidth="1"/>
    <col min="8227" max="8448" width="8.85546875" style="13"/>
    <col min="8449" max="8449" width="14" style="13" bestFit="1" customWidth="1"/>
    <col min="8450" max="8450" width="14.85546875" style="13" customWidth="1"/>
    <col min="8451" max="8452" width="8.85546875" style="13"/>
    <col min="8453" max="8453" width="9.140625" style="13" customWidth="1"/>
    <col min="8454" max="8481" width="8.85546875" style="13"/>
    <col min="8482" max="8482" width="11" style="13" customWidth="1"/>
    <col min="8483" max="8704" width="8.85546875" style="13"/>
    <col min="8705" max="8705" width="14" style="13" bestFit="1" customWidth="1"/>
    <col min="8706" max="8706" width="14.85546875" style="13" customWidth="1"/>
    <col min="8707" max="8708" width="8.85546875" style="13"/>
    <col min="8709" max="8709" width="9.140625" style="13" customWidth="1"/>
    <col min="8710" max="8737" width="8.85546875" style="13"/>
    <col min="8738" max="8738" width="11" style="13" customWidth="1"/>
    <col min="8739" max="8960" width="8.85546875" style="13"/>
    <col min="8961" max="8961" width="14" style="13" bestFit="1" customWidth="1"/>
    <col min="8962" max="8962" width="14.85546875" style="13" customWidth="1"/>
    <col min="8963" max="8964" width="8.85546875" style="13"/>
    <col min="8965" max="8965" width="9.140625" style="13" customWidth="1"/>
    <col min="8966" max="8993" width="8.85546875" style="13"/>
    <col min="8994" max="8994" width="11" style="13" customWidth="1"/>
    <col min="8995" max="9216" width="8.85546875" style="13"/>
    <col min="9217" max="9217" width="14" style="13" bestFit="1" customWidth="1"/>
    <col min="9218" max="9218" width="14.85546875" style="13" customWidth="1"/>
    <col min="9219" max="9220" width="8.85546875" style="13"/>
    <col min="9221" max="9221" width="9.140625" style="13" customWidth="1"/>
    <col min="9222" max="9249" width="8.85546875" style="13"/>
    <col min="9250" max="9250" width="11" style="13" customWidth="1"/>
    <col min="9251" max="9472" width="8.85546875" style="13"/>
    <col min="9473" max="9473" width="14" style="13" bestFit="1" customWidth="1"/>
    <col min="9474" max="9474" width="14.85546875" style="13" customWidth="1"/>
    <col min="9475" max="9476" width="8.85546875" style="13"/>
    <col min="9477" max="9477" width="9.140625" style="13" customWidth="1"/>
    <col min="9478" max="9505" width="8.85546875" style="13"/>
    <col min="9506" max="9506" width="11" style="13" customWidth="1"/>
    <col min="9507" max="9728" width="8.85546875" style="13"/>
    <col min="9729" max="9729" width="14" style="13" bestFit="1" customWidth="1"/>
    <col min="9730" max="9730" width="14.85546875" style="13" customWidth="1"/>
    <col min="9731" max="9732" width="8.85546875" style="13"/>
    <col min="9733" max="9733" width="9.140625" style="13" customWidth="1"/>
    <col min="9734" max="9761" width="8.85546875" style="13"/>
    <col min="9762" max="9762" width="11" style="13" customWidth="1"/>
    <col min="9763" max="9984" width="8.85546875" style="13"/>
    <col min="9985" max="9985" width="14" style="13" bestFit="1" customWidth="1"/>
    <col min="9986" max="9986" width="14.85546875" style="13" customWidth="1"/>
    <col min="9987" max="9988" width="8.85546875" style="13"/>
    <col min="9989" max="9989" width="9.140625" style="13" customWidth="1"/>
    <col min="9990" max="10017" width="8.85546875" style="13"/>
    <col min="10018" max="10018" width="11" style="13" customWidth="1"/>
    <col min="10019" max="10240" width="8.85546875" style="13"/>
    <col min="10241" max="10241" width="14" style="13" bestFit="1" customWidth="1"/>
    <col min="10242" max="10242" width="14.85546875" style="13" customWidth="1"/>
    <col min="10243" max="10244" width="8.85546875" style="13"/>
    <col min="10245" max="10245" width="9.140625" style="13" customWidth="1"/>
    <col min="10246" max="10273" width="8.85546875" style="13"/>
    <col min="10274" max="10274" width="11" style="13" customWidth="1"/>
    <col min="10275" max="10496" width="8.85546875" style="13"/>
    <col min="10497" max="10497" width="14" style="13" bestFit="1" customWidth="1"/>
    <col min="10498" max="10498" width="14.85546875" style="13" customWidth="1"/>
    <col min="10499" max="10500" width="8.85546875" style="13"/>
    <col min="10501" max="10501" width="9.140625" style="13" customWidth="1"/>
    <col min="10502" max="10529" width="8.85546875" style="13"/>
    <col min="10530" max="10530" width="11" style="13" customWidth="1"/>
    <col min="10531" max="10752" width="8.85546875" style="13"/>
    <col min="10753" max="10753" width="14" style="13" bestFit="1" customWidth="1"/>
    <col min="10754" max="10754" width="14.85546875" style="13" customWidth="1"/>
    <col min="10755" max="10756" width="8.85546875" style="13"/>
    <col min="10757" max="10757" width="9.140625" style="13" customWidth="1"/>
    <col min="10758" max="10785" width="8.85546875" style="13"/>
    <col min="10786" max="10786" width="11" style="13" customWidth="1"/>
    <col min="10787" max="11008" width="8.85546875" style="13"/>
    <col min="11009" max="11009" width="14" style="13" bestFit="1" customWidth="1"/>
    <col min="11010" max="11010" width="14.85546875" style="13" customWidth="1"/>
    <col min="11011" max="11012" width="8.85546875" style="13"/>
    <col min="11013" max="11013" width="9.140625" style="13" customWidth="1"/>
    <col min="11014" max="11041" width="8.85546875" style="13"/>
    <col min="11042" max="11042" width="11" style="13" customWidth="1"/>
    <col min="11043" max="11264" width="8.85546875" style="13"/>
    <col min="11265" max="11265" width="14" style="13" bestFit="1" customWidth="1"/>
    <col min="11266" max="11266" width="14.85546875" style="13" customWidth="1"/>
    <col min="11267" max="11268" width="8.85546875" style="13"/>
    <col min="11269" max="11269" width="9.140625" style="13" customWidth="1"/>
    <col min="11270" max="11297" width="8.85546875" style="13"/>
    <col min="11298" max="11298" width="11" style="13" customWidth="1"/>
    <col min="11299" max="11520" width="8.85546875" style="13"/>
    <col min="11521" max="11521" width="14" style="13" bestFit="1" customWidth="1"/>
    <col min="11522" max="11522" width="14.85546875" style="13" customWidth="1"/>
    <col min="11523" max="11524" width="8.85546875" style="13"/>
    <col min="11525" max="11525" width="9.140625" style="13" customWidth="1"/>
    <col min="11526" max="11553" width="8.85546875" style="13"/>
    <col min="11554" max="11554" width="11" style="13" customWidth="1"/>
    <col min="11555" max="11776" width="8.85546875" style="13"/>
    <col min="11777" max="11777" width="14" style="13" bestFit="1" customWidth="1"/>
    <col min="11778" max="11778" width="14.85546875" style="13" customWidth="1"/>
    <col min="11779" max="11780" width="8.85546875" style="13"/>
    <col min="11781" max="11781" width="9.140625" style="13" customWidth="1"/>
    <col min="11782" max="11809" width="8.85546875" style="13"/>
    <col min="11810" max="11810" width="11" style="13" customWidth="1"/>
    <col min="11811" max="12032" width="8.85546875" style="13"/>
    <col min="12033" max="12033" width="14" style="13" bestFit="1" customWidth="1"/>
    <col min="12034" max="12034" width="14.85546875" style="13" customWidth="1"/>
    <col min="12035" max="12036" width="8.85546875" style="13"/>
    <col min="12037" max="12037" width="9.140625" style="13" customWidth="1"/>
    <col min="12038" max="12065" width="8.85546875" style="13"/>
    <col min="12066" max="12066" width="11" style="13" customWidth="1"/>
    <col min="12067" max="12288" width="8.85546875" style="13"/>
    <col min="12289" max="12289" width="14" style="13" bestFit="1" customWidth="1"/>
    <col min="12290" max="12290" width="14.85546875" style="13" customWidth="1"/>
    <col min="12291" max="12292" width="8.85546875" style="13"/>
    <col min="12293" max="12293" width="9.140625" style="13" customWidth="1"/>
    <col min="12294" max="12321" width="8.85546875" style="13"/>
    <col min="12322" max="12322" width="11" style="13" customWidth="1"/>
    <col min="12323" max="12544" width="8.85546875" style="13"/>
    <col min="12545" max="12545" width="14" style="13" bestFit="1" customWidth="1"/>
    <col min="12546" max="12546" width="14.85546875" style="13" customWidth="1"/>
    <col min="12547" max="12548" width="8.85546875" style="13"/>
    <col min="12549" max="12549" width="9.140625" style="13" customWidth="1"/>
    <col min="12550" max="12577" width="8.85546875" style="13"/>
    <col min="12578" max="12578" width="11" style="13" customWidth="1"/>
    <col min="12579" max="12800" width="8.85546875" style="13"/>
    <col min="12801" max="12801" width="14" style="13" bestFit="1" customWidth="1"/>
    <col min="12802" max="12802" width="14.85546875" style="13" customWidth="1"/>
    <col min="12803" max="12804" width="8.85546875" style="13"/>
    <col min="12805" max="12805" width="9.140625" style="13" customWidth="1"/>
    <col min="12806" max="12833" width="8.85546875" style="13"/>
    <col min="12834" max="12834" width="11" style="13" customWidth="1"/>
    <col min="12835" max="13056" width="8.85546875" style="13"/>
    <col min="13057" max="13057" width="14" style="13" bestFit="1" customWidth="1"/>
    <col min="13058" max="13058" width="14.85546875" style="13" customWidth="1"/>
    <col min="13059" max="13060" width="8.85546875" style="13"/>
    <col min="13061" max="13061" width="9.140625" style="13" customWidth="1"/>
    <col min="13062" max="13089" width="8.85546875" style="13"/>
    <col min="13090" max="13090" width="11" style="13" customWidth="1"/>
    <col min="13091" max="13312" width="8.85546875" style="13"/>
    <col min="13313" max="13313" width="14" style="13" bestFit="1" customWidth="1"/>
    <col min="13314" max="13314" width="14.85546875" style="13" customWidth="1"/>
    <col min="13315" max="13316" width="8.85546875" style="13"/>
    <col min="13317" max="13317" width="9.140625" style="13" customWidth="1"/>
    <col min="13318" max="13345" width="8.85546875" style="13"/>
    <col min="13346" max="13346" width="11" style="13" customWidth="1"/>
    <col min="13347" max="13568" width="8.85546875" style="13"/>
    <col min="13569" max="13569" width="14" style="13" bestFit="1" customWidth="1"/>
    <col min="13570" max="13570" width="14.85546875" style="13" customWidth="1"/>
    <col min="13571" max="13572" width="8.85546875" style="13"/>
    <col min="13573" max="13573" width="9.140625" style="13" customWidth="1"/>
    <col min="13574" max="13601" width="8.85546875" style="13"/>
    <col min="13602" max="13602" width="11" style="13" customWidth="1"/>
    <col min="13603" max="13824" width="8.85546875" style="13"/>
    <col min="13825" max="13825" width="14" style="13" bestFit="1" customWidth="1"/>
    <col min="13826" max="13826" width="14.85546875" style="13" customWidth="1"/>
    <col min="13827" max="13828" width="8.85546875" style="13"/>
    <col min="13829" max="13829" width="9.140625" style="13" customWidth="1"/>
    <col min="13830" max="13857" width="8.85546875" style="13"/>
    <col min="13858" max="13858" width="11" style="13" customWidth="1"/>
    <col min="13859" max="14080" width="8.85546875" style="13"/>
    <col min="14081" max="14081" width="14" style="13" bestFit="1" customWidth="1"/>
    <col min="14082" max="14082" width="14.85546875" style="13" customWidth="1"/>
    <col min="14083" max="14084" width="8.85546875" style="13"/>
    <col min="14085" max="14085" width="9.140625" style="13" customWidth="1"/>
    <col min="14086" max="14113" width="8.85546875" style="13"/>
    <col min="14114" max="14114" width="11" style="13" customWidth="1"/>
    <col min="14115" max="14336" width="8.85546875" style="13"/>
    <col min="14337" max="14337" width="14" style="13" bestFit="1" customWidth="1"/>
    <col min="14338" max="14338" width="14.85546875" style="13" customWidth="1"/>
    <col min="14339" max="14340" width="8.85546875" style="13"/>
    <col min="14341" max="14341" width="9.140625" style="13" customWidth="1"/>
    <col min="14342" max="14369" width="8.85546875" style="13"/>
    <col min="14370" max="14370" width="11" style="13" customWidth="1"/>
    <col min="14371" max="14592" width="8.85546875" style="13"/>
    <col min="14593" max="14593" width="14" style="13" bestFit="1" customWidth="1"/>
    <col min="14594" max="14594" width="14.85546875" style="13" customWidth="1"/>
    <col min="14595" max="14596" width="8.85546875" style="13"/>
    <col min="14597" max="14597" width="9.140625" style="13" customWidth="1"/>
    <col min="14598" max="14625" width="8.85546875" style="13"/>
    <col min="14626" max="14626" width="11" style="13" customWidth="1"/>
    <col min="14627" max="14848" width="8.85546875" style="13"/>
    <col min="14849" max="14849" width="14" style="13" bestFit="1" customWidth="1"/>
    <col min="14850" max="14850" width="14.85546875" style="13" customWidth="1"/>
    <col min="14851" max="14852" width="8.85546875" style="13"/>
    <col min="14853" max="14853" width="9.140625" style="13" customWidth="1"/>
    <col min="14854" max="14881" width="8.85546875" style="13"/>
    <col min="14882" max="14882" width="11" style="13" customWidth="1"/>
    <col min="14883" max="15104" width="8.85546875" style="13"/>
    <col min="15105" max="15105" width="14" style="13" bestFit="1" customWidth="1"/>
    <col min="15106" max="15106" width="14.85546875" style="13" customWidth="1"/>
    <col min="15107" max="15108" width="8.85546875" style="13"/>
    <col min="15109" max="15109" width="9.140625" style="13" customWidth="1"/>
    <col min="15110" max="15137" width="8.85546875" style="13"/>
    <col min="15138" max="15138" width="11" style="13" customWidth="1"/>
    <col min="15139" max="15360" width="8.85546875" style="13"/>
    <col min="15361" max="15361" width="14" style="13" bestFit="1" customWidth="1"/>
    <col min="15362" max="15362" width="14.85546875" style="13" customWidth="1"/>
    <col min="15363" max="15364" width="8.85546875" style="13"/>
    <col min="15365" max="15365" width="9.140625" style="13" customWidth="1"/>
    <col min="15366" max="15393" width="8.85546875" style="13"/>
    <col min="15394" max="15394" width="11" style="13" customWidth="1"/>
    <col min="15395" max="15616" width="8.85546875" style="13"/>
    <col min="15617" max="15617" width="14" style="13" bestFit="1" customWidth="1"/>
    <col min="15618" max="15618" width="14.85546875" style="13" customWidth="1"/>
    <col min="15619" max="15620" width="8.85546875" style="13"/>
    <col min="15621" max="15621" width="9.140625" style="13" customWidth="1"/>
    <col min="15622" max="15649" width="8.85546875" style="13"/>
    <col min="15650" max="15650" width="11" style="13" customWidth="1"/>
    <col min="15651" max="15872" width="8.85546875" style="13"/>
    <col min="15873" max="15873" width="14" style="13" bestFit="1" customWidth="1"/>
    <col min="15874" max="15874" width="14.85546875" style="13" customWidth="1"/>
    <col min="15875" max="15876" width="8.85546875" style="13"/>
    <col min="15877" max="15877" width="9.140625" style="13" customWidth="1"/>
    <col min="15878" max="15905" width="8.85546875" style="13"/>
    <col min="15906" max="15906" width="11" style="13" customWidth="1"/>
    <col min="15907" max="16128" width="8.85546875" style="13"/>
    <col min="16129" max="16129" width="14" style="13" bestFit="1" customWidth="1"/>
    <col min="16130" max="16130" width="14.85546875" style="13" customWidth="1"/>
    <col min="16131" max="16132" width="8.85546875" style="13"/>
    <col min="16133" max="16133" width="9.140625" style="13" customWidth="1"/>
    <col min="16134" max="16161" width="8.85546875" style="13"/>
    <col min="16162" max="16162" width="11" style="13" customWidth="1"/>
    <col min="16163" max="16384" width="8.8554687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25635294.765924856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1461">
        <f>-'COMB A R2 deseq'!G48</f>
        <v>671894.77686003456</v>
      </c>
      <c r="I7" s="1461">
        <f>-'COMB A R2 deseq'!H48</f>
        <v>7510100.091001004</v>
      </c>
      <c r="J7" s="1461">
        <f>-'COMB A R2 deseq'!I48</f>
        <v>1142777.4083802553</v>
      </c>
      <c r="K7" s="1461">
        <f>-'COMB A R2 deseq'!J48</f>
        <v>2401723.0554120527</v>
      </c>
      <c r="L7" s="1461">
        <f>-'COMB A R2 deseq'!K48</f>
        <v>2300650.5045175334</v>
      </c>
      <c r="M7" s="1461">
        <f>-'COMB A R2 deseq'!L48</f>
        <v>1082703.7112701517</v>
      </c>
      <c r="N7" s="1461">
        <f>-'COMB A R2 deseq'!M48</f>
        <v>708522.34751189826</v>
      </c>
      <c r="O7" s="1461">
        <f>-'COMB A R2 deseq'!N48</f>
        <v>47337.753752136574</v>
      </c>
      <c r="P7" s="1461">
        <f>-'COMB A R2 deseq'!O48</f>
        <v>47337.753752136574</v>
      </c>
      <c r="Q7" s="1461">
        <f>-'COMB A R2 deseq'!P48</f>
        <v>68386.753752136574</v>
      </c>
      <c r="R7" s="1461">
        <f>-'COMB A R2 deseq'!Q48</f>
        <v>2479711.3229834135</v>
      </c>
      <c r="S7" s="1461">
        <f>-'COMB A R2 deseq'!R48</f>
        <v>2610913.0281697232</v>
      </c>
      <c r="T7" s="1461">
        <f>-'COMB A R2 deseq'!S48</f>
        <v>1150569.8467733697</v>
      </c>
      <c r="U7" s="1461">
        <f>-'COMB A R2 deseq'!T48</f>
        <v>63098.753752136574</v>
      </c>
      <c r="V7" s="1461">
        <f>-'COMB A R2 deseq'!U48</f>
        <v>63098.753752136574</v>
      </c>
      <c r="W7" s="1461">
        <f>-'COMB A R2 deseq'!V48</f>
        <v>63098.753752136574</v>
      </c>
      <c r="X7" s="1461">
        <f>-'COMB A R2 deseq'!W48</f>
        <v>68793.753752136574</v>
      </c>
      <c r="Y7" s="1461">
        <f>-'COMB A R2 deseq'!X48</f>
        <v>59438.753752136574</v>
      </c>
      <c r="Z7" s="1461">
        <f>-'COMB A R2 deseq'!Y48</f>
        <v>59438.753752136574</v>
      </c>
      <c r="AA7" s="1461">
        <f>-'COMB A R2 deseq'!Z48</f>
        <v>59438.753752136574</v>
      </c>
      <c r="AB7" s="1461">
        <f>-'COMB A R2 deseq'!AA48</f>
        <v>59438.753752136574</v>
      </c>
      <c r="AC7" s="1461">
        <f>-'COMB A R2 deseq'!AB48</f>
        <v>68793.753752136574</v>
      </c>
      <c r="AD7" s="1461">
        <f>-'COMB A R2 deseq'!AC48</f>
        <v>60252.753752136574</v>
      </c>
      <c r="AE7" s="1461">
        <f>-'COMB A R2 deseq'!AD48</f>
        <v>61066.753752136574</v>
      </c>
      <c r="AF7" s="1461">
        <f>-'COMB A R2 deseq'!AE48</f>
        <v>62284.753752136574</v>
      </c>
      <c r="AG7" s="1461">
        <f>-'COMB A R2 deseq'!AF48</f>
        <v>59447.247996732927</v>
      </c>
      <c r="AH7" s="300">
        <f>SUM(D7:AG7)</f>
        <v>25635294.765924856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26875.791074401383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123445.84549485844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26875.791074401383</v>
      </c>
      <c r="I16" s="308">
        <f>I7/24</f>
        <v>312920.83712504181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436366.68261990027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26875.791074401383</v>
      </c>
      <c r="I17" s="305">
        <f>I16</f>
        <v>312920.83712504181</v>
      </c>
      <c r="J17" s="308">
        <f>J7/23</f>
        <v>49685.974277402405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486052.65689730266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26875.791074401383</v>
      </c>
      <c r="I18" s="305">
        <f t="shared" si="9"/>
        <v>312920.83712504181</v>
      </c>
      <c r="J18" s="305">
        <f>J17</f>
        <v>49685.974277402405</v>
      </c>
      <c r="K18" s="308">
        <f>K7/22</f>
        <v>109169.22979145694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595221.88668875955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26875.791074401383</v>
      </c>
      <c r="I19" s="305">
        <f t="shared" si="9"/>
        <v>312920.83712504181</v>
      </c>
      <c r="J19" s="305">
        <f t="shared" si="9"/>
        <v>49685.974277402405</v>
      </c>
      <c r="K19" s="305">
        <f>K18</f>
        <v>109169.22979145694</v>
      </c>
      <c r="L19" s="308">
        <f>L7/21</f>
        <v>109554.78592940635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704776.67261816585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26875.791074401383</v>
      </c>
      <c r="I20" s="305">
        <f t="shared" si="9"/>
        <v>312920.83712504181</v>
      </c>
      <c r="J20" s="305">
        <f t="shared" si="9"/>
        <v>49685.974277402405</v>
      </c>
      <c r="K20" s="305">
        <f t="shared" si="9"/>
        <v>109169.22979145694</v>
      </c>
      <c r="L20" s="305">
        <f>L19</f>
        <v>109554.78592940635</v>
      </c>
      <c r="M20" s="308">
        <f>M7/20</f>
        <v>54135.185563507584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758911.85818167345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26875.791074401383</v>
      </c>
      <c r="I21" s="305">
        <f t="shared" si="9"/>
        <v>312920.83712504181</v>
      </c>
      <c r="J21" s="305">
        <f t="shared" si="9"/>
        <v>49685.974277402405</v>
      </c>
      <c r="K21" s="305">
        <f t="shared" si="9"/>
        <v>109169.22979145694</v>
      </c>
      <c r="L21" s="305">
        <f t="shared" si="9"/>
        <v>109554.78592940635</v>
      </c>
      <c r="M21" s="309">
        <f>M20</f>
        <v>54135.185563507584</v>
      </c>
      <c r="N21" s="308">
        <f>N7/19</f>
        <v>37290.64986904728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796202.50805072067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26875.791074401383</v>
      </c>
      <c r="I22" s="305">
        <f t="shared" si="9"/>
        <v>312920.83712504181</v>
      </c>
      <c r="J22" s="305">
        <f t="shared" si="9"/>
        <v>49685.974277402405</v>
      </c>
      <c r="K22" s="305">
        <f t="shared" si="9"/>
        <v>109169.22979145694</v>
      </c>
      <c r="L22" s="305">
        <f t="shared" si="9"/>
        <v>109554.78592940635</v>
      </c>
      <c r="M22" s="309">
        <f t="shared" si="9"/>
        <v>54135.185563507584</v>
      </c>
      <c r="N22" s="305">
        <f>N21</f>
        <v>37290.64986904728</v>
      </c>
      <c r="O22" s="308">
        <f>O7/18</f>
        <v>2629.875208452032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798832.38325917267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26875.791074401383</v>
      </c>
      <c r="I23" s="305">
        <f t="shared" si="9"/>
        <v>312920.83712504181</v>
      </c>
      <c r="J23" s="305">
        <f t="shared" si="9"/>
        <v>49685.974277402405</v>
      </c>
      <c r="K23" s="305">
        <f t="shared" si="9"/>
        <v>109169.22979145694</v>
      </c>
      <c r="L23" s="305">
        <f t="shared" si="9"/>
        <v>109554.78592940635</v>
      </c>
      <c r="M23" s="309">
        <f t="shared" si="9"/>
        <v>54135.185563507584</v>
      </c>
      <c r="N23" s="305">
        <f t="shared" si="9"/>
        <v>37290.64986904728</v>
      </c>
      <c r="O23" s="305">
        <f>O22</f>
        <v>2629.875208452032</v>
      </c>
      <c r="P23" s="308">
        <f>P7/17</f>
        <v>2784.5737501256808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801616.95700929838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26875.791074401383</v>
      </c>
      <c r="I24" s="305">
        <f t="shared" si="9"/>
        <v>312920.83712504181</v>
      </c>
      <c r="J24" s="305">
        <f t="shared" si="9"/>
        <v>49685.974277402405</v>
      </c>
      <c r="K24" s="305">
        <f t="shared" si="9"/>
        <v>109169.22979145694</v>
      </c>
      <c r="L24" s="305">
        <f t="shared" si="9"/>
        <v>109554.78592940635</v>
      </c>
      <c r="M24" s="309">
        <f t="shared" si="9"/>
        <v>54135.185563507584</v>
      </c>
      <c r="N24" s="305">
        <f t="shared" si="9"/>
        <v>37290.64986904728</v>
      </c>
      <c r="O24" s="305">
        <f t="shared" si="9"/>
        <v>2629.875208452032</v>
      </c>
      <c r="P24" s="305">
        <f>P23</f>
        <v>2784.5737501256808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805891.12911880692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26875.791074401383</v>
      </c>
      <c r="I25" s="305">
        <f t="shared" si="9"/>
        <v>312920.83712504181</v>
      </c>
      <c r="J25" s="305">
        <f t="shared" si="9"/>
        <v>49685.974277402405</v>
      </c>
      <c r="K25" s="305">
        <f t="shared" si="9"/>
        <v>109169.22979145694</v>
      </c>
      <c r="L25" s="305">
        <f t="shared" si="9"/>
        <v>109554.78592940635</v>
      </c>
      <c r="M25" s="309">
        <f t="shared" si="9"/>
        <v>54135.185563507584</v>
      </c>
      <c r="N25" s="305">
        <f t="shared" si="9"/>
        <v>37290.64986904728</v>
      </c>
      <c r="O25" s="305">
        <f t="shared" si="9"/>
        <v>2629.875208452032</v>
      </c>
      <c r="P25" s="305">
        <f t="shared" si="9"/>
        <v>2784.5737501256808</v>
      </c>
      <c r="Q25" s="305">
        <f>Q24</f>
        <v>4274.1721095085359</v>
      </c>
      <c r="R25" s="308">
        <f>R7/15</f>
        <v>165314.08819889423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971205.21731770108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26875.791074401383</v>
      </c>
      <c r="I26" s="305">
        <f t="shared" si="9"/>
        <v>312920.83712504181</v>
      </c>
      <c r="J26" s="305">
        <f t="shared" si="9"/>
        <v>49685.974277402405</v>
      </c>
      <c r="K26" s="305">
        <f t="shared" si="9"/>
        <v>109169.22979145694</v>
      </c>
      <c r="L26" s="305">
        <f t="shared" si="9"/>
        <v>109554.78592940635</v>
      </c>
      <c r="M26" s="309">
        <f t="shared" si="9"/>
        <v>54135.185563507584</v>
      </c>
      <c r="N26" s="305">
        <f t="shared" si="9"/>
        <v>37290.64986904728</v>
      </c>
      <c r="O26" s="305">
        <f t="shared" si="9"/>
        <v>2629.875208452032</v>
      </c>
      <c r="P26" s="305">
        <f t="shared" si="9"/>
        <v>2784.5737501256808</v>
      </c>
      <c r="Q26" s="305">
        <f t="shared" si="9"/>
        <v>4274.1721095085359</v>
      </c>
      <c r="R26" s="305">
        <f>R25</f>
        <v>165314.08819889423</v>
      </c>
      <c r="S26" s="308">
        <f>S7/14</f>
        <v>186493.7877264088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1157699.0050441099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26875.791074401383</v>
      </c>
      <c r="I27" s="305">
        <f t="shared" si="9"/>
        <v>312920.83712504181</v>
      </c>
      <c r="J27" s="305">
        <f t="shared" si="9"/>
        <v>49685.974277402405</v>
      </c>
      <c r="K27" s="305">
        <f t="shared" si="9"/>
        <v>109169.22979145694</v>
      </c>
      <c r="L27" s="305">
        <f t="shared" si="9"/>
        <v>109554.78592940635</v>
      </c>
      <c r="M27" s="309">
        <f t="shared" si="9"/>
        <v>54135.185563507584</v>
      </c>
      <c r="N27" s="305">
        <f t="shared" si="9"/>
        <v>37290.64986904728</v>
      </c>
      <c r="O27" s="305">
        <f t="shared" si="9"/>
        <v>2629.875208452032</v>
      </c>
      <c r="P27" s="305">
        <f t="shared" si="9"/>
        <v>2784.5737501256808</v>
      </c>
      <c r="Q27" s="305">
        <f t="shared" si="9"/>
        <v>4274.1721095085359</v>
      </c>
      <c r="R27" s="305">
        <f t="shared" si="9"/>
        <v>165314.08819889423</v>
      </c>
      <c r="S27" s="305">
        <f>S26</f>
        <v>186493.7877264088</v>
      </c>
      <c r="T27" s="308">
        <f>T7/13</f>
        <v>88505.372828720749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1246204.3778728307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26875.791074401383</v>
      </c>
      <c r="I28" s="305">
        <f t="shared" si="9"/>
        <v>312920.83712504181</v>
      </c>
      <c r="J28" s="305">
        <f t="shared" si="9"/>
        <v>49685.974277402405</v>
      </c>
      <c r="K28" s="305">
        <f t="shared" si="9"/>
        <v>109169.22979145694</v>
      </c>
      <c r="L28" s="305">
        <f t="shared" si="9"/>
        <v>109554.78592940635</v>
      </c>
      <c r="M28" s="309">
        <f t="shared" si="9"/>
        <v>54135.185563507584</v>
      </c>
      <c r="N28" s="305">
        <f t="shared" si="9"/>
        <v>37290.64986904728</v>
      </c>
      <c r="O28" s="305">
        <f t="shared" si="9"/>
        <v>2629.875208452032</v>
      </c>
      <c r="P28" s="305">
        <f t="shared" si="9"/>
        <v>2784.5737501256808</v>
      </c>
      <c r="Q28" s="305">
        <f t="shared" si="9"/>
        <v>4274.1721095085359</v>
      </c>
      <c r="R28" s="305">
        <f t="shared" si="9"/>
        <v>165314.08819889423</v>
      </c>
      <c r="S28" s="305">
        <f>S27</f>
        <v>186493.7877264088</v>
      </c>
      <c r="T28" s="305">
        <f>T27</f>
        <v>88505.372828720749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1251462.6073521755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26875.791074401383</v>
      </c>
      <c r="I29" s="305">
        <f t="shared" si="10"/>
        <v>312920.83712504181</v>
      </c>
      <c r="J29" s="305">
        <f t="shared" si="10"/>
        <v>49685.974277402405</v>
      </c>
      <c r="K29" s="305">
        <f t="shared" si="10"/>
        <v>109169.22979145694</v>
      </c>
      <c r="L29" s="305">
        <f t="shared" si="10"/>
        <v>109554.78592940635</v>
      </c>
      <c r="M29" s="309">
        <f t="shared" si="10"/>
        <v>54135.185563507584</v>
      </c>
      <c r="N29" s="305">
        <f t="shared" si="10"/>
        <v>37290.64986904728</v>
      </c>
      <c r="O29" s="305">
        <f t="shared" si="10"/>
        <v>2629.875208452032</v>
      </c>
      <c r="P29" s="305">
        <f t="shared" si="10"/>
        <v>2784.5737501256808</v>
      </c>
      <c r="Q29" s="305">
        <f t="shared" si="10"/>
        <v>4274.1721095085359</v>
      </c>
      <c r="R29" s="305">
        <f t="shared" si="10"/>
        <v>165314.08819889423</v>
      </c>
      <c r="S29" s="305">
        <f t="shared" si="10"/>
        <v>186493.7877264088</v>
      </c>
      <c r="T29" s="305">
        <f t="shared" si="10"/>
        <v>88505.372828720749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1257198.8576932789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26875.791074401383</v>
      </c>
      <c r="I30" s="305">
        <f t="shared" si="10"/>
        <v>312920.83712504181</v>
      </c>
      <c r="J30" s="305">
        <f t="shared" si="10"/>
        <v>49685.974277402405</v>
      </c>
      <c r="K30" s="305">
        <f t="shared" si="10"/>
        <v>109169.22979145694</v>
      </c>
      <c r="L30" s="305">
        <f t="shared" si="10"/>
        <v>109554.78592940635</v>
      </c>
      <c r="M30" s="309">
        <f t="shared" si="10"/>
        <v>54135.185563507584</v>
      </c>
      <c r="N30" s="305">
        <f t="shared" si="10"/>
        <v>37290.64986904728</v>
      </c>
      <c r="O30" s="305">
        <f t="shared" si="10"/>
        <v>2629.875208452032</v>
      </c>
      <c r="P30" s="305">
        <f t="shared" si="10"/>
        <v>2784.5737501256808</v>
      </c>
      <c r="Q30" s="305">
        <f t="shared" si="10"/>
        <v>4274.1721095085359</v>
      </c>
      <c r="R30" s="305">
        <f t="shared" si="10"/>
        <v>165314.08819889423</v>
      </c>
      <c r="S30" s="305">
        <f t="shared" si="10"/>
        <v>186493.7877264088</v>
      </c>
      <c r="T30" s="305">
        <f t="shared" si="10"/>
        <v>88505.372828720749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1263508.7330684925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26875.791074401383</v>
      </c>
      <c r="I31" s="305">
        <f t="shared" si="10"/>
        <v>312920.83712504181</v>
      </c>
      <c r="J31" s="305">
        <f t="shared" si="10"/>
        <v>49685.974277402405</v>
      </c>
      <c r="K31" s="305">
        <f t="shared" si="10"/>
        <v>109169.22979145694</v>
      </c>
      <c r="L31" s="305">
        <f t="shared" si="10"/>
        <v>109554.78592940635</v>
      </c>
      <c r="M31" s="309">
        <f t="shared" si="10"/>
        <v>54135.185563507584</v>
      </c>
      <c r="N31" s="305">
        <f t="shared" si="10"/>
        <v>37290.64986904728</v>
      </c>
      <c r="O31" s="305">
        <f t="shared" si="10"/>
        <v>2629.875208452032</v>
      </c>
      <c r="P31" s="305">
        <f t="shared" si="10"/>
        <v>2784.5737501256808</v>
      </c>
      <c r="Q31" s="305">
        <f t="shared" si="10"/>
        <v>4274.1721095085359</v>
      </c>
      <c r="R31" s="305">
        <f t="shared" si="10"/>
        <v>165314.08819889423</v>
      </c>
      <c r="S31" s="305">
        <f t="shared" si="10"/>
        <v>186493.7877264088</v>
      </c>
      <c r="T31" s="305">
        <f t="shared" si="11"/>
        <v>88505.372828720749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1271152.4834853965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26875.791074401383</v>
      </c>
      <c r="I32" s="305">
        <f t="shared" si="10"/>
        <v>312920.83712504181</v>
      </c>
      <c r="J32" s="305">
        <f t="shared" si="10"/>
        <v>49685.974277402405</v>
      </c>
      <c r="K32" s="305">
        <f t="shared" si="10"/>
        <v>109169.22979145694</v>
      </c>
      <c r="L32" s="305">
        <f t="shared" si="10"/>
        <v>109554.78592940635</v>
      </c>
      <c r="M32" s="309">
        <f t="shared" si="10"/>
        <v>54135.185563507584</v>
      </c>
      <c r="N32" s="305">
        <f t="shared" si="10"/>
        <v>37290.64986904728</v>
      </c>
      <c r="O32" s="305">
        <f t="shared" si="10"/>
        <v>2629.875208452032</v>
      </c>
      <c r="P32" s="305">
        <f t="shared" si="10"/>
        <v>2784.5737501256808</v>
      </c>
      <c r="Q32" s="305">
        <f t="shared" si="10"/>
        <v>4274.1721095085359</v>
      </c>
      <c r="R32" s="305">
        <f t="shared" si="10"/>
        <v>165314.08819889423</v>
      </c>
      <c r="S32" s="305">
        <f t="shared" si="10"/>
        <v>186493.7877264088</v>
      </c>
      <c r="T32" s="305">
        <f t="shared" si="11"/>
        <v>88505.372828720749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1278582.3277044136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26875.791074401383</v>
      </c>
      <c r="I33" s="305">
        <f t="shared" si="10"/>
        <v>312920.83712504181</v>
      </c>
      <c r="J33" s="305">
        <f t="shared" si="10"/>
        <v>49685.974277402405</v>
      </c>
      <c r="K33" s="305">
        <f t="shared" si="10"/>
        <v>109169.22979145694</v>
      </c>
      <c r="L33" s="305">
        <f t="shared" si="10"/>
        <v>109554.78592940635</v>
      </c>
      <c r="M33" s="309">
        <f t="shared" si="10"/>
        <v>54135.185563507584</v>
      </c>
      <c r="N33" s="305">
        <f t="shared" si="10"/>
        <v>37290.64986904728</v>
      </c>
      <c r="O33" s="305">
        <f t="shared" si="10"/>
        <v>2629.875208452032</v>
      </c>
      <c r="P33" s="305">
        <f t="shared" si="10"/>
        <v>2784.5737501256808</v>
      </c>
      <c r="Q33" s="305">
        <f t="shared" si="10"/>
        <v>4274.1721095085359</v>
      </c>
      <c r="R33" s="305">
        <f t="shared" si="10"/>
        <v>165314.08819889423</v>
      </c>
      <c r="S33" s="305">
        <f t="shared" si="10"/>
        <v>186493.7877264088</v>
      </c>
      <c r="T33" s="305">
        <f t="shared" si="11"/>
        <v>88505.372828720749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1287073.578240433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26875.791074401383</v>
      </c>
      <c r="I34" s="305">
        <f t="shared" si="10"/>
        <v>312920.83712504181</v>
      </c>
      <c r="J34" s="305">
        <f t="shared" si="10"/>
        <v>49685.974277402405</v>
      </c>
      <c r="K34" s="305">
        <f t="shared" si="10"/>
        <v>109169.22979145694</v>
      </c>
      <c r="L34" s="305">
        <f t="shared" si="10"/>
        <v>109554.78592940635</v>
      </c>
      <c r="M34" s="309">
        <f t="shared" si="10"/>
        <v>54135.185563507584</v>
      </c>
      <c r="N34" s="305">
        <f t="shared" si="10"/>
        <v>37290.64986904728</v>
      </c>
      <c r="O34" s="305">
        <f t="shared" si="10"/>
        <v>2629.875208452032</v>
      </c>
      <c r="P34" s="305">
        <f t="shared" si="10"/>
        <v>2784.5737501256808</v>
      </c>
      <c r="Q34" s="305">
        <f t="shared" si="10"/>
        <v>4274.1721095085359</v>
      </c>
      <c r="R34" s="305">
        <f t="shared" si="10"/>
        <v>165314.08819889423</v>
      </c>
      <c r="S34" s="305">
        <f t="shared" si="10"/>
        <v>186493.7877264088</v>
      </c>
      <c r="T34" s="305">
        <f t="shared" si="11"/>
        <v>88505.372828720749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1296980.0371991224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26875.791074401383</v>
      </c>
      <c r="I35" s="305">
        <f t="shared" si="10"/>
        <v>312920.83712504181</v>
      </c>
      <c r="J35" s="305">
        <f t="shared" si="10"/>
        <v>49685.974277402405</v>
      </c>
      <c r="K35" s="305">
        <f t="shared" si="10"/>
        <v>109169.22979145694</v>
      </c>
      <c r="L35" s="305">
        <f t="shared" si="10"/>
        <v>109554.78592940635</v>
      </c>
      <c r="M35" s="309">
        <f t="shared" si="10"/>
        <v>54135.185563507584</v>
      </c>
      <c r="N35" s="305">
        <f t="shared" si="10"/>
        <v>37290.64986904728</v>
      </c>
      <c r="O35" s="305">
        <f t="shared" si="10"/>
        <v>2629.875208452032</v>
      </c>
      <c r="P35" s="305">
        <f t="shared" si="10"/>
        <v>2784.5737501256808</v>
      </c>
      <c r="Q35" s="305">
        <f t="shared" si="10"/>
        <v>4274.1721095085359</v>
      </c>
      <c r="R35" s="305">
        <f t="shared" si="10"/>
        <v>165314.08819889423</v>
      </c>
      <c r="S35" s="305">
        <f t="shared" si="10"/>
        <v>186493.7877264088</v>
      </c>
      <c r="T35" s="305">
        <f t="shared" si="11"/>
        <v>88505.372828720749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1308867.7879495497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26875.791074401383</v>
      </c>
      <c r="I36" s="305">
        <f t="shared" si="10"/>
        <v>312920.83712504181</v>
      </c>
      <c r="J36" s="305">
        <f t="shared" si="10"/>
        <v>49685.974277402405</v>
      </c>
      <c r="K36" s="305">
        <f t="shared" si="10"/>
        <v>109169.22979145694</v>
      </c>
      <c r="L36" s="305">
        <f t="shared" si="10"/>
        <v>109554.78592940635</v>
      </c>
      <c r="M36" s="309">
        <f t="shared" si="10"/>
        <v>54135.185563507584</v>
      </c>
      <c r="N36" s="305">
        <f t="shared" si="10"/>
        <v>37290.64986904728</v>
      </c>
      <c r="O36" s="305">
        <f t="shared" si="10"/>
        <v>2629.875208452032</v>
      </c>
      <c r="P36" s="305">
        <f t="shared" si="10"/>
        <v>2784.5737501256808</v>
      </c>
      <c r="Q36" s="305">
        <f t="shared" si="10"/>
        <v>4274.1721095085359</v>
      </c>
      <c r="R36" s="305">
        <f t="shared" si="10"/>
        <v>165314.08819889423</v>
      </c>
      <c r="S36" s="305">
        <f t="shared" si="10"/>
        <v>186493.7877264088</v>
      </c>
      <c r="T36" s="305">
        <f t="shared" si="11"/>
        <v>88505.372828720749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1326066.2263875839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26875.791074401383</v>
      </c>
      <c r="I37" s="305">
        <f t="shared" si="10"/>
        <v>312920.83712504181</v>
      </c>
      <c r="J37" s="305">
        <f t="shared" si="10"/>
        <v>49685.974277402405</v>
      </c>
      <c r="K37" s="305">
        <f t="shared" si="10"/>
        <v>109169.22979145694</v>
      </c>
      <c r="L37" s="305">
        <f t="shared" si="10"/>
        <v>109554.78592940635</v>
      </c>
      <c r="M37" s="309">
        <f t="shared" si="10"/>
        <v>54135.185563507584</v>
      </c>
      <c r="N37" s="305">
        <f t="shared" si="10"/>
        <v>37290.64986904728</v>
      </c>
      <c r="O37" s="305">
        <f t="shared" si="10"/>
        <v>2629.875208452032</v>
      </c>
      <c r="P37" s="305">
        <f t="shared" si="10"/>
        <v>2784.5737501256808</v>
      </c>
      <c r="Q37" s="305">
        <f t="shared" si="10"/>
        <v>4274.1721095085359</v>
      </c>
      <c r="R37" s="305">
        <f t="shared" si="10"/>
        <v>165314.08819889423</v>
      </c>
      <c r="S37" s="305">
        <f t="shared" si="10"/>
        <v>186493.7877264088</v>
      </c>
      <c r="T37" s="305">
        <f t="shared" si="11"/>
        <v>88505.372828720749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1346150.4776382961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26875.791074401383</v>
      </c>
      <c r="I38" s="305">
        <f t="shared" si="10"/>
        <v>312920.83712504181</v>
      </c>
      <c r="J38" s="305">
        <f t="shared" si="10"/>
        <v>49685.974277402405</v>
      </c>
      <c r="K38" s="305">
        <f t="shared" si="10"/>
        <v>109169.22979145694</v>
      </c>
      <c r="L38" s="305">
        <f t="shared" si="10"/>
        <v>109554.78592940635</v>
      </c>
      <c r="M38" s="309">
        <f t="shared" si="10"/>
        <v>54135.185563507584</v>
      </c>
      <c r="N38" s="305">
        <f t="shared" si="10"/>
        <v>37290.64986904728</v>
      </c>
      <c r="O38" s="305">
        <f t="shared" si="10"/>
        <v>2629.875208452032</v>
      </c>
      <c r="P38" s="305">
        <f t="shared" si="10"/>
        <v>2784.5737501256808</v>
      </c>
      <c r="Q38" s="305">
        <f t="shared" si="10"/>
        <v>4274.1721095085359</v>
      </c>
      <c r="R38" s="305">
        <f t="shared" si="10"/>
        <v>165314.08819889423</v>
      </c>
      <c r="S38" s="305">
        <f t="shared" si="10"/>
        <v>186493.7877264088</v>
      </c>
      <c r="T38" s="305">
        <f t="shared" si="11"/>
        <v>88505.372828720749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1376683.8545143644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26875.791074401383</v>
      </c>
      <c r="I39" s="305">
        <f t="shared" si="10"/>
        <v>312920.83712504181</v>
      </c>
      <c r="J39" s="305">
        <f t="shared" si="10"/>
        <v>49685.974277402405</v>
      </c>
      <c r="K39" s="305">
        <f t="shared" si="10"/>
        <v>109169.22979145694</v>
      </c>
      <c r="L39" s="305">
        <f t="shared" si="10"/>
        <v>109554.78592940635</v>
      </c>
      <c r="M39" s="309">
        <f t="shared" si="10"/>
        <v>54135.185563507584</v>
      </c>
      <c r="N39" s="305">
        <f t="shared" si="10"/>
        <v>37290.64986904728</v>
      </c>
      <c r="O39" s="305">
        <f t="shared" si="10"/>
        <v>2629.875208452032</v>
      </c>
      <c r="P39" s="305">
        <f t="shared" si="10"/>
        <v>2784.5737501256808</v>
      </c>
      <c r="Q39" s="305">
        <f t="shared" si="10"/>
        <v>4274.1721095085359</v>
      </c>
      <c r="R39" s="305">
        <f t="shared" si="10"/>
        <v>165314.08819889423</v>
      </c>
      <c r="S39" s="305">
        <f t="shared" si="10"/>
        <v>186493.7877264088</v>
      </c>
      <c r="T39" s="305">
        <f t="shared" si="11"/>
        <v>88505.372828720749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1498415.8562632338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671894.77686003468</v>
      </c>
      <c r="I40" s="312">
        <f t="shared" si="12"/>
        <v>7510100.0910010012</v>
      </c>
      <c r="J40" s="312">
        <f t="shared" si="12"/>
        <v>1142777.4083802553</v>
      </c>
      <c r="K40" s="312">
        <f t="shared" si="12"/>
        <v>2401723.0554120513</v>
      </c>
      <c r="L40" s="312">
        <f t="shared" si="12"/>
        <v>2300650.5045175329</v>
      </c>
      <c r="M40" s="313">
        <f t="shared" si="12"/>
        <v>1082703.7112701519</v>
      </c>
      <c r="N40" s="312">
        <f t="shared" si="12"/>
        <v>708522.34751189849</v>
      </c>
      <c r="O40" s="312">
        <f t="shared" si="12"/>
        <v>47337.753752136567</v>
      </c>
      <c r="P40" s="312">
        <f t="shared" si="12"/>
        <v>47337.753752136574</v>
      </c>
      <c r="Q40" s="312">
        <f t="shared" si="12"/>
        <v>68386.753752136588</v>
      </c>
      <c r="R40" s="312">
        <f t="shared" si="12"/>
        <v>2479711.322983413</v>
      </c>
      <c r="S40" s="312">
        <f t="shared" si="12"/>
        <v>2610913.0281697232</v>
      </c>
      <c r="T40" s="312">
        <f t="shared" si="12"/>
        <v>1150569.8467733697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25635294.765924875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6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T103:W106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4"/>
        <v>#VALUE!</v>
      </c>
      <c r="E104" s="305" t="e">
        <f t="shared" si="24"/>
        <v>#VALUE!</v>
      </c>
      <c r="F104" s="305" t="e">
        <f t="shared" si="24"/>
        <v>#VALUE!</v>
      </c>
      <c r="G104" s="305" t="e">
        <f t="shared" si="24"/>
        <v>#VALUE!</v>
      </c>
      <c r="H104" s="305" t="e">
        <f t="shared" si="24"/>
        <v>#VALUE!</v>
      </c>
      <c r="I104" s="305" t="e">
        <f t="shared" si="24"/>
        <v>#VALUE!</v>
      </c>
      <c r="J104" s="305" t="e">
        <f t="shared" si="24"/>
        <v>#VALUE!</v>
      </c>
      <c r="K104" s="305" t="e">
        <f t="shared" si="24"/>
        <v>#VALUE!</v>
      </c>
      <c r="L104" s="305" t="e">
        <f t="shared" si="24"/>
        <v>#VALUE!</v>
      </c>
      <c r="M104" s="305" t="e">
        <f t="shared" si="24"/>
        <v>#VALUE!</v>
      </c>
      <c r="N104" s="305" t="e">
        <f t="shared" si="24"/>
        <v>#VALUE!</v>
      </c>
      <c r="O104" s="305" t="e">
        <f t="shared" si="24"/>
        <v>#VALUE!</v>
      </c>
      <c r="P104" s="305" t="e">
        <f t="shared" si="24"/>
        <v>#VALUE!</v>
      </c>
      <c r="Q104" s="305" t="e">
        <f t="shared" si="24"/>
        <v>#VALUE!</v>
      </c>
      <c r="R104" s="305" t="e">
        <f t="shared" si="24"/>
        <v>#VALUE!</v>
      </c>
      <c r="S104" s="305" t="e">
        <f t="shared" si="24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4"/>
        <v>#VALUE!</v>
      </c>
      <c r="F105" s="305" t="e">
        <f t="shared" si="24"/>
        <v>#VALUE!</v>
      </c>
      <c r="G105" s="305" t="e">
        <f t="shared" si="24"/>
        <v>#VALUE!</v>
      </c>
      <c r="H105" s="305" t="e">
        <f t="shared" si="24"/>
        <v>#VALUE!</v>
      </c>
      <c r="I105" s="305" t="e">
        <f t="shared" si="24"/>
        <v>#VALUE!</v>
      </c>
      <c r="J105" s="305" t="e">
        <f t="shared" si="24"/>
        <v>#VALUE!</v>
      </c>
      <c r="K105" s="305" t="e">
        <f t="shared" si="24"/>
        <v>#VALUE!</v>
      </c>
      <c r="L105" s="305" t="e">
        <f t="shared" si="24"/>
        <v>#VALUE!</v>
      </c>
      <c r="M105" s="305" t="e">
        <f t="shared" si="24"/>
        <v>#VALUE!</v>
      </c>
      <c r="N105" s="305" t="e">
        <f t="shared" si="24"/>
        <v>#VALUE!</v>
      </c>
      <c r="O105" s="305" t="e">
        <f t="shared" si="24"/>
        <v>#VALUE!</v>
      </c>
      <c r="P105" s="305" t="e">
        <f t="shared" si="24"/>
        <v>#VALUE!</v>
      </c>
      <c r="Q105" s="305" t="e">
        <f t="shared" si="24"/>
        <v>#VALUE!</v>
      </c>
      <c r="R105" s="305" t="e">
        <f t="shared" si="24"/>
        <v>#VALUE!</v>
      </c>
      <c r="S105" s="305" t="e">
        <f t="shared" si="24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4"/>
        <v>#VALUE!</v>
      </c>
      <c r="G106" s="305" t="e">
        <f t="shared" si="24"/>
        <v>#VALUE!</v>
      </c>
      <c r="H106" s="305" t="e">
        <f t="shared" si="24"/>
        <v>#VALUE!</v>
      </c>
      <c r="I106" s="305" t="e">
        <f t="shared" si="24"/>
        <v>#VALUE!</v>
      </c>
      <c r="J106" s="305" t="e">
        <f t="shared" si="24"/>
        <v>#VALUE!</v>
      </c>
      <c r="K106" s="305" t="e">
        <f t="shared" si="24"/>
        <v>#VALUE!</v>
      </c>
      <c r="L106" s="305" t="e">
        <f t="shared" si="24"/>
        <v>#VALUE!</v>
      </c>
      <c r="M106" s="305" t="e">
        <f t="shared" si="24"/>
        <v>#VALUE!</v>
      </c>
      <c r="N106" s="305" t="e">
        <f t="shared" si="24"/>
        <v>#VALUE!</v>
      </c>
      <c r="O106" s="305" t="e">
        <f t="shared" si="24"/>
        <v>#VALUE!</v>
      </c>
      <c r="P106" s="305" t="e">
        <f t="shared" si="24"/>
        <v>#VALUE!</v>
      </c>
      <c r="Q106" s="305" t="e">
        <f t="shared" si="24"/>
        <v>#VALUE!</v>
      </c>
      <c r="R106" s="305" t="e">
        <f t="shared" si="24"/>
        <v>#VALUE!</v>
      </c>
      <c r="S106" s="305" t="e">
        <f t="shared" si="24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ref="G107:Z113" si="26">G106</f>
        <v>#VALUE!</v>
      </c>
      <c r="H107" s="305" t="e">
        <f t="shared" si="26"/>
        <v>#VALUE!</v>
      </c>
      <c r="I107" s="305" t="e">
        <f t="shared" si="26"/>
        <v>#VALUE!</v>
      </c>
      <c r="J107" s="305" t="e">
        <f t="shared" si="26"/>
        <v>#VALUE!</v>
      </c>
      <c r="K107" s="305" t="e">
        <f t="shared" si="26"/>
        <v>#VALUE!</v>
      </c>
      <c r="L107" s="305" t="e">
        <f t="shared" si="26"/>
        <v>#VALUE!</v>
      </c>
      <c r="M107" s="305" t="e">
        <f t="shared" si="26"/>
        <v>#VALUE!</v>
      </c>
      <c r="N107" s="305" t="e">
        <f t="shared" si="26"/>
        <v>#VALUE!</v>
      </c>
      <c r="O107" s="305" t="e">
        <f t="shared" si="26"/>
        <v>#VALUE!</v>
      </c>
      <c r="P107" s="305" t="e">
        <f t="shared" si="26"/>
        <v>#VALUE!</v>
      </c>
      <c r="Q107" s="305" t="e">
        <f t="shared" si="26"/>
        <v>#VALUE!</v>
      </c>
      <c r="R107" s="305" t="e">
        <f t="shared" si="26"/>
        <v>#VALUE!</v>
      </c>
      <c r="S107" s="305" t="e">
        <f t="shared" si="26"/>
        <v>#VALUE!</v>
      </c>
      <c r="T107" s="305" t="e">
        <f t="shared" si="26"/>
        <v>#VALUE!</v>
      </c>
      <c r="U107" s="305" t="e">
        <f t="shared" si="26"/>
        <v>#VALUE!</v>
      </c>
      <c r="V107" s="305" t="e">
        <f t="shared" si="26"/>
        <v>#VALUE!</v>
      </c>
      <c r="W107" s="305" t="e">
        <f t="shared" si="26"/>
        <v>#VALUE!</v>
      </c>
      <c r="X107" s="305" t="e">
        <f t="shared" si="26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6"/>
        <v>#VALUE!</v>
      </c>
      <c r="I108" s="305" t="e">
        <f t="shared" si="26"/>
        <v>#VALUE!</v>
      </c>
      <c r="J108" s="305" t="e">
        <f t="shared" si="26"/>
        <v>#VALUE!</v>
      </c>
      <c r="K108" s="305" t="e">
        <f t="shared" si="26"/>
        <v>#VALUE!</v>
      </c>
      <c r="L108" s="305" t="e">
        <f t="shared" si="26"/>
        <v>#VALUE!</v>
      </c>
      <c r="M108" s="305" t="e">
        <f t="shared" si="26"/>
        <v>#VALUE!</v>
      </c>
      <c r="N108" s="305" t="e">
        <f t="shared" si="26"/>
        <v>#VALUE!</v>
      </c>
      <c r="O108" s="305" t="e">
        <f t="shared" si="26"/>
        <v>#VALUE!</v>
      </c>
      <c r="P108" s="305" t="e">
        <f t="shared" si="26"/>
        <v>#VALUE!</v>
      </c>
      <c r="Q108" s="305" t="e">
        <f t="shared" si="26"/>
        <v>#VALUE!</v>
      </c>
      <c r="R108" s="305" t="e">
        <f t="shared" si="26"/>
        <v>#VALUE!</v>
      </c>
      <c r="S108" s="305" t="e">
        <f t="shared" si="26"/>
        <v>#VALUE!</v>
      </c>
      <c r="T108" s="305" t="e">
        <f t="shared" si="26"/>
        <v>#VALUE!</v>
      </c>
      <c r="U108" s="305" t="e">
        <f t="shared" si="26"/>
        <v>#VALUE!</v>
      </c>
      <c r="V108" s="305" t="e">
        <f t="shared" si="26"/>
        <v>#VALUE!</v>
      </c>
      <c r="W108" s="305" t="e">
        <f t="shared" si="26"/>
        <v>#VALUE!</v>
      </c>
      <c r="X108" s="305" t="e">
        <f t="shared" si="26"/>
        <v>#VALUE!</v>
      </c>
      <c r="Y108" s="305" t="e">
        <f t="shared" si="26"/>
        <v>#VALUE!</v>
      </c>
      <c r="Z108" s="305" t="e">
        <f t="shared" si="26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6"/>
        <v>#VALUE!</v>
      </c>
      <c r="J109" s="305" t="e">
        <f t="shared" si="26"/>
        <v>#VALUE!</v>
      </c>
      <c r="K109" s="305" t="e">
        <f t="shared" si="26"/>
        <v>#VALUE!</v>
      </c>
      <c r="L109" s="305" t="e">
        <f t="shared" si="26"/>
        <v>#VALUE!</v>
      </c>
      <c r="M109" s="305" t="e">
        <f t="shared" si="26"/>
        <v>#VALUE!</v>
      </c>
      <c r="N109" s="305" t="e">
        <f t="shared" si="26"/>
        <v>#VALUE!</v>
      </c>
      <c r="O109" s="305" t="e">
        <f t="shared" si="26"/>
        <v>#VALUE!</v>
      </c>
      <c r="P109" s="305" t="e">
        <f t="shared" si="26"/>
        <v>#VALUE!</v>
      </c>
      <c r="Q109" s="305" t="e">
        <f t="shared" si="26"/>
        <v>#VALUE!</v>
      </c>
      <c r="R109" s="305" t="e">
        <f t="shared" si="26"/>
        <v>#VALUE!</v>
      </c>
      <c r="S109" s="305" t="e">
        <f t="shared" si="26"/>
        <v>#VALUE!</v>
      </c>
      <c r="T109" s="305" t="e">
        <f t="shared" si="26"/>
        <v>#VALUE!</v>
      </c>
      <c r="U109" s="305" t="e">
        <f t="shared" si="26"/>
        <v>#VALUE!</v>
      </c>
      <c r="V109" s="305" t="e">
        <f t="shared" si="26"/>
        <v>#VALUE!</v>
      </c>
      <c r="W109" s="305" t="e">
        <f t="shared" si="26"/>
        <v>#VALUE!</v>
      </c>
      <c r="X109" s="305" t="e">
        <f t="shared" si="26"/>
        <v>#VALUE!</v>
      </c>
      <c r="Y109" s="305" t="e">
        <f t="shared" si="26"/>
        <v>#VALUE!</v>
      </c>
      <c r="Z109" s="305" t="e">
        <f t="shared" si="26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6"/>
        <v>#VALUE!</v>
      </c>
      <c r="K110" s="305" t="e">
        <f t="shared" si="26"/>
        <v>#VALUE!</v>
      </c>
      <c r="L110" s="305" t="e">
        <f t="shared" si="26"/>
        <v>#VALUE!</v>
      </c>
      <c r="M110" s="305" t="e">
        <f t="shared" si="26"/>
        <v>#VALUE!</v>
      </c>
      <c r="N110" s="305" t="e">
        <f t="shared" si="26"/>
        <v>#VALUE!</v>
      </c>
      <c r="O110" s="305" t="e">
        <f t="shared" si="26"/>
        <v>#VALUE!</v>
      </c>
      <c r="P110" s="305" t="e">
        <f t="shared" si="26"/>
        <v>#VALUE!</v>
      </c>
      <c r="Q110" s="305" t="e">
        <f t="shared" si="26"/>
        <v>#VALUE!</v>
      </c>
      <c r="R110" s="305" t="e">
        <f t="shared" si="26"/>
        <v>#VALUE!</v>
      </c>
      <c r="S110" s="305" t="e">
        <f t="shared" si="26"/>
        <v>#VALUE!</v>
      </c>
      <c r="T110" s="305" t="e">
        <f t="shared" si="26"/>
        <v>#VALUE!</v>
      </c>
      <c r="U110" s="305" t="e">
        <f t="shared" si="26"/>
        <v>#VALUE!</v>
      </c>
      <c r="V110" s="305" t="e">
        <f t="shared" si="26"/>
        <v>#VALUE!</v>
      </c>
      <c r="W110" s="305" t="e">
        <f t="shared" si="26"/>
        <v>#VALUE!</v>
      </c>
      <c r="X110" s="305" t="e">
        <f t="shared" si="26"/>
        <v>#VALUE!</v>
      </c>
      <c r="Y110" s="305" t="e">
        <f t="shared" si="26"/>
        <v>#VALUE!</v>
      </c>
      <c r="Z110" s="305" t="e">
        <f t="shared" si="26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6"/>
        <v>#VALUE!</v>
      </c>
      <c r="L111" s="305" t="e">
        <f t="shared" si="26"/>
        <v>#VALUE!</v>
      </c>
      <c r="M111" s="305" t="e">
        <f t="shared" si="26"/>
        <v>#VALUE!</v>
      </c>
      <c r="N111" s="305" t="e">
        <f t="shared" si="26"/>
        <v>#VALUE!</v>
      </c>
      <c r="O111" s="305" t="e">
        <f t="shared" si="26"/>
        <v>#VALUE!</v>
      </c>
      <c r="P111" s="305" t="e">
        <f t="shared" si="26"/>
        <v>#VALUE!</v>
      </c>
      <c r="Q111" s="305" t="e">
        <f t="shared" si="26"/>
        <v>#VALUE!</v>
      </c>
      <c r="R111" s="305" t="e">
        <f t="shared" si="26"/>
        <v>#VALUE!</v>
      </c>
      <c r="S111" s="305" t="e">
        <f t="shared" si="26"/>
        <v>#VALUE!</v>
      </c>
      <c r="T111" s="305" t="e">
        <f t="shared" si="26"/>
        <v>#VALUE!</v>
      </c>
      <c r="U111" s="305" t="e">
        <f t="shared" si="26"/>
        <v>#VALUE!</v>
      </c>
      <c r="V111" s="305" t="e">
        <f t="shared" si="26"/>
        <v>#VALUE!</v>
      </c>
      <c r="W111" s="305" t="e">
        <f t="shared" si="26"/>
        <v>#VALUE!</v>
      </c>
      <c r="X111" s="305" t="e">
        <f t="shared" si="26"/>
        <v>#VALUE!</v>
      </c>
      <c r="Y111" s="305" t="e">
        <f t="shared" si="26"/>
        <v>#VALUE!</v>
      </c>
      <c r="Z111" s="305" t="e">
        <f t="shared" si="26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6"/>
        <v>#VALUE!</v>
      </c>
      <c r="M112" s="305" t="e">
        <f t="shared" si="26"/>
        <v>#VALUE!</v>
      </c>
      <c r="N112" s="305" t="e">
        <f t="shared" si="26"/>
        <v>#VALUE!</v>
      </c>
      <c r="O112" s="305" t="e">
        <f t="shared" si="26"/>
        <v>#VALUE!</v>
      </c>
      <c r="P112" s="305" t="e">
        <f t="shared" si="26"/>
        <v>#VALUE!</v>
      </c>
      <c r="Q112" s="305" t="e">
        <f t="shared" si="26"/>
        <v>#VALUE!</v>
      </c>
      <c r="R112" s="305" t="e">
        <f t="shared" si="26"/>
        <v>#VALUE!</v>
      </c>
      <c r="S112" s="305" t="e">
        <f t="shared" si="26"/>
        <v>#VALUE!</v>
      </c>
      <c r="T112" s="305" t="e">
        <f t="shared" si="26"/>
        <v>#VALUE!</v>
      </c>
      <c r="U112" s="305" t="e">
        <f t="shared" si="26"/>
        <v>#VALUE!</v>
      </c>
      <c r="V112" s="305" t="e">
        <f t="shared" si="26"/>
        <v>#VALUE!</v>
      </c>
      <c r="W112" s="305" t="e">
        <f t="shared" si="26"/>
        <v>#VALUE!</v>
      </c>
      <c r="X112" s="305" t="e">
        <f t="shared" si="26"/>
        <v>#VALUE!</v>
      </c>
      <c r="Y112" s="305" t="e">
        <f t="shared" si="26"/>
        <v>#VALUE!</v>
      </c>
      <c r="Z112" s="305" t="e">
        <f t="shared" si="26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6"/>
        <v>#VALUE!</v>
      </c>
      <c r="N113" s="305" t="e">
        <f t="shared" si="26"/>
        <v>#VALUE!</v>
      </c>
      <c r="O113" s="305" t="e">
        <f t="shared" si="26"/>
        <v>#VALUE!</v>
      </c>
      <c r="P113" s="305" t="e">
        <f t="shared" si="26"/>
        <v>#VALUE!</v>
      </c>
      <c r="Q113" s="305" t="e">
        <f t="shared" si="26"/>
        <v>#VALUE!</v>
      </c>
      <c r="R113" s="305" t="e">
        <f t="shared" si="26"/>
        <v>#VALUE!</v>
      </c>
      <c r="S113" s="305" t="e">
        <f t="shared" si="26"/>
        <v>#VALUE!</v>
      </c>
      <c r="T113" s="305" t="e">
        <f t="shared" si="26"/>
        <v>#VALUE!</v>
      </c>
      <c r="U113" s="305" t="e">
        <f t="shared" si="26"/>
        <v>#VALUE!</v>
      </c>
      <c r="V113" s="305" t="e">
        <f t="shared" si="26"/>
        <v>#VALUE!</v>
      </c>
      <c r="W113" s="305" t="e">
        <f t="shared" si="26"/>
        <v>#VALUE!</v>
      </c>
      <c r="X113" s="305" t="e">
        <f t="shared" si="26"/>
        <v>#VALUE!</v>
      </c>
      <c r="Y113" s="305" t="e">
        <f t="shared" si="26"/>
        <v>#VALUE!</v>
      </c>
      <c r="Z113" s="305" t="e">
        <f t="shared" si="26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7">SUM(D83:D113)</f>
        <v>#VALUE!</v>
      </c>
      <c r="E114" s="328" t="e">
        <f t="shared" si="27"/>
        <v>#VALUE!</v>
      </c>
      <c r="F114" s="328" t="e">
        <f t="shared" si="27"/>
        <v>#VALUE!</v>
      </c>
      <c r="G114" s="328" t="e">
        <f t="shared" si="27"/>
        <v>#VALUE!</v>
      </c>
      <c r="H114" s="328" t="e">
        <f t="shared" si="27"/>
        <v>#VALUE!</v>
      </c>
      <c r="I114" s="328" t="e">
        <f t="shared" si="27"/>
        <v>#VALUE!</v>
      </c>
      <c r="J114" s="328" t="e">
        <f t="shared" si="27"/>
        <v>#VALUE!</v>
      </c>
      <c r="K114" s="328" t="e">
        <f t="shared" si="27"/>
        <v>#VALUE!</v>
      </c>
      <c r="L114" s="328" t="e">
        <f t="shared" si="27"/>
        <v>#VALUE!</v>
      </c>
      <c r="M114" s="328" t="e">
        <f t="shared" si="27"/>
        <v>#VALUE!</v>
      </c>
      <c r="N114" s="328" t="e">
        <f t="shared" si="27"/>
        <v>#VALUE!</v>
      </c>
      <c r="O114" s="328" t="e">
        <f t="shared" si="27"/>
        <v>#VALUE!</v>
      </c>
      <c r="P114" s="328" t="e">
        <f t="shared" si="27"/>
        <v>#VALUE!</v>
      </c>
      <c r="Q114" s="328" t="e">
        <f t="shared" si="27"/>
        <v>#VALUE!</v>
      </c>
      <c r="R114" s="328" t="e">
        <f t="shared" si="27"/>
        <v>#VALUE!</v>
      </c>
      <c r="S114" s="328" t="e">
        <f t="shared" si="27"/>
        <v>#VALUE!</v>
      </c>
      <c r="T114" s="328" t="e">
        <f t="shared" si="27"/>
        <v>#VALUE!</v>
      </c>
      <c r="U114" s="328" t="e">
        <f t="shared" si="27"/>
        <v>#VALUE!</v>
      </c>
      <c r="V114" s="328" t="e">
        <f t="shared" si="27"/>
        <v>#VALUE!</v>
      </c>
      <c r="W114" s="328" t="e">
        <f t="shared" si="27"/>
        <v>#VALUE!</v>
      </c>
      <c r="X114" s="328" t="e">
        <f t="shared" si="27"/>
        <v>#VALUE!</v>
      </c>
      <c r="Y114" s="328" t="e">
        <f t="shared" si="27"/>
        <v>#VALUE!</v>
      </c>
      <c r="Z114" s="328" t="e">
        <f t="shared" si="27"/>
        <v>#VALUE!</v>
      </c>
      <c r="AA114" s="328" t="e">
        <f t="shared" si="27"/>
        <v>#VALUE!</v>
      </c>
      <c r="AB114" s="328" t="e">
        <f t="shared" si="27"/>
        <v>#VALUE!</v>
      </c>
      <c r="AC114" s="328" t="e">
        <f t="shared" si="27"/>
        <v>#VALUE!</v>
      </c>
      <c r="AD114" s="328" t="e">
        <f t="shared" si="27"/>
        <v>#VALUE!</v>
      </c>
      <c r="AE114" s="328" t="e">
        <f t="shared" si="27"/>
        <v>#VALUE!</v>
      </c>
      <c r="AF114" s="329" t="e">
        <f t="shared" si="27"/>
        <v>#VALUE!</v>
      </c>
      <c r="AG114" s="329" t="e">
        <f t="shared" si="27"/>
        <v>#VALUE!</v>
      </c>
      <c r="AH114" s="315" t="e">
        <f t="shared" si="27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8">D119+1</f>
        <v>2</v>
      </c>
      <c r="F119" s="302">
        <f t="shared" si="28"/>
        <v>3</v>
      </c>
      <c r="G119" s="302">
        <f t="shared" si="28"/>
        <v>4</v>
      </c>
      <c r="H119" s="302">
        <f t="shared" si="28"/>
        <v>5</v>
      </c>
      <c r="I119" s="302">
        <f t="shared" si="28"/>
        <v>6</v>
      </c>
      <c r="J119" s="302">
        <f t="shared" si="28"/>
        <v>7</v>
      </c>
      <c r="K119" s="302">
        <f t="shared" si="28"/>
        <v>8</v>
      </c>
      <c r="L119" s="302">
        <f t="shared" si="28"/>
        <v>9</v>
      </c>
      <c r="M119" s="302">
        <f t="shared" si="28"/>
        <v>10</v>
      </c>
      <c r="N119" s="302">
        <f t="shared" si="28"/>
        <v>11</v>
      </c>
      <c r="O119" s="302">
        <f t="shared" si="28"/>
        <v>12</v>
      </c>
      <c r="P119" s="302">
        <f t="shared" si="28"/>
        <v>13</v>
      </c>
      <c r="Q119" s="302">
        <f t="shared" si="28"/>
        <v>14</v>
      </c>
      <c r="R119" s="302">
        <f t="shared" si="28"/>
        <v>15</v>
      </c>
      <c r="S119" s="302">
        <f t="shared" si="28"/>
        <v>16</v>
      </c>
      <c r="T119" s="302">
        <f t="shared" si="28"/>
        <v>17</v>
      </c>
      <c r="U119" s="302">
        <f t="shared" si="28"/>
        <v>18</v>
      </c>
      <c r="V119" s="302">
        <f t="shared" si="28"/>
        <v>19</v>
      </c>
      <c r="W119" s="302">
        <f t="shared" si="28"/>
        <v>20</v>
      </c>
      <c r="X119" s="302">
        <f t="shared" si="28"/>
        <v>21</v>
      </c>
      <c r="Y119" s="302">
        <f t="shared" si="28"/>
        <v>22</v>
      </c>
      <c r="Z119" s="302">
        <f t="shared" si="28"/>
        <v>23</v>
      </c>
      <c r="AA119" s="302">
        <f t="shared" si="28"/>
        <v>24</v>
      </c>
      <c r="AB119" s="302">
        <f t="shared" si="28"/>
        <v>25</v>
      </c>
      <c r="AC119" s="302">
        <f t="shared" si="28"/>
        <v>26</v>
      </c>
      <c r="AD119" s="302">
        <f t="shared" si="28"/>
        <v>27</v>
      </c>
      <c r="AE119" s="302">
        <f t="shared" si="28"/>
        <v>28</v>
      </c>
      <c r="AF119" s="302">
        <f t="shared" si="28"/>
        <v>29</v>
      </c>
      <c r="AG119" s="302">
        <f t="shared" si="28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9">SUM(D120:AG120)</f>
        <v>0</v>
      </c>
    </row>
    <row r="121" spans="1:34">
      <c r="C121" s="304">
        <f t="shared" ref="C121:C150" si="30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9"/>
        <v>0</v>
      </c>
    </row>
    <row r="122" spans="1:34">
      <c r="C122" s="304">
        <f t="shared" si="30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9"/>
        <v>#VALUE!</v>
      </c>
    </row>
    <row r="123" spans="1:34">
      <c r="C123" s="304">
        <f t="shared" si="30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9"/>
        <v>#VALUE!</v>
      </c>
    </row>
    <row r="124" spans="1:34">
      <c r="C124" s="304">
        <f t="shared" si="30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9"/>
        <v>#VALUE!</v>
      </c>
    </row>
    <row r="125" spans="1:34">
      <c r="C125" s="304">
        <f t="shared" si="30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9"/>
        <v>#VALUE!</v>
      </c>
    </row>
    <row r="126" spans="1:34">
      <c r="C126" s="304">
        <f t="shared" si="30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9"/>
        <v>#VALUE!</v>
      </c>
    </row>
    <row r="127" spans="1:34">
      <c r="C127" s="304">
        <f t="shared" si="30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9"/>
        <v>#VALUE!</v>
      </c>
    </row>
    <row r="128" spans="1:34">
      <c r="C128" s="304">
        <f t="shared" si="30"/>
        <v>8</v>
      </c>
      <c r="D128" s="305" t="e">
        <f t="shared" ref="D128:O139" si="31">D127</f>
        <v>#VALUE!</v>
      </c>
      <c r="E128" s="305" t="e">
        <f t="shared" si="31"/>
        <v>#VALUE!</v>
      </c>
      <c r="F128" s="305" t="e">
        <f t="shared" si="31"/>
        <v>#VALUE!</v>
      </c>
      <c r="G128" s="305" t="e">
        <f t="shared" si="31"/>
        <v>#VALUE!</v>
      </c>
      <c r="H128" s="305" t="e">
        <f t="shared" si="31"/>
        <v>#VALUE!</v>
      </c>
      <c r="I128" s="305" t="e">
        <f t="shared" si="31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9"/>
        <v>#VALUE!</v>
      </c>
    </row>
    <row r="129" spans="3:34">
      <c r="C129" s="304">
        <f t="shared" si="30"/>
        <v>9</v>
      </c>
      <c r="D129" s="305" t="e">
        <f t="shared" si="31"/>
        <v>#VALUE!</v>
      </c>
      <c r="E129" s="305" t="e">
        <f t="shared" si="31"/>
        <v>#VALUE!</v>
      </c>
      <c r="F129" s="305" t="e">
        <f t="shared" si="31"/>
        <v>#VALUE!</v>
      </c>
      <c r="G129" s="305" t="e">
        <f t="shared" si="31"/>
        <v>#VALUE!</v>
      </c>
      <c r="H129" s="305" t="e">
        <f t="shared" si="31"/>
        <v>#VALUE!</v>
      </c>
      <c r="I129" s="305" t="e">
        <f t="shared" si="31"/>
        <v>#VALUE!</v>
      </c>
      <c r="J129" s="305" t="e">
        <f t="shared" si="31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9"/>
        <v>#VALUE!</v>
      </c>
    </row>
    <row r="130" spans="3:34">
      <c r="C130" s="304">
        <f t="shared" si="30"/>
        <v>10</v>
      </c>
      <c r="D130" s="305" t="e">
        <f t="shared" si="31"/>
        <v>#VALUE!</v>
      </c>
      <c r="E130" s="305" t="e">
        <f t="shared" si="31"/>
        <v>#VALUE!</v>
      </c>
      <c r="F130" s="305" t="e">
        <f t="shared" si="31"/>
        <v>#VALUE!</v>
      </c>
      <c r="G130" s="305" t="e">
        <f t="shared" si="31"/>
        <v>#VALUE!</v>
      </c>
      <c r="H130" s="305" t="e">
        <f t="shared" si="31"/>
        <v>#VALUE!</v>
      </c>
      <c r="I130" s="305" t="e">
        <f t="shared" si="31"/>
        <v>#VALUE!</v>
      </c>
      <c r="J130" s="305" t="e">
        <f t="shared" si="31"/>
        <v>#VALUE!</v>
      </c>
      <c r="K130" s="305" t="e">
        <f t="shared" si="31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9"/>
        <v>#VALUE!</v>
      </c>
    </row>
    <row r="131" spans="3:34">
      <c r="C131" s="304">
        <f t="shared" si="30"/>
        <v>11</v>
      </c>
      <c r="D131" s="305" t="e">
        <f t="shared" si="31"/>
        <v>#VALUE!</v>
      </c>
      <c r="E131" s="305" t="e">
        <f t="shared" si="31"/>
        <v>#VALUE!</v>
      </c>
      <c r="F131" s="305" t="e">
        <f t="shared" si="31"/>
        <v>#VALUE!</v>
      </c>
      <c r="G131" s="305" t="e">
        <f t="shared" si="31"/>
        <v>#VALUE!</v>
      </c>
      <c r="H131" s="305" t="e">
        <f t="shared" si="31"/>
        <v>#VALUE!</v>
      </c>
      <c r="I131" s="305" t="e">
        <f t="shared" si="31"/>
        <v>#VALUE!</v>
      </c>
      <c r="J131" s="305" t="e">
        <f t="shared" si="31"/>
        <v>#VALUE!</v>
      </c>
      <c r="K131" s="305" t="e">
        <f t="shared" si="31"/>
        <v>#VALUE!</v>
      </c>
      <c r="L131" s="305" t="e">
        <f t="shared" si="31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9"/>
        <v>#VALUE!</v>
      </c>
    </row>
    <row r="132" spans="3:34">
      <c r="C132" s="304">
        <f t="shared" si="30"/>
        <v>12</v>
      </c>
      <c r="D132" s="305" t="e">
        <f t="shared" si="31"/>
        <v>#VALUE!</v>
      </c>
      <c r="E132" s="305" t="e">
        <f t="shared" si="31"/>
        <v>#VALUE!</v>
      </c>
      <c r="F132" s="305" t="e">
        <f t="shared" si="31"/>
        <v>#VALUE!</v>
      </c>
      <c r="G132" s="305" t="e">
        <f t="shared" si="31"/>
        <v>#VALUE!</v>
      </c>
      <c r="H132" s="305" t="e">
        <f t="shared" si="31"/>
        <v>#VALUE!</v>
      </c>
      <c r="I132" s="305" t="e">
        <f t="shared" si="31"/>
        <v>#VALUE!</v>
      </c>
      <c r="J132" s="305" t="e">
        <f t="shared" si="31"/>
        <v>#VALUE!</v>
      </c>
      <c r="K132" s="305" t="e">
        <f t="shared" si="31"/>
        <v>#VALUE!</v>
      </c>
      <c r="L132" s="305" t="e">
        <f t="shared" si="31"/>
        <v>#VALUE!</v>
      </c>
      <c r="M132" s="305" t="e">
        <f t="shared" si="31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9"/>
        <v>#VALUE!</v>
      </c>
    </row>
    <row r="133" spans="3:34">
      <c r="C133" s="304">
        <f t="shared" si="30"/>
        <v>13</v>
      </c>
      <c r="D133" s="305" t="e">
        <f t="shared" si="31"/>
        <v>#VALUE!</v>
      </c>
      <c r="E133" s="305" t="e">
        <f t="shared" si="31"/>
        <v>#VALUE!</v>
      </c>
      <c r="F133" s="305" t="e">
        <f t="shared" si="31"/>
        <v>#VALUE!</v>
      </c>
      <c r="G133" s="305" t="e">
        <f t="shared" si="31"/>
        <v>#VALUE!</v>
      </c>
      <c r="H133" s="305" t="e">
        <f t="shared" si="31"/>
        <v>#VALUE!</v>
      </c>
      <c r="I133" s="305" t="e">
        <f t="shared" si="31"/>
        <v>#VALUE!</v>
      </c>
      <c r="J133" s="305" t="e">
        <f t="shared" si="31"/>
        <v>#VALUE!</v>
      </c>
      <c r="K133" s="305" t="e">
        <f t="shared" si="31"/>
        <v>#VALUE!</v>
      </c>
      <c r="L133" s="305" t="e">
        <f t="shared" si="31"/>
        <v>#VALUE!</v>
      </c>
      <c r="M133" s="305" t="e">
        <f t="shared" si="31"/>
        <v>#VALUE!</v>
      </c>
      <c r="N133" s="305" t="e">
        <f t="shared" si="31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9"/>
        <v>#VALUE!</v>
      </c>
    </row>
    <row r="134" spans="3:34">
      <c r="C134" s="304">
        <f t="shared" si="30"/>
        <v>14</v>
      </c>
      <c r="D134" s="305" t="e">
        <f t="shared" si="31"/>
        <v>#VALUE!</v>
      </c>
      <c r="E134" s="305" t="e">
        <f t="shared" si="31"/>
        <v>#VALUE!</v>
      </c>
      <c r="F134" s="305" t="e">
        <f t="shared" si="31"/>
        <v>#VALUE!</v>
      </c>
      <c r="G134" s="305" t="e">
        <f t="shared" si="31"/>
        <v>#VALUE!</v>
      </c>
      <c r="H134" s="305" t="e">
        <f t="shared" si="31"/>
        <v>#VALUE!</v>
      </c>
      <c r="I134" s="305" t="e">
        <f t="shared" si="31"/>
        <v>#VALUE!</v>
      </c>
      <c r="J134" s="305" t="e">
        <f t="shared" si="31"/>
        <v>#VALUE!</v>
      </c>
      <c r="K134" s="305" t="e">
        <f t="shared" si="31"/>
        <v>#VALUE!</v>
      </c>
      <c r="L134" s="305" t="e">
        <f t="shared" si="31"/>
        <v>#VALUE!</v>
      </c>
      <c r="M134" s="305" t="e">
        <f t="shared" si="31"/>
        <v>#VALUE!</v>
      </c>
      <c r="N134" s="305" t="e">
        <f t="shared" si="31"/>
        <v>#VALUE!</v>
      </c>
      <c r="O134" s="305" t="e">
        <f t="shared" si="31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9"/>
        <v>#VALUE!</v>
      </c>
    </row>
    <row r="135" spans="3:34">
      <c r="C135" s="304">
        <f t="shared" si="30"/>
        <v>15</v>
      </c>
      <c r="D135" s="305" t="e">
        <f t="shared" si="31"/>
        <v>#VALUE!</v>
      </c>
      <c r="E135" s="305" t="e">
        <f t="shared" si="31"/>
        <v>#VALUE!</v>
      </c>
      <c r="F135" s="305" t="e">
        <f t="shared" si="31"/>
        <v>#VALUE!</v>
      </c>
      <c r="G135" s="305" t="e">
        <f t="shared" si="31"/>
        <v>#VALUE!</v>
      </c>
      <c r="H135" s="305" t="e">
        <f t="shared" si="31"/>
        <v>#VALUE!</v>
      </c>
      <c r="I135" s="305" t="e">
        <f t="shared" si="31"/>
        <v>#VALUE!</v>
      </c>
      <c r="J135" s="305" t="e">
        <f t="shared" si="31"/>
        <v>#VALUE!</v>
      </c>
      <c r="K135" s="305" t="e">
        <f t="shared" si="31"/>
        <v>#VALUE!</v>
      </c>
      <c r="L135" s="305" t="e">
        <f t="shared" si="31"/>
        <v>#VALUE!</v>
      </c>
      <c r="M135" s="305" t="e">
        <f t="shared" si="31"/>
        <v>#VALUE!</v>
      </c>
      <c r="N135" s="305" t="e">
        <f t="shared" si="31"/>
        <v>#VALUE!</v>
      </c>
      <c r="O135" s="305" t="e">
        <f t="shared" si="31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9"/>
        <v>#VALUE!</v>
      </c>
    </row>
    <row r="136" spans="3:34">
      <c r="C136" s="304">
        <f t="shared" si="30"/>
        <v>16</v>
      </c>
      <c r="D136" s="305" t="e">
        <f t="shared" si="31"/>
        <v>#VALUE!</v>
      </c>
      <c r="E136" s="305" t="e">
        <f t="shared" si="31"/>
        <v>#VALUE!</v>
      </c>
      <c r="F136" s="305" t="e">
        <f t="shared" si="31"/>
        <v>#VALUE!</v>
      </c>
      <c r="G136" s="305" t="e">
        <f t="shared" si="31"/>
        <v>#VALUE!</v>
      </c>
      <c r="H136" s="305" t="e">
        <f t="shared" si="31"/>
        <v>#VALUE!</v>
      </c>
      <c r="I136" s="305" t="e">
        <f t="shared" si="31"/>
        <v>#VALUE!</v>
      </c>
      <c r="J136" s="305" t="e">
        <f t="shared" si="31"/>
        <v>#VALUE!</v>
      </c>
      <c r="K136" s="305" t="e">
        <f t="shared" si="31"/>
        <v>#VALUE!</v>
      </c>
      <c r="L136" s="305" t="e">
        <f t="shared" si="31"/>
        <v>#VALUE!</v>
      </c>
      <c r="M136" s="305" t="e">
        <f t="shared" si="31"/>
        <v>#VALUE!</v>
      </c>
      <c r="N136" s="305" t="e">
        <f t="shared" si="31"/>
        <v>#VALUE!</v>
      </c>
      <c r="O136" s="305" t="e">
        <f t="shared" si="31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9"/>
        <v>#VALUE!</v>
      </c>
    </row>
    <row r="137" spans="3:34">
      <c r="C137" s="304">
        <f t="shared" si="30"/>
        <v>17</v>
      </c>
      <c r="D137" s="305"/>
      <c r="E137" s="305" t="e">
        <f t="shared" si="31"/>
        <v>#VALUE!</v>
      </c>
      <c r="F137" s="305" t="e">
        <f t="shared" si="31"/>
        <v>#VALUE!</v>
      </c>
      <c r="G137" s="305" t="e">
        <f t="shared" si="31"/>
        <v>#VALUE!</v>
      </c>
      <c r="H137" s="305" t="e">
        <f t="shared" si="31"/>
        <v>#VALUE!</v>
      </c>
      <c r="I137" s="305" t="e">
        <f t="shared" si="31"/>
        <v>#VALUE!</v>
      </c>
      <c r="J137" s="305" t="e">
        <f t="shared" si="31"/>
        <v>#VALUE!</v>
      </c>
      <c r="K137" s="305" t="e">
        <f t="shared" si="31"/>
        <v>#VALUE!</v>
      </c>
      <c r="L137" s="305" t="e">
        <f t="shared" si="31"/>
        <v>#VALUE!</v>
      </c>
      <c r="M137" s="305" t="e">
        <f t="shared" si="31"/>
        <v>#VALUE!</v>
      </c>
      <c r="N137" s="305" t="e">
        <f t="shared" si="31"/>
        <v>#VALUE!</v>
      </c>
      <c r="O137" s="305" t="e">
        <f t="shared" si="31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9"/>
        <v>#VALUE!</v>
      </c>
    </row>
    <row r="138" spans="3:34">
      <c r="C138" s="304">
        <f t="shared" si="30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1"/>
        <v>#VALUE!</v>
      </c>
      <c r="L138" s="305" t="e">
        <f t="shared" si="31"/>
        <v>#VALUE!</v>
      </c>
      <c r="M138" s="305" t="e">
        <f t="shared" si="31"/>
        <v>#VALUE!</v>
      </c>
      <c r="N138" s="305" t="e">
        <f t="shared" si="31"/>
        <v>#VALUE!</v>
      </c>
      <c r="O138" s="305" t="e">
        <f t="shared" si="31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9"/>
        <v>#VALUE!</v>
      </c>
    </row>
    <row r="139" spans="3:34">
      <c r="C139" s="304">
        <f t="shared" si="30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1"/>
        <v>#VALUE!</v>
      </c>
      <c r="L139" s="305" t="e">
        <f t="shared" si="31"/>
        <v>#VALUE!</v>
      </c>
      <c r="M139" s="305" t="e">
        <f t="shared" si="31"/>
        <v>#VALUE!</v>
      </c>
      <c r="N139" s="305" t="e">
        <f t="shared" si="31"/>
        <v>#VALUE!</v>
      </c>
      <c r="O139" s="305" t="e">
        <f t="shared" si="31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2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9"/>
        <v>#VALUE!</v>
      </c>
    </row>
    <row r="140" spans="3:34">
      <c r="C140" s="304">
        <f t="shared" si="30"/>
        <v>20</v>
      </c>
      <c r="D140" s="305"/>
      <c r="E140" s="305"/>
      <c r="F140" s="305"/>
      <c r="G140" s="305"/>
      <c r="H140" s="305" t="e">
        <f t="shared" ref="H140:R150" si="33">H139</f>
        <v>#VALUE!</v>
      </c>
      <c r="I140" s="305" t="e">
        <f t="shared" si="33"/>
        <v>#VALUE!</v>
      </c>
      <c r="J140" s="305" t="e">
        <f t="shared" si="33"/>
        <v>#VALUE!</v>
      </c>
      <c r="K140" s="305" t="e">
        <f t="shared" si="33"/>
        <v>#VALUE!</v>
      </c>
      <c r="L140" s="305" t="e">
        <f t="shared" si="33"/>
        <v>#VALUE!</v>
      </c>
      <c r="M140" s="305" t="e">
        <f t="shared" si="33"/>
        <v>#VALUE!</v>
      </c>
      <c r="N140" s="305" t="e">
        <f t="shared" si="33"/>
        <v>#VALUE!</v>
      </c>
      <c r="O140" s="305" t="e">
        <f t="shared" si="33"/>
        <v>#VALUE!</v>
      </c>
      <c r="P140" s="305" t="e">
        <f t="shared" si="33"/>
        <v>#VALUE!</v>
      </c>
      <c r="Q140" s="305" t="e">
        <f t="shared" si="33"/>
        <v>#VALUE!</v>
      </c>
      <c r="R140" s="305" t="e">
        <f t="shared" si="33"/>
        <v>#VALUE!</v>
      </c>
      <c r="S140" s="305" t="e">
        <f t="shared" si="32"/>
        <v>#VALUE!</v>
      </c>
      <c r="T140" s="305" t="e">
        <f t="shared" si="32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9"/>
        <v>#VALUE!</v>
      </c>
    </row>
    <row r="141" spans="3:34">
      <c r="C141" s="304">
        <f t="shared" si="30"/>
        <v>21</v>
      </c>
      <c r="D141" s="305"/>
      <c r="E141" s="305"/>
      <c r="F141" s="305"/>
      <c r="G141" s="305"/>
      <c r="H141" s="305"/>
      <c r="I141" s="305" t="e">
        <f t="shared" si="33"/>
        <v>#VALUE!</v>
      </c>
      <c r="J141" s="305" t="e">
        <f t="shared" si="33"/>
        <v>#VALUE!</v>
      </c>
      <c r="K141" s="305" t="e">
        <f t="shared" si="33"/>
        <v>#VALUE!</v>
      </c>
      <c r="L141" s="305" t="e">
        <f t="shared" si="33"/>
        <v>#VALUE!</v>
      </c>
      <c r="M141" s="305" t="e">
        <f t="shared" si="33"/>
        <v>#VALUE!</v>
      </c>
      <c r="N141" s="305" t="e">
        <f t="shared" si="33"/>
        <v>#VALUE!</v>
      </c>
      <c r="O141" s="305" t="e">
        <f t="shared" si="33"/>
        <v>#VALUE!</v>
      </c>
      <c r="P141" s="305" t="e">
        <f t="shared" si="33"/>
        <v>#VALUE!</v>
      </c>
      <c r="Q141" s="305" t="e">
        <f t="shared" si="33"/>
        <v>#VALUE!</v>
      </c>
      <c r="R141" s="305" t="e">
        <f t="shared" si="33"/>
        <v>#VALUE!</v>
      </c>
      <c r="S141" s="305" t="e">
        <f t="shared" si="32"/>
        <v>#VALUE!</v>
      </c>
      <c r="T141" s="305" t="e">
        <f t="shared" si="32"/>
        <v>#VALUE!</v>
      </c>
      <c r="U141" s="305" t="e">
        <f t="shared" si="32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9"/>
        <v>#VALUE!</v>
      </c>
    </row>
    <row r="142" spans="3:34">
      <c r="C142" s="330">
        <f t="shared" si="30"/>
        <v>22</v>
      </c>
      <c r="D142" s="305"/>
      <c r="E142" s="305"/>
      <c r="F142" s="305"/>
      <c r="G142" s="305"/>
      <c r="H142" s="305"/>
      <c r="I142" s="305"/>
      <c r="J142" s="305" t="e">
        <f t="shared" si="33"/>
        <v>#VALUE!</v>
      </c>
      <c r="K142" s="305" t="e">
        <f t="shared" si="33"/>
        <v>#VALUE!</v>
      </c>
      <c r="L142" s="305" t="e">
        <f t="shared" si="33"/>
        <v>#VALUE!</v>
      </c>
      <c r="M142" s="305" t="e">
        <f t="shared" si="33"/>
        <v>#VALUE!</v>
      </c>
      <c r="N142" s="305" t="e">
        <f t="shared" si="33"/>
        <v>#VALUE!</v>
      </c>
      <c r="O142" s="305" t="e">
        <f t="shared" si="33"/>
        <v>#VALUE!</v>
      </c>
      <c r="P142" s="305" t="e">
        <f t="shared" si="33"/>
        <v>#VALUE!</v>
      </c>
      <c r="Q142" s="305" t="e">
        <f t="shared" si="33"/>
        <v>#VALUE!</v>
      </c>
      <c r="R142" s="305" t="e">
        <f t="shared" si="33"/>
        <v>#VALUE!</v>
      </c>
      <c r="S142" s="305" t="e">
        <f t="shared" si="32"/>
        <v>#VALUE!</v>
      </c>
      <c r="T142" s="305" t="e">
        <f t="shared" si="32"/>
        <v>#VALUE!</v>
      </c>
      <c r="U142" s="305" t="e">
        <f t="shared" si="32"/>
        <v>#VALUE!</v>
      </c>
      <c r="V142" s="305" t="e">
        <f t="shared" si="32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9"/>
        <v>#VALUE!</v>
      </c>
    </row>
    <row r="143" spans="3:34">
      <c r="C143" s="330">
        <f t="shared" si="30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3"/>
        <v>#VALUE!</v>
      </c>
      <c r="L143" s="305" t="e">
        <f t="shared" si="33"/>
        <v>#VALUE!</v>
      </c>
      <c r="M143" s="305" t="e">
        <f t="shared" si="33"/>
        <v>#VALUE!</v>
      </c>
      <c r="N143" s="305" t="e">
        <f t="shared" si="33"/>
        <v>#VALUE!</v>
      </c>
      <c r="O143" s="305" t="e">
        <f t="shared" si="33"/>
        <v>#VALUE!</v>
      </c>
      <c r="P143" s="305" t="e">
        <f t="shared" si="33"/>
        <v>#VALUE!</v>
      </c>
      <c r="Q143" s="305" t="e">
        <f t="shared" si="33"/>
        <v>#VALUE!</v>
      </c>
      <c r="R143" s="305" t="e">
        <f t="shared" si="33"/>
        <v>#VALUE!</v>
      </c>
      <c r="S143" s="305" t="e">
        <f t="shared" si="32"/>
        <v>#VALUE!</v>
      </c>
      <c r="T143" s="305" t="e">
        <f t="shared" si="32"/>
        <v>#VALUE!</v>
      </c>
      <c r="U143" s="305" t="e">
        <f t="shared" si="32"/>
        <v>#VALUE!</v>
      </c>
      <c r="V143" s="305" t="e">
        <f t="shared" si="32"/>
        <v>#VALUE!</v>
      </c>
      <c r="W143" s="305" t="e">
        <f t="shared" si="32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9"/>
        <v>#VALUE!</v>
      </c>
    </row>
    <row r="144" spans="3:34">
      <c r="C144" s="330">
        <f t="shared" si="30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3"/>
        <v>#VALUE!</v>
      </c>
      <c r="M144" s="305" t="e">
        <f t="shared" si="33"/>
        <v>#VALUE!</v>
      </c>
      <c r="N144" s="305" t="e">
        <f t="shared" si="33"/>
        <v>#VALUE!</v>
      </c>
      <c r="O144" s="305" t="e">
        <f t="shared" si="33"/>
        <v>#VALUE!</v>
      </c>
      <c r="P144" s="305" t="e">
        <f t="shared" si="33"/>
        <v>#VALUE!</v>
      </c>
      <c r="Q144" s="305" t="e">
        <f t="shared" si="33"/>
        <v>#VALUE!</v>
      </c>
      <c r="R144" s="305" t="e">
        <f t="shared" si="33"/>
        <v>#VALUE!</v>
      </c>
      <c r="S144" s="305" t="e">
        <f t="shared" si="32"/>
        <v>#VALUE!</v>
      </c>
      <c r="T144" s="305" t="e">
        <f t="shared" si="32"/>
        <v>#VALUE!</v>
      </c>
      <c r="U144" s="305" t="e">
        <f t="shared" si="32"/>
        <v>#VALUE!</v>
      </c>
      <c r="V144" s="305" t="e">
        <f t="shared" si="32"/>
        <v>#VALUE!</v>
      </c>
      <c r="W144" s="305" t="e">
        <f t="shared" si="32"/>
        <v>#VALUE!</v>
      </c>
      <c r="X144" s="305" t="e">
        <f t="shared" si="32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9"/>
        <v>#VALUE!</v>
      </c>
    </row>
    <row r="145" spans="1:34">
      <c r="C145" s="330">
        <f t="shared" si="30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3"/>
        <v>#VALUE!</v>
      </c>
      <c r="N145" s="305" t="e">
        <f t="shared" si="33"/>
        <v>#VALUE!</v>
      </c>
      <c r="O145" s="305" t="e">
        <f t="shared" si="33"/>
        <v>#VALUE!</v>
      </c>
      <c r="P145" s="305" t="e">
        <f t="shared" si="33"/>
        <v>#VALUE!</v>
      </c>
      <c r="Q145" s="305" t="e">
        <f t="shared" si="33"/>
        <v>#VALUE!</v>
      </c>
      <c r="R145" s="305" t="e">
        <f t="shared" si="33"/>
        <v>#VALUE!</v>
      </c>
      <c r="S145" s="305" t="e">
        <f t="shared" si="32"/>
        <v>#VALUE!</v>
      </c>
      <c r="T145" s="305" t="e">
        <f t="shared" si="32"/>
        <v>#VALUE!</v>
      </c>
      <c r="U145" s="305" t="e">
        <f t="shared" si="32"/>
        <v>#VALUE!</v>
      </c>
      <c r="V145" s="305" t="e">
        <f t="shared" si="32"/>
        <v>#VALUE!</v>
      </c>
      <c r="W145" s="305" t="e">
        <f t="shared" si="32"/>
        <v>#VALUE!</v>
      </c>
      <c r="X145" s="305" t="e">
        <f t="shared" si="32"/>
        <v>#VALUE!</v>
      </c>
      <c r="Y145" s="305" t="e">
        <f t="shared" si="32"/>
        <v>#VALUE!</v>
      </c>
      <c r="Z145" s="305" t="e">
        <f t="shared" si="32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9"/>
        <v>#VALUE!</v>
      </c>
    </row>
    <row r="146" spans="1:34">
      <c r="C146" s="330">
        <f t="shared" si="30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3"/>
        <v>#VALUE!</v>
      </c>
      <c r="O146" s="305" t="e">
        <f t="shared" si="33"/>
        <v>#VALUE!</v>
      </c>
      <c r="P146" s="305" t="e">
        <f t="shared" si="33"/>
        <v>#VALUE!</v>
      </c>
      <c r="Q146" s="305" t="e">
        <f t="shared" si="33"/>
        <v>#VALUE!</v>
      </c>
      <c r="R146" s="305" t="e">
        <f t="shared" si="33"/>
        <v>#VALUE!</v>
      </c>
      <c r="S146" s="305" t="e">
        <f t="shared" si="32"/>
        <v>#VALUE!</v>
      </c>
      <c r="T146" s="305" t="e">
        <f t="shared" si="32"/>
        <v>#VALUE!</v>
      </c>
      <c r="U146" s="305" t="e">
        <f t="shared" si="32"/>
        <v>#VALUE!</v>
      </c>
      <c r="V146" s="305" t="e">
        <f t="shared" si="32"/>
        <v>#VALUE!</v>
      </c>
      <c r="W146" s="305" t="e">
        <f t="shared" si="32"/>
        <v>#VALUE!</v>
      </c>
      <c r="X146" s="305" t="e">
        <f t="shared" si="32"/>
        <v>#VALUE!</v>
      </c>
      <c r="Y146" s="305" t="e">
        <f t="shared" si="32"/>
        <v>#VALUE!</v>
      </c>
      <c r="Z146" s="305" t="e">
        <f t="shared" si="32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9"/>
        <v>#VALUE!</v>
      </c>
    </row>
    <row r="147" spans="1:34">
      <c r="C147" s="330">
        <f t="shared" si="30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3"/>
        <v>#VALUE!</v>
      </c>
      <c r="P147" s="305" t="e">
        <f t="shared" si="33"/>
        <v>#VALUE!</v>
      </c>
      <c r="Q147" s="305" t="e">
        <f t="shared" si="33"/>
        <v>#VALUE!</v>
      </c>
      <c r="R147" s="305" t="e">
        <f t="shared" si="33"/>
        <v>#VALUE!</v>
      </c>
      <c r="S147" s="305" t="e">
        <f t="shared" si="32"/>
        <v>#VALUE!</v>
      </c>
      <c r="T147" s="305" t="e">
        <f t="shared" si="32"/>
        <v>#VALUE!</v>
      </c>
      <c r="U147" s="305" t="e">
        <f t="shared" si="32"/>
        <v>#VALUE!</v>
      </c>
      <c r="V147" s="305" t="e">
        <f t="shared" si="32"/>
        <v>#VALUE!</v>
      </c>
      <c r="W147" s="305" t="e">
        <f t="shared" si="32"/>
        <v>#VALUE!</v>
      </c>
      <c r="X147" s="305" t="e">
        <f t="shared" si="32"/>
        <v>#VALUE!</v>
      </c>
      <c r="Y147" s="305" t="e">
        <f t="shared" si="32"/>
        <v>#VALUE!</v>
      </c>
      <c r="Z147" s="305" t="e">
        <f t="shared" si="32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9"/>
        <v>#VALUE!</v>
      </c>
    </row>
    <row r="148" spans="1:34">
      <c r="C148" s="330">
        <f t="shared" si="30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3"/>
        <v>#VALUE!</v>
      </c>
      <c r="Q148" s="305" t="e">
        <f t="shared" si="33"/>
        <v>#VALUE!</v>
      </c>
      <c r="R148" s="305" t="e">
        <f t="shared" si="33"/>
        <v>#VALUE!</v>
      </c>
      <c r="S148" s="305" t="e">
        <f t="shared" si="32"/>
        <v>#VALUE!</v>
      </c>
      <c r="T148" s="305" t="e">
        <f t="shared" si="32"/>
        <v>#VALUE!</v>
      </c>
      <c r="U148" s="305" t="e">
        <f t="shared" si="32"/>
        <v>#VALUE!</v>
      </c>
      <c r="V148" s="305" t="e">
        <f t="shared" si="32"/>
        <v>#VALUE!</v>
      </c>
      <c r="W148" s="305" t="e">
        <f t="shared" si="32"/>
        <v>#VALUE!</v>
      </c>
      <c r="X148" s="305" t="e">
        <f t="shared" si="32"/>
        <v>#VALUE!</v>
      </c>
      <c r="Y148" s="305" t="e">
        <f t="shared" si="32"/>
        <v>#VALUE!</v>
      </c>
      <c r="Z148" s="305" t="e">
        <f t="shared" si="32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9"/>
        <v>#VALUE!</v>
      </c>
    </row>
    <row r="149" spans="1:34">
      <c r="C149" s="307">
        <f t="shared" si="30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3"/>
        <v>#VALUE!</v>
      </c>
      <c r="R149" s="305" t="e">
        <f t="shared" si="33"/>
        <v>#VALUE!</v>
      </c>
      <c r="S149" s="305" t="e">
        <f t="shared" si="32"/>
        <v>#VALUE!</v>
      </c>
      <c r="T149" s="305" t="e">
        <f t="shared" si="32"/>
        <v>#VALUE!</v>
      </c>
      <c r="U149" s="305" t="e">
        <f t="shared" si="32"/>
        <v>#VALUE!</v>
      </c>
      <c r="V149" s="305" t="e">
        <f t="shared" si="32"/>
        <v>#VALUE!</v>
      </c>
      <c r="W149" s="305" t="e">
        <f t="shared" si="32"/>
        <v>#VALUE!</v>
      </c>
      <c r="X149" s="305" t="e">
        <f t="shared" si="32"/>
        <v>#VALUE!</v>
      </c>
      <c r="Y149" s="305" t="e">
        <f t="shared" si="32"/>
        <v>#VALUE!</v>
      </c>
      <c r="Z149" s="305" t="e">
        <f t="shared" si="32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9"/>
        <v>#VALUE!</v>
      </c>
    </row>
    <row r="150" spans="1:34" ht="13.5" thickBot="1">
      <c r="C150" s="307">
        <f t="shared" si="30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3"/>
        <v>#VALUE!</v>
      </c>
      <c r="S150" s="305" t="e">
        <f t="shared" si="32"/>
        <v>#VALUE!</v>
      </c>
      <c r="T150" s="305" t="e">
        <f t="shared" si="32"/>
        <v>#VALUE!</v>
      </c>
      <c r="U150" s="305" t="e">
        <f t="shared" si="32"/>
        <v>#VALUE!</v>
      </c>
      <c r="V150" s="305" t="e">
        <f t="shared" si="32"/>
        <v>#VALUE!</v>
      </c>
      <c r="W150" s="305" t="e">
        <f t="shared" si="32"/>
        <v>#VALUE!</v>
      </c>
      <c r="X150" s="305" t="e">
        <f t="shared" si="32"/>
        <v>#VALUE!</v>
      </c>
      <c r="Y150" s="305" t="e">
        <f t="shared" si="32"/>
        <v>#VALUE!</v>
      </c>
      <c r="Z150" s="305" t="e">
        <f t="shared" si="32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9"/>
        <v>#VALUE!</v>
      </c>
    </row>
    <row r="151" spans="1:34" ht="14.25" thickTop="1" thickBot="1">
      <c r="C151" s="311" t="s">
        <v>0</v>
      </c>
      <c r="D151" s="328" t="e">
        <f t="shared" ref="D151:AH151" si="34">SUM(D120:D150)</f>
        <v>#VALUE!</v>
      </c>
      <c r="E151" s="328" t="e">
        <f t="shared" si="34"/>
        <v>#VALUE!</v>
      </c>
      <c r="F151" s="328" t="e">
        <f t="shared" si="34"/>
        <v>#VALUE!</v>
      </c>
      <c r="G151" s="328" t="e">
        <f t="shared" si="34"/>
        <v>#VALUE!</v>
      </c>
      <c r="H151" s="328" t="e">
        <f t="shared" si="34"/>
        <v>#VALUE!</v>
      </c>
      <c r="I151" s="328" t="e">
        <f t="shared" si="34"/>
        <v>#VALUE!</v>
      </c>
      <c r="J151" s="328" t="e">
        <f t="shared" si="34"/>
        <v>#VALUE!</v>
      </c>
      <c r="K151" s="328" t="e">
        <f t="shared" si="34"/>
        <v>#VALUE!</v>
      </c>
      <c r="L151" s="328" t="e">
        <f t="shared" si="34"/>
        <v>#VALUE!</v>
      </c>
      <c r="M151" s="328" t="e">
        <f t="shared" si="34"/>
        <v>#VALUE!</v>
      </c>
      <c r="N151" s="328" t="e">
        <f t="shared" si="34"/>
        <v>#VALUE!</v>
      </c>
      <c r="O151" s="328" t="e">
        <f t="shared" si="34"/>
        <v>#VALUE!</v>
      </c>
      <c r="P151" s="328" t="e">
        <f t="shared" si="34"/>
        <v>#VALUE!</v>
      </c>
      <c r="Q151" s="328" t="e">
        <f t="shared" si="34"/>
        <v>#VALUE!</v>
      </c>
      <c r="R151" s="328" t="e">
        <f t="shared" si="34"/>
        <v>#VALUE!</v>
      </c>
      <c r="S151" s="328" t="e">
        <f t="shared" si="34"/>
        <v>#VALUE!</v>
      </c>
      <c r="T151" s="328" t="e">
        <f t="shared" si="34"/>
        <v>#VALUE!</v>
      </c>
      <c r="U151" s="328" t="e">
        <f t="shared" si="34"/>
        <v>#VALUE!</v>
      </c>
      <c r="V151" s="328" t="e">
        <f t="shared" si="34"/>
        <v>#VALUE!</v>
      </c>
      <c r="W151" s="328" t="e">
        <f t="shared" si="34"/>
        <v>#VALUE!</v>
      </c>
      <c r="X151" s="328" t="e">
        <f t="shared" si="34"/>
        <v>#VALUE!</v>
      </c>
      <c r="Y151" s="328" t="e">
        <f t="shared" si="34"/>
        <v>#VALUE!</v>
      </c>
      <c r="Z151" s="328" t="e">
        <f t="shared" si="34"/>
        <v>#VALUE!</v>
      </c>
      <c r="AA151" s="328" t="e">
        <f t="shared" si="34"/>
        <v>#VALUE!</v>
      </c>
      <c r="AB151" s="328" t="e">
        <f t="shared" si="34"/>
        <v>#VALUE!</v>
      </c>
      <c r="AC151" s="328" t="e">
        <f t="shared" si="34"/>
        <v>#VALUE!</v>
      </c>
      <c r="AD151" s="328" t="e">
        <f t="shared" si="34"/>
        <v>#VALUE!</v>
      </c>
      <c r="AE151" s="328" t="e">
        <f t="shared" si="34"/>
        <v>#VALUE!</v>
      </c>
      <c r="AF151" s="329" t="e">
        <f t="shared" si="34"/>
        <v>#VALUE!</v>
      </c>
      <c r="AG151" s="328">
        <f t="shared" si="34"/>
        <v>0</v>
      </c>
      <c r="AH151" s="315" t="e">
        <f t="shared" si="34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5">D156+1</f>
        <v>2</v>
      </c>
      <c r="F156" s="302">
        <f t="shared" si="35"/>
        <v>3</v>
      </c>
      <c r="G156" s="302">
        <f t="shared" si="35"/>
        <v>4</v>
      </c>
      <c r="H156" s="302">
        <f t="shared" si="35"/>
        <v>5</v>
      </c>
      <c r="I156" s="302">
        <f t="shared" si="35"/>
        <v>6</v>
      </c>
      <c r="J156" s="302">
        <f t="shared" si="35"/>
        <v>7</v>
      </c>
      <c r="K156" s="302">
        <f t="shared" si="35"/>
        <v>8</v>
      </c>
      <c r="L156" s="302">
        <f t="shared" si="35"/>
        <v>9</v>
      </c>
      <c r="M156" s="302">
        <f t="shared" si="35"/>
        <v>10</v>
      </c>
      <c r="N156" s="302">
        <f t="shared" si="35"/>
        <v>11</v>
      </c>
      <c r="O156" s="302">
        <f t="shared" si="35"/>
        <v>12</v>
      </c>
      <c r="P156" s="302">
        <f t="shared" si="35"/>
        <v>13</v>
      </c>
      <c r="Q156" s="302">
        <f t="shared" si="35"/>
        <v>14</v>
      </c>
      <c r="R156" s="302">
        <f t="shared" si="35"/>
        <v>15</v>
      </c>
      <c r="S156" s="302">
        <f t="shared" si="35"/>
        <v>16</v>
      </c>
      <c r="T156" s="302">
        <f t="shared" si="35"/>
        <v>17</v>
      </c>
      <c r="U156" s="302">
        <f t="shared" si="35"/>
        <v>18</v>
      </c>
      <c r="V156" s="302">
        <f t="shared" si="35"/>
        <v>19</v>
      </c>
      <c r="W156" s="302">
        <f t="shared" si="35"/>
        <v>20</v>
      </c>
      <c r="X156" s="302">
        <f t="shared" si="35"/>
        <v>21</v>
      </c>
      <c r="Y156" s="302">
        <f t="shared" si="35"/>
        <v>22</v>
      </c>
      <c r="Z156" s="302">
        <f t="shared" si="35"/>
        <v>23</v>
      </c>
      <c r="AA156" s="302">
        <f t="shared" si="35"/>
        <v>24</v>
      </c>
      <c r="AB156" s="302">
        <f t="shared" si="35"/>
        <v>25</v>
      </c>
      <c r="AC156" s="302">
        <f t="shared" si="35"/>
        <v>26</v>
      </c>
      <c r="AD156" s="302">
        <f t="shared" si="35"/>
        <v>27</v>
      </c>
      <c r="AE156" s="302">
        <f t="shared" si="35"/>
        <v>28</v>
      </c>
      <c r="AF156" s="302">
        <f t="shared" si="35"/>
        <v>29</v>
      </c>
      <c r="AG156" s="302">
        <f t="shared" si="35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6">SUM(D157:AG157)</f>
        <v>0</v>
      </c>
    </row>
    <row r="158" spans="1:34">
      <c r="C158" s="304">
        <f t="shared" ref="C158:C187" si="37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6"/>
        <v>0</v>
      </c>
    </row>
    <row r="159" spans="1:34">
      <c r="C159" s="304">
        <f t="shared" si="37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6"/>
        <v>#VALUE!</v>
      </c>
    </row>
    <row r="160" spans="1:34">
      <c r="C160" s="304">
        <f t="shared" si="37"/>
        <v>3</v>
      </c>
      <c r="D160" s="305" t="e">
        <f t="shared" ref="D160:O175" si="38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6"/>
        <v>#VALUE!</v>
      </c>
    </row>
    <row r="161" spans="3:34">
      <c r="C161" s="304">
        <f t="shared" si="37"/>
        <v>4</v>
      </c>
      <c r="D161" s="305" t="e">
        <f t="shared" si="38"/>
        <v>#VALUE!</v>
      </c>
      <c r="E161" s="305" t="e">
        <f t="shared" si="38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6"/>
        <v>#VALUE!</v>
      </c>
    </row>
    <row r="162" spans="3:34">
      <c r="C162" s="304">
        <f t="shared" si="37"/>
        <v>5</v>
      </c>
      <c r="D162" s="305" t="e">
        <f t="shared" si="38"/>
        <v>#VALUE!</v>
      </c>
      <c r="E162" s="305" t="e">
        <f t="shared" si="38"/>
        <v>#VALUE!</v>
      </c>
      <c r="F162" s="305" t="e">
        <f t="shared" si="38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6"/>
        <v>#VALUE!</v>
      </c>
    </row>
    <row r="163" spans="3:34">
      <c r="C163" s="304">
        <f t="shared" si="37"/>
        <v>6</v>
      </c>
      <c r="D163" s="305" t="e">
        <f t="shared" si="38"/>
        <v>#VALUE!</v>
      </c>
      <c r="E163" s="305" t="e">
        <f t="shared" si="38"/>
        <v>#VALUE!</v>
      </c>
      <c r="F163" s="305" t="e">
        <f t="shared" si="38"/>
        <v>#VALUE!</v>
      </c>
      <c r="G163" s="305" t="e">
        <f t="shared" si="38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6"/>
        <v>#VALUE!</v>
      </c>
    </row>
    <row r="164" spans="3:34">
      <c r="C164" s="304">
        <f t="shared" si="37"/>
        <v>7</v>
      </c>
      <c r="D164" s="305" t="e">
        <f t="shared" si="38"/>
        <v>#VALUE!</v>
      </c>
      <c r="E164" s="305" t="e">
        <f t="shared" si="38"/>
        <v>#VALUE!</v>
      </c>
      <c r="F164" s="305" t="e">
        <f t="shared" si="38"/>
        <v>#VALUE!</v>
      </c>
      <c r="G164" s="305" t="e">
        <f t="shared" si="38"/>
        <v>#VALUE!</v>
      </c>
      <c r="H164" s="305" t="e">
        <f t="shared" si="38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6"/>
        <v>#VALUE!</v>
      </c>
    </row>
    <row r="165" spans="3:34">
      <c r="C165" s="304">
        <f t="shared" si="37"/>
        <v>8</v>
      </c>
      <c r="D165" s="305" t="e">
        <f t="shared" si="38"/>
        <v>#VALUE!</v>
      </c>
      <c r="E165" s="305" t="e">
        <f t="shared" si="38"/>
        <v>#VALUE!</v>
      </c>
      <c r="F165" s="305" t="e">
        <f t="shared" si="38"/>
        <v>#VALUE!</v>
      </c>
      <c r="G165" s="305" t="e">
        <f t="shared" si="38"/>
        <v>#VALUE!</v>
      </c>
      <c r="H165" s="305" t="e">
        <f t="shared" si="38"/>
        <v>#VALUE!</v>
      </c>
      <c r="I165" s="305" t="e">
        <f t="shared" si="38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6"/>
        <v>#VALUE!</v>
      </c>
    </row>
    <row r="166" spans="3:34">
      <c r="C166" s="304">
        <f t="shared" si="37"/>
        <v>9</v>
      </c>
      <c r="D166" s="305" t="e">
        <f t="shared" si="38"/>
        <v>#VALUE!</v>
      </c>
      <c r="E166" s="305" t="e">
        <f t="shared" si="38"/>
        <v>#VALUE!</v>
      </c>
      <c r="F166" s="305" t="e">
        <f t="shared" si="38"/>
        <v>#VALUE!</v>
      </c>
      <c r="G166" s="305" t="e">
        <f t="shared" si="38"/>
        <v>#VALUE!</v>
      </c>
      <c r="H166" s="305" t="e">
        <f t="shared" si="38"/>
        <v>#VALUE!</v>
      </c>
      <c r="I166" s="305" t="e">
        <f t="shared" si="38"/>
        <v>#VALUE!</v>
      </c>
      <c r="J166" s="305" t="e">
        <f t="shared" si="38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6"/>
        <v>#VALUE!</v>
      </c>
    </row>
    <row r="167" spans="3:34">
      <c r="C167" s="304">
        <f t="shared" si="37"/>
        <v>10</v>
      </c>
      <c r="D167" s="305" t="e">
        <f t="shared" si="38"/>
        <v>#VALUE!</v>
      </c>
      <c r="E167" s="305" t="e">
        <f t="shared" si="38"/>
        <v>#VALUE!</v>
      </c>
      <c r="F167" s="305" t="e">
        <f t="shared" si="38"/>
        <v>#VALUE!</v>
      </c>
      <c r="G167" s="305" t="e">
        <f t="shared" si="38"/>
        <v>#VALUE!</v>
      </c>
      <c r="H167" s="305" t="e">
        <f t="shared" si="38"/>
        <v>#VALUE!</v>
      </c>
      <c r="I167" s="305" t="e">
        <f t="shared" si="38"/>
        <v>#VALUE!</v>
      </c>
      <c r="J167" s="305" t="e">
        <f t="shared" si="38"/>
        <v>#VALUE!</v>
      </c>
      <c r="K167" s="305" t="e">
        <f t="shared" si="38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6"/>
        <v>#VALUE!</v>
      </c>
    </row>
    <row r="168" spans="3:34">
      <c r="C168" s="304">
        <f t="shared" si="37"/>
        <v>11</v>
      </c>
      <c r="D168" s="305" t="e">
        <f t="shared" si="38"/>
        <v>#VALUE!</v>
      </c>
      <c r="E168" s="305" t="e">
        <f t="shared" si="38"/>
        <v>#VALUE!</v>
      </c>
      <c r="F168" s="305" t="e">
        <f t="shared" si="38"/>
        <v>#VALUE!</v>
      </c>
      <c r="G168" s="305" t="e">
        <f t="shared" si="38"/>
        <v>#VALUE!</v>
      </c>
      <c r="H168" s="305" t="e">
        <f t="shared" si="38"/>
        <v>#VALUE!</v>
      </c>
      <c r="I168" s="305" t="e">
        <f t="shared" si="38"/>
        <v>#VALUE!</v>
      </c>
      <c r="J168" s="305" t="e">
        <f t="shared" si="38"/>
        <v>#VALUE!</v>
      </c>
      <c r="K168" s="305" t="e">
        <f t="shared" si="38"/>
        <v>#VALUE!</v>
      </c>
      <c r="L168" s="305" t="e">
        <f t="shared" si="38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6"/>
        <v>#VALUE!</v>
      </c>
    </row>
    <row r="169" spans="3:34">
      <c r="C169" s="304">
        <f t="shared" si="37"/>
        <v>12</v>
      </c>
      <c r="D169" s="305" t="e">
        <f t="shared" si="38"/>
        <v>#VALUE!</v>
      </c>
      <c r="E169" s="305" t="e">
        <f t="shared" si="38"/>
        <v>#VALUE!</v>
      </c>
      <c r="F169" s="305" t="e">
        <f t="shared" si="38"/>
        <v>#VALUE!</v>
      </c>
      <c r="G169" s="305" t="e">
        <f t="shared" si="38"/>
        <v>#VALUE!</v>
      </c>
      <c r="H169" s="305" t="e">
        <f t="shared" si="38"/>
        <v>#VALUE!</v>
      </c>
      <c r="I169" s="305" t="e">
        <f t="shared" si="38"/>
        <v>#VALUE!</v>
      </c>
      <c r="J169" s="305" t="e">
        <f t="shared" si="38"/>
        <v>#VALUE!</v>
      </c>
      <c r="K169" s="305" t="e">
        <f t="shared" si="38"/>
        <v>#VALUE!</v>
      </c>
      <c r="L169" s="305" t="e">
        <f t="shared" si="38"/>
        <v>#VALUE!</v>
      </c>
      <c r="M169" s="305" t="e">
        <f t="shared" si="38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6"/>
        <v>#VALUE!</v>
      </c>
    </row>
    <row r="170" spans="3:34">
      <c r="C170" s="304">
        <f t="shared" si="37"/>
        <v>13</v>
      </c>
      <c r="D170" s="305" t="e">
        <f t="shared" si="38"/>
        <v>#VALUE!</v>
      </c>
      <c r="E170" s="305" t="e">
        <f t="shared" si="38"/>
        <v>#VALUE!</v>
      </c>
      <c r="F170" s="305" t="e">
        <f t="shared" si="38"/>
        <v>#VALUE!</v>
      </c>
      <c r="G170" s="305" t="e">
        <f t="shared" si="38"/>
        <v>#VALUE!</v>
      </c>
      <c r="H170" s="305" t="e">
        <f t="shared" si="38"/>
        <v>#VALUE!</v>
      </c>
      <c r="I170" s="305" t="e">
        <f t="shared" si="38"/>
        <v>#VALUE!</v>
      </c>
      <c r="J170" s="305" t="e">
        <f t="shared" si="38"/>
        <v>#VALUE!</v>
      </c>
      <c r="K170" s="305" t="e">
        <f t="shared" si="38"/>
        <v>#VALUE!</v>
      </c>
      <c r="L170" s="305" t="e">
        <f t="shared" si="38"/>
        <v>#VALUE!</v>
      </c>
      <c r="M170" s="305" t="e">
        <f t="shared" si="38"/>
        <v>#VALUE!</v>
      </c>
      <c r="N170" s="305" t="e">
        <f t="shared" si="38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6"/>
        <v>#VALUE!</v>
      </c>
    </row>
    <row r="171" spans="3:34">
      <c r="C171" s="304">
        <f t="shared" si="37"/>
        <v>14</v>
      </c>
      <c r="D171" s="305"/>
      <c r="E171" s="305" t="e">
        <f t="shared" si="38"/>
        <v>#VALUE!</v>
      </c>
      <c r="F171" s="305" t="e">
        <f t="shared" si="38"/>
        <v>#VALUE!</v>
      </c>
      <c r="G171" s="305" t="e">
        <f t="shared" si="38"/>
        <v>#VALUE!</v>
      </c>
      <c r="H171" s="305" t="e">
        <f t="shared" si="38"/>
        <v>#VALUE!</v>
      </c>
      <c r="I171" s="305" t="e">
        <f t="shared" si="38"/>
        <v>#VALUE!</v>
      </c>
      <c r="J171" s="305" t="e">
        <f t="shared" si="38"/>
        <v>#VALUE!</v>
      </c>
      <c r="K171" s="305" t="e">
        <f t="shared" si="38"/>
        <v>#VALUE!</v>
      </c>
      <c r="L171" s="305" t="e">
        <f t="shared" si="38"/>
        <v>#VALUE!</v>
      </c>
      <c r="M171" s="305" t="e">
        <f t="shared" si="38"/>
        <v>#VALUE!</v>
      </c>
      <c r="N171" s="305" t="e">
        <f t="shared" si="38"/>
        <v>#VALUE!</v>
      </c>
      <c r="O171" s="305" t="e">
        <f t="shared" si="38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6"/>
        <v>#VALUE!</v>
      </c>
    </row>
    <row r="172" spans="3:34">
      <c r="C172" s="304">
        <f t="shared" si="37"/>
        <v>15</v>
      </c>
      <c r="D172" s="305"/>
      <c r="E172" s="305"/>
      <c r="F172" s="305" t="e">
        <f t="shared" si="38"/>
        <v>#VALUE!</v>
      </c>
      <c r="G172" s="305" t="e">
        <f t="shared" si="38"/>
        <v>#VALUE!</v>
      </c>
      <c r="H172" s="305" t="e">
        <f t="shared" si="38"/>
        <v>#VALUE!</v>
      </c>
      <c r="I172" s="305" t="e">
        <f t="shared" si="38"/>
        <v>#VALUE!</v>
      </c>
      <c r="J172" s="305" t="e">
        <f t="shared" si="38"/>
        <v>#VALUE!</v>
      </c>
      <c r="K172" s="305" t="e">
        <f t="shared" si="38"/>
        <v>#VALUE!</v>
      </c>
      <c r="L172" s="305" t="e">
        <f t="shared" si="38"/>
        <v>#VALUE!</v>
      </c>
      <c r="M172" s="305" t="e">
        <f t="shared" si="38"/>
        <v>#VALUE!</v>
      </c>
      <c r="N172" s="305" t="e">
        <f t="shared" si="38"/>
        <v>#VALUE!</v>
      </c>
      <c r="O172" s="305" t="e">
        <f t="shared" si="38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6"/>
        <v>#VALUE!</v>
      </c>
    </row>
    <row r="173" spans="3:34">
      <c r="C173" s="304">
        <f t="shared" si="37"/>
        <v>16</v>
      </c>
      <c r="D173" s="305"/>
      <c r="E173" s="305"/>
      <c r="F173" s="305"/>
      <c r="G173" s="305" t="e">
        <f t="shared" si="38"/>
        <v>#VALUE!</v>
      </c>
      <c r="H173" s="305" t="e">
        <f t="shared" si="38"/>
        <v>#VALUE!</v>
      </c>
      <c r="I173" s="305" t="e">
        <f t="shared" si="38"/>
        <v>#VALUE!</v>
      </c>
      <c r="J173" s="305" t="e">
        <f t="shared" si="38"/>
        <v>#VALUE!</v>
      </c>
      <c r="K173" s="305" t="e">
        <f t="shared" si="38"/>
        <v>#VALUE!</v>
      </c>
      <c r="L173" s="305" t="e">
        <f t="shared" si="38"/>
        <v>#VALUE!</v>
      </c>
      <c r="M173" s="305" t="e">
        <f t="shared" si="38"/>
        <v>#VALUE!</v>
      </c>
      <c r="N173" s="305" t="e">
        <f t="shared" si="38"/>
        <v>#VALUE!</v>
      </c>
      <c r="O173" s="305" t="e">
        <f t="shared" si="38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6"/>
        <v>#VALUE!</v>
      </c>
    </row>
    <row r="174" spans="3:34">
      <c r="C174" s="304">
        <f t="shared" si="37"/>
        <v>17</v>
      </c>
      <c r="D174" s="305"/>
      <c r="E174" s="305"/>
      <c r="F174" s="305"/>
      <c r="G174" s="305"/>
      <c r="H174" s="305" t="e">
        <f t="shared" si="38"/>
        <v>#VALUE!</v>
      </c>
      <c r="I174" s="305" t="e">
        <f t="shared" si="38"/>
        <v>#VALUE!</v>
      </c>
      <c r="J174" s="305" t="e">
        <f t="shared" si="38"/>
        <v>#VALUE!</v>
      </c>
      <c r="K174" s="305" t="e">
        <f t="shared" si="38"/>
        <v>#VALUE!</v>
      </c>
      <c r="L174" s="305" t="e">
        <f t="shared" si="38"/>
        <v>#VALUE!</v>
      </c>
      <c r="M174" s="305" t="e">
        <f t="shared" si="38"/>
        <v>#VALUE!</v>
      </c>
      <c r="N174" s="305" t="e">
        <f t="shared" si="38"/>
        <v>#VALUE!</v>
      </c>
      <c r="O174" s="305" t="e">
        <f t="shared" si="38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6"/>
        <v>#VALUE!</v>
      </c>
    </row>
    <row r="175" spans="3:34">
      <c r="C175" s="304">
        <f t="shared" si="37"/>
        <v>18</v>
      </c>
      <c r="D175" s="305"/>
      <c r="E175" s="305"/>
      <c r="F175" s="305"/>
      <c r="G175" s="305"/>
      <c r="H175" s="305"/>
      <c r="I175" s="305" t="e">
        <f t="shared" si="38"/>
        <v>#VALUE!</v>
      </c>
      <c r="J175" s="305" t="e">
        <f t="shared" si="38"/>
        <v>#VALUE!</v>
      </c>
      <c r="K175" s="305" t="e">
        <f t="shared" si="38"/>
        <v>#VALUE!</v>
      </c>
      <c r="L175" s="305" t="e">
        <f t="shared" si="38"/>
        <v>#VALUE!</v>
      </c>
      <c r="M175" s="305" t="e">
        <f t="shared" si="38"/>
        <v>#VALUE!</v>
      </c>
      <c r="N175" s="305" t="e">
        <f t="shared" si="38"/>
        <v>#VALUE!</v>
      </c>
      <c r="O175" s="305" t="e">
        <f t="shared" si="38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6"/>
        <v>#VALUE!</v>
      </c>
    </row>
    <row r="176" spans="3:34">
      <c r="C176" s="304">
        <f t="shared" si="37"/>
        <v>19</v>
      </c>
      <c r="D176" s="305"/>
      <c r="E176" s="305"/>
      <c r="F176" s="305"/>
      <c r="G176" s="305"/>
      <c r="H176" s="305"/>
      <c r="I176" s="305"/>
      <c r="J176" s="305" t="e">
        <f t="shared" ref="J176:Y187" si="39">J175</f>
        <v>#VALUE!</v>
      </c>
      <c r="K176" s="305" t="e">
        <f t="shared" si="39"/>
        <v>#VALUE!</v>
      </c>
      <c r="L176" s="305" t="e">
        <f t="shared" si="39"/>
        <v>#VALUE!</v>
      </c>
      <c r="M176" s="305" t="e">
        <f t="shared" si="39"/>
        <v>#VALUE!</v>
      </c>
      <c r="N176" s="305" t="e">
        <f t="shared" si="39"/>
        <v>#VALUE!</v>
      </c>
      <c r="O176" s="305" t="e">
        <f t="shared" si="39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6"/>
        <v>#VALUE!</v>
      </c>
    </row>
    <row r="177" spans="1:34">
      <c r="C177" s="304">
        <f t="shared" si="37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9"/>
        <v>#VALUE!</v>
      </c>
      <c r="L177" s="305" t="e">
        <f t="shared" si="39"/>
        <v>#VALUE!</v>
      </c>
      <c r="M177" s="305" t="e">
        <f t="shared" si="39"/>
        <v>#VALUE!</v>
      </c>
      <c r="N177" s="305" t="e">
        <f t="shared" si="39"/>
        <v>#VALUE!</v>
      </c>
      <c r="O177" s="305" t="e">
        <f t="shared" si="39"/>
        <v>#VALUE!</v>
      </c>
      <c r="P177" s="305" t="e">
        <f t="shared" si="39"/>
        <v>#VALUE!</v>
      </c>
      <c r="Q177" s="305" t="e">
        <f t="shared" si="39"/>
        <v>#VALUE!</v>
      </c>
      <c r="R177" s="305" t="e">
        <f t="shared" si="39"/>
        <v>#VALUE!</v>
      </c>
      <c r="S177" s="305" t="e">
        <f t="shared" si="39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6"/>
        <v>#VALUE!</v>
      </c>
    </row>
    <row r="178" spans="1:34">
      <c r="C178" s="304">
        <f t="shared" si="37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9"/>
        <v>#VALUE!</v>
      </c>
      <c r="M178" s="305" t="e">
        <f t="shared" si="39"/>
        <v>#VALUE!</v>
      </c>
      <c r="N178" s="305" t="e">
        <f t="shared" si="39"/>
        <v>#VALUE!</v>
      </c>
      <c r="O178" s="305" t="e">
        <f t="shared" si="39"/>
        <v>#VALUE!</v>
      </c>
      <c r="P178" s="305" t="e">
        <f t="shared" si="39"/>
        <v>#VALUE!</v>
      </c>
      <c r="Q178" s="305" t="e">
        <f t="shared" si="39"/>
        <v>#VALUE!</v>
      </c>
      <c r="R178" s="305" t="e">
        <f t="shared" si="39"/>
        <v>#VALUE!</v>
      </c>
      <c r="S178" s="305" t="e">
        <f t="shared" si="39"/>
        <v>#VALUE!</v>
      </c>
      <c r="T178" s="305" t="e">
        <f t="shared" si="39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6"/>
        <v>#VALUE!</v>
      </c>
    </row>
    <row r="179" spans="1:34">
      <c r="C179" s="330">
        <f t="shared" si="37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9"/>
        <v>#VALUE!</v>
      </c>
      <c r="N179" s="305" t="e">
        <f t="shared" si="39"/>
        <v>#VALUE!</v>
      </c>
      <c r="O179" s="305" t="e">
        <f t="shared" si="39"/>
        <v>#VALUE!</v>
      </c>
      <c r="P179" s="305" t="e">
        <f t="shared" si="39"/>
        <v>#VALUE!</v>
      </c>
      <c r="Q179" s="305" t="e">
        <f t="shared" si="39"/>
        <v>#VALUE!</v>
      </c>
      <c r="R179" s="305" t="e">
        <f t="shared" si="39"/>
        <v>#VALUE!</v>
      </c>
      <c r="S179" s="305" t="e">
        <f t="shared" si="39"/>
        <v>#VALUE!</v>
      </c>
      <c r="T179" s="305" t="e">
        <f t="shared" si="39"/>
        <v>#VALUE!</v>
      </c>
      <c r="U179" s="305" t="e">
        <f t="shared" si="39"/>
        <v>#VALUE!</v>
      </c>
      <c r="V179" s="305" t="e">
        <f t="shared" si="39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6"/>
        <v>#VALUE!</v>
      </c>
    </row>
    <row r="180" spans="1:34">
      <c r="C180" s="330">
        <f t="shared" si="37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9"/>
        <v>#VALUE!</v>
      </c>
      <c r="O180" s="305" t="e">
        <f t="shared" si="39"/>
        <v>#VALUE!</v>
      </c>
      <c r="P180" s="305" t="e">
        <f t="shared" si="39"/>
        <v>#VALUE!</v>
      </c>
      <c r="Q180" s="305" t="e">
        <f t="shared" si="39"/>
        <v>#VALUE!</v>
      </c>
      <c r="R180" s="305" t="e">
        <f t="shared" si="39"/>
        <v>#VALUE!</v>
      </c>
      <c r="S180" s="305" t="e">
        <f t="shared" si="39"/>
        <v>#VALUE!</v>
      </c>
      <c r="T180" s="305" t="e">
        <f t="shared" si="39"/>
        <v>#VALUE!</v>
      </c>
      <c r="U180" s="305" t="e">
        <f t="shared" si="39"/>
        <v>#VALUE!</v>
      </c>
      <c r="V180" s="305" t="e">
        <f t="shared" si="39"/>
        <v>#VALUE!</v>
      </c>
      <c r="W180" s="305" t="e">
        <f t="shared" si="39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6"/>
        <v>#VALUE!</v>
      </c>
    </row>
    <row r="181" spans="1:34">
      <c r="C181" s="330">
        <f t="shared" si="37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9"/>
        <v>#VALUE!</v>
      </c>
      <c r="P181" s="305" t="e">
        <f t="shared" si="39"/>
        <v>#VALUE!</v>
      </c>
      <c r="Q181" s="305" t="e">
        <f t="shared" si="39"/>
        <v>#VALUE!</v>
      </c>
      <c r="R181" s="305" t="e">
        <f t="shared" si="39"/>
        <v>#VALUE!</v>
      </c>
      <c r="S181" s="305" t="e">
        <f t="shared" si="39"/>
        <v>#VALUE!</v>
      </c>
      <c r="T181" s="305" t="e">
        <f t="shared" si="39"/>
        <v>#VALUE!</v>
      </c>
      <c r="U181" s="305" t="e">
        <f t="shared" si="39"/>
        <v>#VALUE!</v>
      </c>
      <c r="V181" s="305" t="e">
        <f t="shared" si="39"/>
        <v>#VALUE!</v>
      </c>
      <c r="W181" s="305" t="e">
        <f t="shared" si="39"/>
        <v>#VALUE!</v>
      </c>
      <c r="X181" s="305" t="e">
        <f t="shared" si="39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6"/>
        <v>#VALUE!</v>
      </c>
    </row>
    <row r="182" spans="1:34">
      <c r="C182" s="330">
        <f t="shared" si="37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9"/>
        <v>#VALUE!</v>
      </c>
      <c r="Q182" s="305" t="e">
        <f t="shared" si="39"/>
        <v>#VALUE!</v>
      </c>
      <c r="R182" s="305" t="e">
        <f t="shared" si="39"/>
        <v>#VALUE!</v>
      </c>
      <c r="S182" s="305" t="e">
        <f t="shared" si="39"/>
        <v>#VALUE!</v>
      </c>
      <c r="T182" s="305" t="e">
        <f t="shared" si="39"/>
        <v>#VALUE!</v>
      </c>
      <c r="U182" s="305" t="e">
        <f t="shared" si="39"/>
        <v>#VALUE!</v>
      </c>
      <c r="V182" s="305" t="e">
        <f t="shared" si="39"/>
        <v>#VALUE!</v>
      </c>
      <c r="W182" s="305" t="e">
        <f t="shared" si="39"/>
        <v>#VALUE!</v>
      </c>
      <c r="X182" s="305" t="e">
        <f t="shared" si="39"/>
        <v>#VALUE!</v>
      </c>
      <c r="Y182" s="305" t="e">
        <f t="shared" si="39"/>
        <v>#VALUE!</v>
      </c>
      <c r="Z182" s="305" t="e">
        <f t="shared" ref="Z182:Z187" si="40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6"/>
        <v>#VALUE!</v>
      </c>
    </row>
    <row r="183" spans="1:34">
      <c r="C183" s="330">
        <f t="shared" si="37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9"/>
        <v>#VALUE!</v>
      </c>
      <c r="R183" s="305" t="e">
        <f t="shared" si="39"/>
        <v>#VALUE!</v>
      </c>
      <c r="S183" s="305" t="e">
        <f t="shared" si="39"/>
        <v>#VALUE!</v>
      </c>
      <c r="T183" s="305" t="e">
        <f t="shared" si="39"/>
        <v>#VALUE!</v>
      </c>
      <c r="U183" s="305" t="e">
        <f t="shared" si="39"/>
        <v>#VALUE!</v>
      </c>
      <c r="V183" s="305" t="e">
        <f t="shared" si="39"/>
        <v>#VALUE!</v>
      </c>
      <c r="W183" s="305" t="e">
        <f t="shared" si="39"/>
        <v>#VALUE!</v>
      </c>
      <c r="X183" s="305" t="e">
        <f t="shared" si="39"/>
        <v>#VALUE!</v>
      </c>
      <c r="Y183" s="305" t="e">
        <f t="shared" si="39"/>
        <v>#VALUE!</v>
      </c>
      <c r="Z183" s="305" t="e">
        <f t="shared" si="40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6"/>
        <v>#VALUE!</v>
      </c>
    </row>
    <row r="184" spans="1:34">
      <c r="C184" s="330">
        <f t="shared" si="37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9"/>
        <v>#VALUE!</v>
      </c>
      <c r="S184" s="305" t="e">
        <f t="shared" si="39"/>
        <v>#VALUE!</v>
      </c>
      <c r="T184" s="305" t="e">
        <f t="shared" si="39"/>
        <v>#VALUE!</v>
      </c>
      <c r="U184" s="305" t="e">
        <f t="shared" si="39"/>
        <v>#VALUE!</v>
      </c>
      <c r="V184" s="305" t="e">
        <f t="shared" si="39"/>
        <v>#VALUE!</v>
      </c>
      <c r="W184" s="305" t="e">
        <f t="shared" si="39"/>
        <v>#VALUE!</v>
      </c>
      <c r="X184" s="305" t="e">
        <f t="shared" si="39"/>
        <v>#VALUE!</v>
      </c>
      <c r="Y184" s="305" t="e">
        <f t="shared" si="39"/>
        <v>#VALUE!</v>
      </c>
      <c r="Z184" s="305" t="e">
        <f t="shared" si="40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6"/>
        <v>#VALUE!</v>
      </c>
    </row>
    <row r="185" spans="1:34">
      <c r="C185" s="330">
        <f t="shared" si="37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9"/>
        <v>#VALUE!</v>
      </c>
      <c r="T185" s="305" t="e">
        <f t="shared" si="39"/>
        <v>#VALUE!</v>
      </c>
      <c r="U185" s="305" t="e">
        <f t="shared" si="39"/>
        <v>#VALUE!</v>
      </c>
      <c r="V185" s="305" t="e">
        <f t="shared" si="39"/>
        <v>#VALUE!</v>
      </c>
      <c r="W185" s="305" t="e">
        <f t="shared" si="39"/>
        <v>#VALUE!</v>
      </c>
      <c r="X185" s="305" t="e">
        <f t="shared" si="39"/>
        <v>#VALUE!</v>
      </c>
      <c r="Y185" s="305" t="e">
        <f t="shared" si="39"/>
        <v>#VALUE!</v>
      </c>
      <c r="Z185" s="305" t="e">
        <f t="shared" si="40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6"/>
        <v>#VALUE!</v>
      </c>
    </row>
    <row r="186" spans="1:34">
      <c r="C186" s="330">
        <f t="shared" si="37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9"/>
        <v>#VALUE!</v>
      </c>
      <c r="U186" s="305" t="e">
        <f t="shared" si="39"/>
        <v>#VALUE!</v>
      </c>
      <c r="V186" s="305" t="e">
        <f t="shared" si="39"/>
        <v>#VALUE!</v>
      </c>
      <c r="W186" s="305" t="e">
        <f t="shared" si="39"/>
        <v>#VALUE!</v>
      </c>
      <c r="X186" s="305" t="e">
        <f t="shared" si="39"/>
        <v>#VALUE!</v>
      </c>
      <c r="Y186" s="305" t="e">
        <f t="shared" si="39"/>
        <v>#VALUE!</v>
      </c>
      <c r="Z186" s="305" t="e">
        <f t="shared" si="40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6"/>
        <v>#VALUE!</v>
      </c>
    </row>
    <row r="187" spans="1:34" ht="13.5" thickBot="1">
      <c r="C187" s="307">
        <f t="shared" si="37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9"/>
        <v>#VALUE!</v>
      </c>
      <c r="V187" s="305" t="e">
        <f t="shared" si="39"/>
        <v>#VALUE!</v>
      </c>
      <c r="W187" s="305" t="e">
        <f t="shared" si="39"/>
        <v>#VALUE!</v>
      </c>
      <c r="X187" s="305" t="e">
        <f t="shared" si="39"/>
        <v>#VALUE!</v>
      </c>
      <c r="Y187" s="305" t="e">
        <f t="shared" si="39"/>
        <v>#VALUE!</v>
      </c>
      <c r="Z187" s="305" t="e">
        <f t="shared" si="40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6"/>
        <v>#VALUE!</v>
      </c>
    </row>
    <row r="188" spans="1:34" ht="14.25" thickTop="1" thickBot="1">
      <c r="C188" s="311" t="s">
        <v>0</v>
      </c>
      <c r="D188" s="328" t="e">
        <f t="shared" ref="D188:AH188" si="41">SUM(D157:D187)</f>
        <v>#VALUE!</v>
      </c>
      <c r="E188" s="328" t="e">
        <f t="shared" si="41"/>
        <v>#VALUE!</v>
      </c>
      <c r="F188" s="328" t="e">
        <f t="shared" si="41"/>
        <v>#VALUE!</v>
      </c>
      <c r="G188" s="328" t="e">
        <f t="shared" si="41"/>
        <v>#VALUE!</v>
      </c>
      <c r="H188" s="328" t="e">
        <f t="shared" si="41"/>
        <v>#VALUE!</v>
      </c>
      <c r="I188" s="328" t="e">
        <f t="shared" si="41"/>
        <v>#VALUE!</v>
      </c>
      <c r="J188" s="328" t="e">
        <f t="shared" si="41"/>
        <v>#VALUE!</v>
      </c>
      <c r="K188" s="328" t="e">
        <f t="shared" si="41"/>
        <v>#VALUE!</v>
      </c>
      <c r="L188" s="328" t="e">
        <f t="shared" si="41"/>
        <v>#VALUE!</v>
      </c>
      <c r="M188" s="328" t="e">
        <f t="shared" si="41"/>
        <v>#VALUE!</v>
      </c>
      <c r="N188" s="328" t="e">
        <f t="shared" si="41"/>
        <v>#VALUE!</v>
      </c>
      <c r="O188" s="328" t="e">
        <f t="shared" si="41"/>
        <v>#VALUE!</v>
      </c>
      <c r="P188" s="328" t="e">
        <f t="shared" si="41"/>
        <v>#VALUE!</v>
      </c>
      <c r="Q188" s="328" t="e">
        <f t="shared" si="41"/>
        <v>#VALUE!</v>
      </c>
      <c r="R188" s="328" t="e">
        <f t="shared" si="41"/>
        <v>#VALUE!</v>
      </c>
      <c r="S188" s="328" t="e">
        <f t="shared" si="41"/>
        <v>#VALUE!</v>
      </c>
      <c r="T188" s="328" t="e">
        <f t="shared" si="41"/>
        <v>#VALUE!</v>
      </c>
      <c r="U188" s="328" t="e">
        <f t="shared" si="41"/>
        <v>#VALUE!</v>
      </c>
      <c r="V188" s="328" t="e">
        <f t="shared" si="41"/>
        <v>#VALUE!</v>
      </c>
      <c r="W188" s="328" t="e">
        <f t="shared" si="41"/>
        <v>#VALUE!</v>
      </c>
      <c r="X188" s="328" t="e">
        <f t="shared" si="41"/>
        <v>#VALUE!</v>
      </c>
      <c r="Y188" s="328" t="e">
        <f t="shared" si="41"/>
        <v>#VALUE!</v>
      </c>
      <c r="Z188" s="328" t="e">
        <f t="shared" si="41"/>
        <v>#VALUE!</v>
      </c>
      <c r="AA188" s="328" t="e">
        <f t="shared" si="41"/>
        <v>#VALUE!</v>
      </c>
      <c r="AB188" s="328" t="e">
        <f t="shared" si="41"/>
        <v>#VALUE!</v>
      </c>
      <c r="AC188" s="328" t="e">
        <f t="shared" si="41"/>
        <v>#VALUE!</v>
      </c>
      <c r="AD188" s="328" t="e">
        <f t="shared" si="41"/>
        <v>#VALUE!</v>
      </c>
      <c r="AE188" s="328" t="e">
        <f t="shared" si="41"/>
        <v>#VALUE!</v>
      </c>
      <c r="AF188" s="329" t="e">
        <f t="shared" si="41"/>
        <v>#VALUE!</v>
      </c>
      <c r="AG188" s="329" t="e">
        <f t="shared" si="41"/>
        <v>#VALUE!</v>
      </c>
      <c r="AH188" s="315" t="e">
        <f t="shared" si="41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2">D193+1</f>
        <v>2</v>
      </c>
      <c r="F193" s="302">
        <f t="shared" si="42"/>
        <v>3</v>
      </c>
      <c r="G193" s="302">
        <f t="shared" si="42"/>
        <v>4</v>
      </c>
      <c r="H193" s="302">
        <f t="shared" si="42"/>
        <v>5</v>
      </c>
      <c r="I193" s="302">
        <f t="shared" si="42"/>
        <v>6</v>
      </c>
      <c r="J193" s="302">
        <f t="shared" si="42"/>
        <v>7</v>
      </c>
      <c r="K193" s="302">
        <f t="shared" si="42"/>
        <v>8</v>
      </c>
      <c r="L193" s="302">
        <f t="shared" si="42"/>
        <v>9</v>
      </c>
      <c r="M193" s="302">
        <f t="shared" si="42"/>
        <v>10</v>
      </c>
      <c r="N193" s="302">
        <f t="shared" si="42"/>
        <v>11</v>
      </c>
      <c r="O193" s="302">
        <f t="shared" si="42"/>
        <v>12</v>
      </c>
      <c r="P193" s="302">
        <f t="shared" si="42"/>
        <v>13</v>
      </c>
      <c r="Q193" s="302">
        <f t="shared" si="42"/>
        <v>14</v>
      </c>
      <c r="R193" s="302">
        <f t="shared" si="42"/>
        <v>15</v>
      </c>
      <c r="S193" s="302">
        <f t="shared" si="42"/>
        <v>16</v>
      </c>
      <c r="T193" s="302">
        <f t="shared" si="42"/>
        <v>17</v>
      </c>
      <c r="U193" s="302">
        <f t="shared" si="42"/>
        <v>18</v>
      </c>
      <c r="V193" s="302">
        <f t="shared" si="42"/>
        <v>19</v>
      </c>
      <c r="W193" s="302">
        <f t="shared" si="42"/>
        <v>20</v>
      </c>
      <c r="X193" s="302">
        <f t="shared" si="42"/>
        <v>21</v>
      </c>
      <c r="Y193" s="302">
        <f t="shared" si="42"/>
        <v>22</v>
      </c>
      <c r="Z193" s="302">
        <f t="shared" si="42"/>
        <v>23</v>
      </c>
      <c r="AA193" s="302">
        <f t="shared" si="42"/>
        <v>24</v>
      </c>
      <c r="AB193" s="302">
        <f t="shared" si="42"/>
        <v>25</v>
      </c>
      <c r="AC193" s="302">
        <f t="shared" si="42"/>
        <v>26</v>
      </c>
      <c r="AD193" s="302">
        <f t="shared" si="42"/>
        <v>27</v>
      </c>
      <c r="AE193" s="302">
        <f t="shared" si="42"/>
        <v>28</v>
      </c>
      <c r="AF193" s="302">
        <f t="shared" si="42"/>
        <v>29</v>
      </c>
      <c r="AG193" s="302">
        <f t="shared" si="42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3">SUM(D194:AG194)</f>
        <v>0</v>
      </c>
    </row>
    <row r="195" spans="3:34">
      <c r="C195" s="307">
        <f t="shared" ref="C195:C224" si="44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3"/>
        <v>0</v>
      </c>
    </row>
    <row r="196" spans="3:34">
      <c r="C196" s="307">
        <f t="shared" si="44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3"/>
        <v>#VALUE!</v>
      </c>
    </row>
    <row r="197" spans="3:34">
      <c r="C197" s="307">
        <f t="shared" si="44"/>
        <v>3</v>
      </c>
      <c r="D197" s="309" t="e">
        <f t="shared" ref="D197:N212" si="45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3"/>
        <v>#VALUE!</v>
      </c>
    </row>
    <row r="198" spans="3:34">
      <c r="C198" s="307">
        <f t="shared" si="44"/>
        <v>4</v>
      </c>
      <c r="D198" s="309" t="e">
        <f t="shared" si="45"/>
        <v>#VALUE!</v>
      </c>
      <c r="E198" s="309" t="e">
        <f t="shared" si="45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3"/>
        <v>#VALUE!</v>
      </c>
    </row>
    <row r="199" spans="3:34">
      <c r="C199" s="307">
        <f t="shared" si="44"/>
        <v>5</v>
      </c>
      <c r="D199" s="309" t="e">
        <f t="shared" si="45"/>
        <v>#VALUE!</v>
      </c>
      <c r="E199" s="309" t="e">
        <f t="shared" si="45"/>
        <v>#VALUE!</v>
      </c>
      <c r="F199" s="309" t="e">
        <f t="shared" si="45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3"/>
        <v>#VALUE!</v>
      </c>
    </row>
    <row r="200" spans="3:34">
      <c r="C200" s="307">
        <f t="shared" si="44"/>
        <v>6</v>
      </c>
      <c r="D200" s="309" t="e">
        <f t="shared" si="45"/>
        <v>#VALUE!</v>
      </c>
      <c r="E200" s="309" t="e">
        <f t="shared" si="45"/>
        <v>#VALUE!</v>
      </c>
      <c r="F200" s="309" t="e">
        <f t="shared" si="45"/>
        <v>#VALUE!</v>
      </c>
      <c r="G200" s="309" t="e">
        <f t="shared" si="45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3"/>
        <v>#VALUE!</v>
      </c>
    </row>
    <row r="201" spans="3:34">
      <c r="C201" s="307">
        <f t="shared" si="44"/>
        <v>7</v>
      </c>
      <c r="D201" s="309" t="e">
        <f t="shared" si="45"/>
        <v>#VALUE!</v>
      </c>
      <c r="E201" s="309" t="e">
        <f t="shared" si="45"/>
        <v>#VALUE!</v>
      </c>
      <c r="F201" s="309" t="e">
        <f t="shared" si="45"/>
        <v>#VALUE!</v>
      </c>
      <c r="G201" s="309" t="e">
        <f t="shared" si="45"/>
        <v>#VALUE!</v>
      </c>
      <c r="H201" s="309" t="e">
        <f t="shared" si="45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3"/>
        <v>#VALUE!</v>
      </c>
    </row>
    <row r="202" spans="3:34">
      <c r="C202" s="307">
        <f t="shared" si="44"/>
        <v>8</v>
      </c>
      <c r="D202" s="309" t="e">
        <f t="shared" si="45"/>
        <v>#VALUE!</v>
      </c>
      <c r="E202" s="309" t="e">
        <f t="shared" si="45"/>
        <v>#VALUE!</v>
      </c>
      <c r="F202" s="309" t="e">
        <f t="shared" si="45"/>
        <v>#VALUE!</v>
      </c>
      <c r="G202" s="309" t="e">
        <f t="shared" si="45"/>
        <v>#VALUE!</v>
      </c>
      <c r="H202" s="309" t="e">
        <f t="shared" si="45"/>
        <v>#VALUE!</v>
      </c>
      <c r="I202" s="309" t="e">
        <f t="shared" si="45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3"/>
        <v>#VALUE!</v>
      </c>
    </row>
    <row r="203" spans="3:34">
      <c r="C203" s="307">
        <f t="shared" si="44"/>
        <v>9</v>
      </c>
      <c r="D203" s="309" t="e">
        <f t="shared" si="45"/>
        <v>#VALUE!</v>
      </c>
      <c r="E203" s="309" t="e">
        <f t="shared" si="45"/>
        <v>#VALUE!</v>
      </c>
      <c r="F203" s="309" t="e">
        <f t="shared" si="45"/>
        <v>#VALUE!</v>
      </c>
      <c r="G203" s="309" t="e">
        <f t="shared" si="45"/>
        <v>#VALUE!</v>
      </c>
      <c r="H203" s="309" t="e">
        <f t="shared" si="45"/>
        <v>#VALUE!</v>
      </c>
      <c r="I203" s="309" t="e">
        <f t="shared" si="45"/>
        <v>#VALUE!</v>
      </c>
      <c r="J203" s="309" t="e">
        <f t="shared" si="45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3"/>
        <v>#VALUE!</v>
      </c>
    </row>
    <row r="204" spans="3:34">
      <c r="C204" s="307">
        <f t="shared" si="44"/>
        <v>10</v>
      </c>
      <c r="D204" s="309" t="e">
        <f t="shared" si="45"/>
        <v>#VALUE!</v>
      </c>
      <c r="E204" s="309" t="e">
        <f t="shared" si="45"/>
        <v>#VALUE!</v>
      </c>
      <c r="F204" s="309" t="e">
        <f t="shared" si="45"/>
        <v>#VALUE!</v>
      </c>
      <c r="G204" s="309" t="e">
        <f t="shared" si="45"/>
        <v>#VALUE!</v>
      </c>
      <c r="H204" s="309" t="e">
        <f t="shared" si="45"/>
        <v>#VALUE!</v>
      </c>
      <c r="I204" s="309" t="e">
        <f t="shared" si="45"/>
        <v>#VALUE!</v>
      </c>
      <c r="J204" s="309" t="e">
        <f t="shared" si="45"/>
        <v>#VALUE!</v>
      </c>
      <c r="K204" s="309" t="e">
        <f t="shared" si="45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3"/>
        <v>#VALUE!</v>
      </c>
    </row>
    <row r="205" spans="3:34">
      <c r="C205" s="307">
        <f t="shared" si="44"/>
        <v>11</v>
      </c>
      <c r="D205" s="309" t="e">
        <f t="shared" si="45"/>
        <v>#VALUE!</v>
      </c>
      <c r="E205" s="309" t="e">
        <f t="shared" si="45"/>
        <v>#VALUE!</v>
      </c>
      <c r="F205" s="309" t="e">
        <f t="shared" si="45"/>
        <v>#VALUE!</v>
      </c>
      <c r="G205" s="309" t="e">
        <f t="shared" si="45"/>
        <v>#VALUE!</v>
      </c>
      <c r="H205" s="309" t="e">
        <f t="shared" si="45"/>
        <v>#VALUE!</v>
      </c>
      <c r="I205" s="309" t="e">
        <f t="shared" si="45"/>
        <v>#VALUE!</v>
      </c>
      <c r="J205" s="309" t="e">
        <f t="shared" si="45"/>
        <v>#VALUE!</v>
      </c>
      <c r="K205" s="309" t="e">
        <f t="shared" si="45"/>
        <v>#VALUE!</v>
      </c>
      <c r="L205" s="309" t="e">
        <f t="shared" si="45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3"/>
        <v>#VALUE!</v>
      </c>
    </row>
    <row r="206" spans="3:34">
      <c r="C206" s="307">
        <f t="shared" si="44"/>
        <v>12</v>
      </c>
      <c r="D206" s="309"/>
      <c r="E206" s="309" t="e">
        <f t="shared" si="45"/>
        <v>#VALUE!</v>
      </c>
      <c r="F206" s="309" t="e">
        <f t="shared" si="45"/>
        <v>#VALUE!</v>
      </c>
      <c r="G206" s="309" t="e">
        <f t="shared" si="45"/>
        <v>#VALUE!</v>
      </c>
      <c r="H206" s="309" t="e">
        <f t="shared" si="45"/>
        <v>#VALUE!</v>
      </c>
      <c r="I206" s="309" t="e">
        <f t="shared" si="45"/>
        <v>#VALUE!</v>
      </c>
      <c r="J206" s="309" t="e">
        <f t="shared" si="45"/>
        <v>#VALUE!</v>
      </c>
      <c r="K206" s="309" t="e">
        <f t="shared" si="45"/>
        <v>#VALUE!</v>
      </c>
      <c r="L206" s="309" t="e">
        <f t="shared" si="45"/>
        <v>#VALUE!</v>
      </c>
      <c r="M206" s="309" t="e">
        <f t="shared" si="45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3"/>
        <v>#VALUE!</v>
      </c>
    </row>
    <row r="207" spans="3:34">
      <c r="C207" s="307">
        <f t="shared" si="44"/>
        <v>13</v>
      </c>
      <c r="D207" s="309"/>
      <c r="E207" s="309"/>
      <c r="F207" s="309" t="e">
        <f t="shared" si="45"/>
        <v>#VALUE!</v>
      </c>
      <c r="G207" s="309" t="e">
        <f t="shared" si="45"/>
        <v>#VALUE!</v>
      </c>
      <c r="H207" s="309" t="e">
        <f t="shared" si="45"/>
        <v>#VALUE!</v>
      </c>
      <c r="I207" s="309" t="e">
        <f t="shared" si="45"/>
        <v>#VALUE!</v>
      </c>
      <c r="J207" s="309" t="e">
        <f t="shared" si="45"/>
        <v>#VALUE!</v>
      </c>
      <c r="K207" s="309" t="e">
        <f t="shared" si="45"/>
        <v>#VALUE!</v>
      </c>
      <c r="L207" s="309" t="e">
        <f t="shared" si="45"/>
        <v>#VALUE!</v>
      </c>
      <c r="M207" s="309" t="e">
        <f t="shared" si="45"/>
        <v>#VALUE!</v>
      </c>
      <c r="N207" s="309" t="e">
        <f t="shared" si="45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3"/>
        <v>#VALUE!</v>
      </c>
    </row>
    <row r="208" spans="3:34">
      <c r="C208" s="307">
        <f t="shared" si="44"/>
        <v>14</v>
      </c>
      <c r="D208" s="309"/>
      <c r="E208" s="309"/>
      <c r="F208" s="309"/>
      <c r="G208" s="309" t="e">
        <f t="shared" si="45"/>
        <v>#VALUE!</v>
      </c>
      <c r="H208" s="309" t="e">
        <f t="shared" si="45"/>
        <v>#VALUE!</v>
      </c>
      <c r="I208" s="309" t="e">
        <f t="shared" si="45"/>
        <v>#VALUE!</v>
      </c>
      <c r="J208" s="309" t="e">
        <f t="shared" si="45"/>
        <v>#VALUE!</v>
      </c>
      <c r="K208" s="309" t="e">
        <f t="shared" si="45"/>
        <v>#VALUE!</v>
      </c>
      <c r="L208" s="309" t="e">
        <f t="shared" si="45"/>
        <v>#VALUE!</v>
      </c>
      <c r="M208" s="309" t="e">
        <f t="shared" si="45"/>
        <v>#VALUE!</v>
      </c>
      <c r="N208" s="309" t="e">
        <f t="shared" si="45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3"/>
        <v>#VALUE!</v>
      </c>
    </row>
    <row r="209" spans="3:34">
      <c r="C209" s="307">
        <f t="shared" si="44"/>
        <v>15</v>
      </c>
      <c r="D209" s="309"/>
      <c r="E209" s="309"/>
      <c r="F209" s="309"/>
      <c r="G209" s="309"/>
      <c r="H209" s="309" t="e">
        <f t="shared" si="45"/>
        <v>#VALUE!</v>
      </c>
      <c r="I209" s="309" t="e">
        <f t="shared" si="45"/>
        <v>#VALUE!</v>
      </c>
      <c r="J209" s="309" t="e">
        <f t="shared" si="45"/>
        <v>#VALUE!</v>
      </c>
      <c r="K209" s="309" t="e">
        <f t="shared" si="45"/>
        <v>#VALUE!</v>
      </c>
      <c r="L209" s="309" t="e">
        <f t="shared" si="45"/>
        <v>#VALUE!</v>
      </c>
      <c r="M209" s="309" t="e">
        <f t="shared" si="45"/>
        <v>#VALUE!</v>
      </c>
      <c r="N209" s="309" t="e">
        <f t="shared" si="45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3"/>
        <v>#VALUE!</v>
      </c>
    </row>
    <row r="210" spans="3:34">
      <c r="C210" s="307">
        <f t="shared" si="44"/>
        <v>16</v>
      </c>
      <c r="D210" s="309"/>
      <c r="E210" s="309"/>
      <c r="F210" s="309"/>
      <c r="G210" s="309"/>
      <c r="H210" s="309"/>
      <c r="I210" s="309" t="e">
        <f t="shared" si="45"/>
        <v>#VALUE!</v>
      </c>
      <c r="J210" s="309" t="e">
        <f t="shared" si="45"/>
        <v>#VALUE!</v>
      </c>
      <c r="K210" s="309" t="e">
        <f t="shared" si="45"/>
        <v>#VALUE!</v>
      </c>
      <c r="L210" s="309" t="e">
        <f t="shared" si="45"/>
        <v>#VALUE!</v>
      </c>
      <c r="M210" s="309" t="e">
        <f t="shared" si="45"/>
        <v>#VALUE!</v>
      </c>
      <c r="N210" s="309" t="e">
        <f t="shared" si="45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3"/>
        <v>#VALUE!</v>
      </c>
    </row>
    <row r="211" spans="3:34">
      <c r="C211" s="307">
        <f t="shared" si="44"/>
        <v>17</v>
      </c>
      <c r="D211" s="309"/>
      <c r="E211" s="309"/>
      <c r="F211" s="309"/>
      <c r="G211" s="309"/>
      <c r="H211" s="309"/>
      <c r="I211" s="309"/>
      <c r="J211" s="309" t="e">
        <f t="shared" si="45"/>
        <v>#VALUE!</v>
      </c>
      <c r="K211" s="309" t="e">
        <f t="shared" si="45"/>
        <v>#VALUE!</v>
      </c>
      <c r="L211" s="309" t="e">
        <f t="shared" si="45"/>
        <v>#VALUE!</v>
      </c>
      <c r="M211" s="309" t="e">
        <f t="shared" si="45"/>
        <v>#VALUE!</v>
      </c>
      <c r="N211" s="309" t="e">
        <f t="shared" si="45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3"/>
        <v>#VALUE!</v>
      </c>
    </row>
    <row r="212" spans="3:34">
      <c r="C212" s="307">
        <f t="shared" si="44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5"/>
        <v>#VALUE!</v>
      </c>
      <c r="L212" s="309" t="e">
        <f t="shared" si="45"/>
        <v>#VALUE!</v>
      </c>
      <c r="M212" s="309" t="e">
        <f t="shared" si="45"/>
        <v>#VALUE!</v>
      </c>
      <c r="N212" s="309" t="e">
        <f t="shared" si="45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3"/>
        <v>#VALUE!</v>
      </c>
    </row>
    <row r="213" spans="3:34">
      <c r="C213" s="307">
        <f t="shared" si="44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6">L212</f>
        <v>#VALUE!</v>
      </c>
      <c r="M213" s="309" t="e">
        <f t="shared" si="46"/>
        <v>#VALUE!</v>
      </c>
      <c r="N213" s="309" t="e">
        <f t="shared" si="46"/>
        <v>#VALUE!</v>
      </c>
      <c r="O213" s="309" t="e">
        <f t="shared" si="46"/>
        <v>#VALUE!</v>
      </c>
      <c r="P213" s="309" t="e">
        <f t="shared" si="46"/>
        <v>#VALUE!</v>
      </c>
      <c r="Q213" s="309" t="e">
        <f t="shared" si="46"/>
        <v>#VALUE!</v>
      </c>
      <c r="R213" s="309" t="e">
        <f t="shared" si="46"/>
        <v>#VALUE!</v>
      </c>
      <c r="S213" s="309" t="e">
        <f t="shared" si="46"/>
        <v>#VALUE!</v>
      </c>
      <c r="T213" s="309" t="e">
        <f t="shared" si="46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3"/>
        <v>#VALUE!</v>
      </c>
    </row>
    <row r="214" spans="3:34">
      <c r="C214" s="307">
        <f t="shared" si="44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6"/>
        <v>#VALUE!</v>
      </c>
      <c r="N214" s="309" t="e">
        <f t="shared" si="46"/>
        <v>#VALUE!</v>
      </c>
      <c r="O214" s="309" t="e">
        <f t="shared" si="46"/>
        <v>#VALUE!</v>
      </c>
      <c r="P214" s="309" t="e">
        <f t="shared" si="46"/>
        <v>#VALUE!</v>
      </c>
      <c r="Q214" s="309" t="e">
        <f t="shared" si="46"/>
        <v>#VALUE!</v>
      </c>
      <c r="R214" s="309" t="e">
        <f t="shared" si="46"/>
        <v>#VALUE!</v>
      </c>
      <c r="S214" s="309" t="e">
        <f t="shared" si="46"/>
        <v>#VALUE!</v>
      </c>
      <c r="T214" s="309" t="e">
        <f t="shared" si="46"/>
        <v>#VALUE!</v>
      </c>
      <c r="U214" s="309" t="e">
        <f t="shared" si="46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3"/>
        <v>#VALUE!</v>
      </c>
    </row>
    <row r="215" spans="3:34">
      <c r="C215" s="307">
        <f t="shared" si="44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6"/>
        <v>#VALUE!</v>
      </c>
      <c r="O215" s="309" t="e">
        <f t="shared" si="46"/>
        <v>#VALUE!</v>
      </c>
      <c r="P215" s="309" t="e">
        <f t="shared" si="46"/>
        <v>#VALUE!</v>
      </c>
      <c r="Q215" s="309" t="e">
        <f t="shared" si="46"/>
        <v>#VALUE!</v>
      </c>
      <c r="R215" s="309" t="e">
        <f t="shared" si="46"/>
        <v>#VALUE!</v>
      </c>
      <c r="S215" s="309" t="e">
        <f t="shared" si="46"/>
        <v>#VALUE!</v>
      </c>
      <c r="T215" s="309" t="e">
        <f t="shared" si="46"/>
        <v>#VALUE!</v>
      </c>
      <c r="U215" s="309" t="e">
        <f t="shared" si="46"/>
        <v>#VALUE!</v>
      </c>
      <c r="V215" s="309" t="e">
        <f t="shared" si="46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3"/>
        <v>#VALUE!</v>
      </c>
    </row>
    <row r="216" spans="3:34">
      <c r="C216" s="307">
        <f t="shared" si="44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6"/>
        <v>#VALUE!</v>
      </c>
      <c r="P216" s="309" t="e">
        <f t="shared" si="46"/>
        <v>#VALUE!</v>
      </c>
      <c r="Q216" s="309" t="e">
        <f t="shared" si="46"/>
        <v>#VALUE!</v>
      </c>
      <c r="R216" s="309" t="e">
        <f t="shared" si="46"/>
        <v>#VALUE!</v>
      </c>
      <c r="S216" s="309" t="e">
        <f t="shared" si="46"/>
        <v>#VALUE!</v>
      </c>
      <c r="T216" s="309" t="e">
        <f t="shared" si="46"/>
        <v>#VALUE!</v>
      </c>
      <c r="U216" s="309" t="e">
        <f t="shared" si="46"/>
        <v>#VALUE!</v>
      </c>
      <c r="V216" s="309" t="e">
        <f t="shared" si="46"/>
        <v>#VALUE!</v>
      </c>
      <c r="W216" s="309" t="e">
        <f t="shared" si="46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3"/>
        <v>#VALUE!</v>
      </c>
    </row>
    <row r="217" spans="3:34">
      <c r="C217" s="307">
        <f t="shared" si="44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6"/>
        <v>#VALUE!</v>
      </c>
      <c r="Q217" s="309" t="e">
        <f t="shared" si="46"/>
        <v>#VALUE!</v>
      </c>
      <c r="R217" s="309" t="e">
        <f t="shared" si="46"/>
        <v>#VALUE!</v>
      </c>
      <c r="S217" s="309" t="e">
        <f t="shared" si="46"/>
        <v>#VALUE!</v>
      </c>
      <c r="T217" s="309" t="e">
        <f t="shared" si="46"/>
        <v>#VALUE!</v>
      </c>
      <c r="U217" s="309" t="e">
        <f t="shared" si="46"/>
        <v>#VALUE!</v>
      </c>
      <c r="V217" s="309" t="e">
        <f t="shared" si="46"/>
        <v>#VALUE!</v>
      </c>
      <c r="W217" s="309" t="e">
        <f t="shared" si="46"/>
        <v>#VALUE!</v>
      </c>
      <c r="X217" s="309" t="e">
        <f t="shared" si="46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3"/>
        <v>#VALUE!</v>
      </c>
    </row>
    <row r="218" spans="3:34">
      <c r="C218" s="307">
        <f t="shared" si="44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6"/>
        <v>#VALUE!</v>
      </c>
      <c r="R218" s="309" t="e">
        <f t="shared" si="46"/>
        <v>#VALUE!</v>
      </c>
      <c r="S218" s="309" t="e">
        <f t="shared" si="46"/>
        <v>#VALUE!</v>
      </c>
      <c r="T218" s="309" t="e">
        <f t="shared" si="46"/>
        <v>#VALUE!</v>
      </c>
      <c r="U218" s="309" t="e">
        <f t="shared" si="46"/>
        <v>#VALUE!</v>
      </c>
      <c r="V218" s="309" t="e">
        <f t="shared" si="46"/>
        <v>#VALUE!</v>
      </c>
      <c r="W218" s="309" t="e">
        <f t="shared" si="46"/>
        <v>#VALUE!</v>
      </c>
      <c r="X218" s="309" t="e">
        <f t="shared" si="46"/>
        <v>#VALUE!</v>
      </c>
      <c r="Y218" s="309" t="e">
        <f t="shared" si="46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3"/>
        <v>#VALUE!</v>
      </c>
    </row>
    <row r="219" spans="3:34">
      <c r="C219" s="307">
        <f t="shared" si="44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6"/>
        <v>#VALUE!</v>
      </c>
      <c r="S219" s="309" t="e">
        <f t="shared" si="46"/>
        <v>#VALUE!</v>
      </c>
      <c r="T219" s="309" t="e">
        <f t="shared" si="46"/>
        <v>#VALUE!</v>
      </c>
      <c r="U219" s="309" t="e">
        <f t="shared" si="46"/>
        <v>#VALUE!</v>
      </c>
      <c r="V219" s="309" t="e">
        <f t="shared" si="46"/>
        <v>#VALUE!</v>
      </c>
      <c r="W219" s="309" t="e">
        <f t="shared" si="46"/>
        <v>#VALUE!</v>
      </c>
      <c r="X219" s="309" t="e">
        <f t="shared" si="46"/>
        <v>#VALUE!</v>
      </c>
      <c r="Y219" s="309" t="e">
        <f t="shared" si="46"/>
        <v>#VALUE!</v>
      </c>
      <c r="Z219" s="309" t="e">
        <f t="shared" si="46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3"/>
        <v>#VALUE!</v>
      </c>
    </row>
    <row r="220" spans="3:34">
      <c r="C220" s="307">
        <f t="shared" si="44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6"/>
        <v>#VALUE!</v>
      </c>
      <c r="T220" s="309" t="e">
        <f t="shared" si="46"/>
        <v>#VALUE!</v>
      </c>
      <c r="U220" s="309" t="e">
        <f t="shared" si="46"/>
        <v>#VALUE!</v>
      </c>
      <c r="V220" s="309" t="e">
        <f t="shared" si="46"/>
        <v>#VALUE!</v>
      </c>
      <c r="W220" s="309" t="e">
        <f t="shared" si="46"/>
        <v>#VALUE!</v>
      </c>
      <c r="X220" s="309" t="e">
        <f t="shared" si="46"/>
        <v>#VALUE!</v>
      </c>
      <c r="Y220" s="309" t="e">
        <f t="shared" si="46"/>
        <v>#VALUE!</v>
      </c>
      <c r="Z220" s="309" t="e">
        <f t="shared" si="46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3"/>
        <v>#VALUE!</v>
      </c>
    </row>
    <row r="221" spans="3:34">
      <c r="C221" s="307">
        <f t="shared" si="44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6"/>
        <v>#VALUE!</v>
      </c>
      <c r="U221" s="309" t="e">
        <f t="shared" si="46"/>
        <v>#VALUE!</v>
      </c>
      <c r="V221" s="309" t="e">
        <f t="shared" si="46"/>
        <v>#VALUE!</v>
      </c>
      <c r="W221" s="309" t="e">
        <f t="shared" si="46"/>
        <v>#VALUE!</v>
      </c>
      <c r="X221" s="309" t="e">
        <f t="shared" si="46"/>
        <v>#VALUE!</v>
      </c>
      <c r="Y221" s="309" t="e">
        <f t="shared" si="46"/>
        <v>#VALUE!</v>
      </c>
      <c r="Z221" s="309" t="e">
        <f t="shared" si="46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3"/>
        <v>#VALUE!</v>
      </c>
    </row>
    <row r="222" spans="3:34">
      <c r="C222" s="307">
        <f t="shared" si="44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6"/>
        <v>#VALUE!</v>
      </c>
      <c r="V222" s="309" t="e">
        <f t="shared" si="46"/>
        <v>#VALUE!</v>
      </c>
      <c r="W222" s="309" t="e">
        <f t="shared" si="46"/>
        <v>#VALUE!</v>
      </c>
      <c r="X222" s="309" t="e">
        <f t="shared" si="46"/>
        <v>#VALUE!</v>
      </c>
      <c r="Y222" s="309" t="e">
        <f t="shared" si="46"/>
        <v>#VALUE!</v>
      </c>
      <c r="Z222" s="309" t="e">
        <f t="shared" si="46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3"/>
        <v>#VALUE!</v>
      </c>
    </row>
    <row r="223" spans="3:34">
      <c r="C223" s="307">
        <f t="shared" si="44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6"/>
        <v>#VALUE!</v>
      </c>
      <c r="W223" s="309" t="e">
        <f t="shared" si="46"/>
        <v>#VALUE!</v>
      </c>
      <c r="X223" s="309" t="e">
        <f t="shared" si="46"/>
        <v>#VALUE!</v>
      </c>
      <c r="Y223" s="309" t="e">
        <f t="shared" si="46"/>
        <v>#VALUE!</v>
      </c>
      <c r="Z223" s="309" t="e">
        <f t="shared" si="46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3"/>
        <v>#VALUE!</v>
      </c>
    </row>
    <row r="224" spans="3:34" ht="13.5" thickBot="1">
      <c r="C224" s="307">
        <f t="shared" si="44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6"/>
        <v>#VALUE!</v>
      </c>
      <c r="X224" s="322" t="e">
        <f t="shared" si="46"/>
        <v>#VALUE!</v>
      </c>
      <c r="Y224" s="322" t="e">
        <f t="shared" si="46"/>
        <v>#VALUE!</v>
      </c>
      <c r="Z224" s="322" t="e">
        <f t="shared" si="46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3"/>
        <v>#VALUE!</v>
      </c>
    </row>
    <row r="225" spans="1:34" ht="14.25" thickTop="1" thickBot="1">
      <c r="C225" s="311" t="s">
        <v>0</v>
      </c>
      <c r="D225" s="328" t="e">
        <f t="shared" ref="D225:AG225" si="47">SUM(D194:D224)</f>
        <v>#VALUE!</v>
      </c>
      <c r="E225" s="328" t="e">
        <f t="shared" si="47"/>
        <v>#VALUE!</v>
      </c>
      <c r="F225" s="328" t="e">
        <f t="shared" si="47"/>
        <v>#VALUE!</v>
      </c>
      <c r="G225" s="328" t="e">
        <f t="shared" si="47"/>
        <v>#VALUE!</v>
      </c>
      <c r="H225" s="328" t="e">
        <f t="shared" si="47"/>
        <v>#VALUE!</v>
      </c>
      <c r="I225" s="328" t="e">
        <f t="shared" si="47"/>
        <v>#VALUE!</v>
      </c>
      <c r="J225" s="328" t="e">
        <f t="shared" si="47"/>
        <v>#VALUE!</v>
      </c>
      <c r="K225" s="328" t="e">
        <f t="shared" si="47"/>
        <v>#VALUE!</v>
      </c>
      <c r="L225" s="328" t="e">
        <f t="shared" si="47"/>
        <v>#VALUE!</v>
      </c>
      <c r="M225" s="328" t="e">
        <f t="shared" si="47"/>
        <v>#VALUE!</v>
      </c>
      <c r="N225" s="336" t="e">
        <f t="shared" si="47"/>
        <v>#VALUE!</v>
      </c>
      <c r="O225" s="328" t="e">
        <f t="shared" si="47"/>
        <v>#VALUE!</v>
      </c>
      <c r="P225" s="328" t="e">
        <f t="shared" si="47"/>
        <v>#VALUE!</v>
      </c>
      <c r="Q225" s="328" t="e">
        <f t="shared" si="47"/>
        <v>#VALUE!</v>
      </c>
      <c r="R225" s="328" t="e">
        <f t="shared" si="47"/>
        <v>#VALUE!</v>
      </c>
      <c r="S225" s="328" t="e">
        <f t="shared" si="47"/>
        <v>#VALUE!</v>
      </c>
      <c r="T225" s="328" t="e">
        <f t="shared" si="47"/>
        <v>#VALUE!</v>
      </c>
      <c r="U225" s="328" t="e">
        <f t="shared" si="47"/>
        <v>#VALUE!</v>
      </c>
      <c r="V225" s="328" t="e">
        <f t="shared" si="47"/>
        <v>#VALUE!</v>
      </c>
      <c r="W225" s="328" t="e">
        <f t="shared" si="47"/>
        <v>#VALUE!</v>
      </c>
      <c r="X225" s="328" t="e">
        <f t="shared" si="47"/>
        <v>#VALUE!</v>
      </c>
      <c r="Y225" s="328" t="e">
        <f t="shared" si="47"/>
        <v>#VALUE!</v>
      </c>
      <c r="Z225" s="328" t="e">
        <f t="shared" si="47"/>
        <v>#VALUE!</v>
      </c>
      <c r="AA225" s="328" t="e">
        <f t="shared" si="47"/>
        <v>#VALUE!</v>
      </c>
      <c r="AB225" s="328" t="e">
        <f t="shared" si="47"/>
        <v>#VALUE!</v>
      </c>
      <c r="AC225" s="328" t="e">
        <f t="shared" si="47"/>
        <v>#VALUE!</v>
      </c>
      <c r="AD225" s="328" t="e">
        <f t="shared" si="47"/>
        <v>#VALUE!</v>
      </c>
      <c r="AE225" s="328" t="e">
        <f t="shared" si="47"/>
        <v>#VALUE!</v>
      </c>
      <c r="AF225" s="329" t="e">
        <f t="shared" si="47"/>
        <v>#VALUE!</v>
      </c>
      <c r="AG225" s="329" t="e">
        <f t="shared" si="47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8">D229+1</f>
        <v>2</v>
      </c>
      <c r="F229" s="302">
        <f t="shared" si="48"/>
        <v>3</v>
      </c>
      <c r="G229" s="302">
        <f t="shared" si="48"/>
        <v>4</v>
      </c>
      <c r="H229" s="302">
        <f t="shared" si="48"/>
        <v>5</v>
      </c>
      <c r="I229" s="302">
        <f t="shared" si="48"/>
        <v>6</v>
      </c>
      <c r="J229" s="302">
        <f t="shared" si="48"/>
        <v>7</v>
      </c>
      <c r="K229" s="302">
        <f t="shared" si="48"/>
        <v>8</v>
      </c>
      <c r="L229" s="302">
        <f t="shared" si="48"/>
        <v>9</v>
      </c>
      <c r="M229" s="302">
        <f t="shared" si="48"/>
        <v>10</v>
      </c>
      <c r="N229" s="302">
        <f t="shared" si="48"/>
        <v>11</v>
      </c>
      <c r="O229" s="302">
        <f t="shared" si="48"/>
        <v>12</v>
      </c>
      <c r="P229" s="302">
        <f t="shared" si="48"/>
        <v>13</v>
      </c>
      <c r="Q229" s="302">
        <f t="shared" si="48"/>
        <v>14</v>
      </c>
      <c r="R229" s="302">
        <f t="shared" si="48"/>
        <v>15</v>
      </c>
      <c r="S229" s="302">
        <f t="shared" si="48"/>
        <v>16</v>
      </c>
      <c r="T229" s="302">
        <f t="shared" si="48"/>
        <v>17</v>
      </c>
      <c r="U229" s="302">
        <f t="shared" si="48"/>
        <v>18</v>
      </c>
      <c r="V229" s="302">
        <f t="shared" si="48"/>
        <v>19</v>
      </c>
      <c r="W229" s="302">
        <f t="shared" si="48"/>
        <v>20</v>
      </c>
      <c r="X229" s="302">
        <f t="shared" si="48"/>
        <v>21</v>
      </c>
      <c r="Y229" s="302">
        <f t="shared" si="48"/>
        <v>22</v>
      </c>
      <c r="Z229" s="302">
        <f t="shared" si="48"/>
        <v>23</v>
      </c>
      <c r="AA229" s="302">
        <f t="shared" si="48"/>
        <v>24</v>
      </c>
      <c r="AB229" s="302">
        <f t="shared" si="48"/>
        <v>25</v>
      </c>
      <c r="AC229" s="302">
        <f t="shared" si="48"/>
        <v>26</v>
      </c>
      <c r="AD229" s="302">
        <f t="shared" si="48"/>
        <v>27</v>
      </c>
      <c r="AE229" s="302">
        <f t="shared" si="48"/>
        <v>28</v>
      </c>
      <c r="AF229" s="302">
        <f t="shared" si="48"/>
        <v>29</v>
      </c>
      <c r="AG229" s="302">
        <f t="shared" si="48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9">SUM(D230:AG230)</f>
        <v>0</v>
      </c>
    </row>
    <row r="231" spans="1:34">
      <c r="C231" s="304">
        <f t="shared" ref="C231:C260" si="50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9"/>
        <v>0</v>
      </c>
    </row>
    <row r="232" spans="1:34">
      <c r="C232" s="304">
        <f t="shared" si="50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9"/>
        <v>#VALUE!</v>
      </c>
    </row>
    <row r="233" spans="1:34">
      <c r="C233" s="304">
        <f t="shared" si="50"/>
        <v>3</v>
      </c>
      <c r="D233" s="305" t="e">
        <f t="shared" ref="D233:S248" si="51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9"/>
        <v>#VALUE!</v>
      </c>
    </row>
    <row r="234" spans="1:34">
      <c r="C234" s="304">
        <f t="shared" si="50"/>
        <v>4</v>
      </c>
      <c r="D234" s="305" t="e">
        <f t="shared" si="51"/>
        <v>#VALUE!</v>
      </c>
      <c r="E234" s="305" t="e">
        <f t="shared" si="51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9"/>
        <v>#VALUE!</v>
      </c>
    </row>
    <row r="235" spans="1:34">
      <c r="C235" s="304">
        <f t="shared" si="50"/>
        <v>5</v>
      </c>
      <c r="D235" s="305" t="e">
        <f t="shared" si="51"/>
        <v>#VALUE!</v>
      </c>
      <c r="E235" s="305" t="e">
        <f t="shared" si="51"/>
        <v>#VALUE!</v>
      </c>
      <c r="F235" s="305" t="e">
        <f t="shared" si="51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9"/>
        <v>#VALUE!</v>
      </c>
    </row>
    <row r="236" spans="1:34">
      <c r="C236" s="304">
        <f t="shared" si="50"/>
        <v>6</v>
      </c>
      <c r="D236" s="305" t="e">
        <f t="shared" si="51"/>
        <v>#VALUE!</v>
      </c>
      <c r="E236" s="305" t="e">
        <f t="shared" si="51"/>
        <v>#VALUE!</v>
      </c>
      <c r="F236" s="305" t="e">
        <f t="shared" si="51"/>
        <v>#VALUE!</v>
      </c>
      <c r="G236" s="305" t="e">
        <f t="shared" si="51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9"/>
        <v>#VALUE!</v>
      </c>
    </row>
    <row r="237" spans="1:34">
      <c r="C237" s="304">
        <f t="shared" si="50"/>
        <v>7</v>
      </c>
      <c r="D237" s="305" t="e">
        <f t="shared" si="51"/>
        <v>#VALUE!</v>
      </c>
      <c r="E237" s="305" t="e">
        <f t="shared" si="51"/>
        <v>#VALUE!</v>
      </c>
      <c r="F237" s="305" t="e">
        <f t="shared" si="51"/>
        <v>#VALUE!</v>
      </c>
      <c r="G237" s="305" t="e">
        <f t="shared" si="51"/>
        <v>#VALUE!</v>
      </c>
      <c r="H237" s="305" t="e">
        <f t="shared" si="51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9"/>
        <v>#VALUE!</v>
      </c>
    </row>
    <row r="238" spans="1:34">
      <c r="C238" s="304">
        <f t="shared" si="50"/>
        <v>8</v>
      </c>
      <c r="D238" s="305" t="e">
        <f t="shared" si="51"/>
        <v>#VALUE!</v>
      </c>
      <c r="E238" s="305" t="e">
        <f t="shared" si="51"/>
        <v>#VALUE!</v>
      </c>
      <c r="F238" s="305" t="e">
        <f t="shared" si="51"/>
        <v>#VALUE!</v>
      </c>
      <c r="G238" s="305" t="e">
        <f t="shared" si="51"/>
        <v>#VALUE!</v>
      </c>
      <c r="H238" s="305" t="e">
        <f t="shared" si="51"/>
        <v>#VALUE!</v>
      </c>
      <c r="I238" s="305" t="e">
        <f t="shared" si="51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9"/>
        <v>#VALUE!</v>
      </c>
    </row>
    <row r="239" spans="1:34">
      <c r="C239" s="304">
        <f t="shared" si="50"/>
        <v>9</v>
      </c>
      <c r="D239" s="305"/>
      <c r="E239" s="305" t="e">
        <f t="shared" si="51"/>
        <v>#VALUE!</v>
      </c>
      <c r="F239" s="305" t="e">
        <f t="shared" si="51"/>
        <v>#VALUE!</v>
      </c>
      <c r="G239" s="305" t="e">
        <f t="shared" si="51"/>
        <v>#VALUE!</v>
      </c>
      <c r="H239" s="305" t="e">
        <f t="shared" si="51"/>
        <v>#VALUE!</v>
      </c>
      <c r="I239" s="305" t="e">
        <f t="shared" si="51"/>
        <v>#VALUE!</v>
      </c>
      <c r="J239" s="305" t="e">
        <f t="shared" si="51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9"/>
        <v>#VALUE!</v>
      </c>
    </row>
    <row r="240" spans="1:34">
      <c r="C240" s="304">
        <f t="shared" si="50"/>
        <v>10</v>
      </c>
      <c r="D240" s="305"/>
      <c r="E240" s="305"/>
      <c r="F240" s="305" t="e">
        <f t="shared" si="51"/>
        <v>#VALUE!</v>
      </c>
      <c r="G240" s="305" t="e">
        <f t="shared" si="51"/>
        <v>#VALUE!</v>
      </c>
      <c r="H240" s="305" t="e">
        <f t="shared" si="51"/>
        <v>#VALUE!</v>
      </c>
      <c r="I240" s="305" t="e">
        <f t="shared" si="51"/>
        <v>#VALUE!</v>
      </c>
      <c r="J240" s="305" t="e">
        <f t="shared" si="51"/>
        <v>#VALUE!</v>
      </c>
      <c r="K240" s="305" t="e">
        <f t="shared" si="51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9"/>
        <v>#VALUE!</v>
      </c>
    </row>
    <row r="241" spans="3:34">
      <c r="C241" s="304">
        <f t="shared" si="50"/>
        <v>11</v>
      </c>
      <c r="D241" s="305"/>
      <c r="E241" s="305"/>
      <c r="F241" s="305"/>
      <c r="G241" s="305" t="e">
        <f t="shared" si="51"/>
        <v>#VALUE!</v>
      </c>
      <c r="H241" s="305" t="e">
        <f t="shared" si="51"/>
        <v>#VALUE!</v>
      </c>
      <c r="I241" s="305" t="e">
        <f t="shared" si="51"/>
        <v>#VALUE!</v>
      </c>
      <c r="J241" s="305" t="e">
        <f t="shared" si="51"/>
        <v>#VALUE!</v>
      </c>
      <c r="K241" s="305" t="e">
        <f t="shared" si="51"/>
        <v>#VALUE!</v>
      </c>
      <c r="L241" s="305" t="e">
        <f t="shared" si="51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9"/>
        <v>#VALUE!</v>
      </c>
    </row>
    <row r="242" spans="3:34">
      <c r="C242" s="304">
        <f t="shared" si="50"/>
        <v>12</v>
      </c>
      <c r="D242" s="305"/>
      <c r="E242" s="305"/>
      <c r="F242" s="305"/>
      <c r="G242" s="305"/>
      <c r="H242" s="305" t="e">
        <f t="shared" si="51"/>
        <v>#VALUE!</v>
      </c>
      <c r="I242" s="305" t="e">
        <f t="shared" si="51"/>
        <v>#VALUE!</v>
      </c>
      <c r="J242" s="305" t="e">
        <f t="shared" si="51"/>
        <v>#VALUE!</v>
      </c>
      <c r="K242" s="305" t="e">
        <f t="shared" si="51"/>
        <v>#VALUE!</v>
      </c>
      <c r="L242" s="305" t="e">
        <f t="shared" si="51"/>
        <v>#VALUE!</v>
      </c>
      <c r="M242" s="305" t="e">
        <f t="shared" si="51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9"/>
        <v>#VALUE!</v>
      </c>
    </row>
    <row r="243" spans="3:34">
      <c r="C243" s="304">
        <f t="shared" si="50"/>
        <v>13</v>
      </c>
      <c r="D243" s="305"/>
      <c r="E243" s="305"/>
      <c r="F243" s="305"/>
      <c r="G243" s="305"/>
      <c r="H243" s="305"/>
      <c r="I243" s="305" t="e">
        <f t="shared" si="51"/>
        <v>#VALUE!</v>
      </c>
      <c r="J243" s="305" t="e">
        <f t="shared" si="51"/>
        <v>#VALUE!</v>
      </c>
      <c r="K243" s="305" t="e">
        <f t="shared" si="51"/>
        <v>#VALUE!</v>
      </c>
      <c r="L243" s="305" t="e">
        <f t="shared" si="51"/>
        <v>#VALUE!</v>
      </c>
      <c r="M243" s="305" t="e">
        <f t="shared" si="51"/>
        <v>#VALUE!</v>
      </c>
      <c r="N243" s="305" t="e">
        <f t="shared" si="51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9"/>
        <v>#VALUE!</v>
      </c>
    </row>
    <row r="244" spans="3:34">
      <c r="C244" s="304">
        <f t="shared" si="50"/>
        <v>14</v>
      </c>
      <c r="D244" s="305"/>
      <c r="E244" s="305"/>
      <c r="F244" s="305"/>
      <c r="G244" s="305"/>
      <c r="H244" s="305"/>
      <c r="I244" s="305"/>
      <c r="J244" s="305" t="e">
        <f t="shared" si="51"/>
        <v>#VALUE!</v>
      </c>
      <c r="K244" s="305" t="e">
        <f t="shared" si="51"/>
        <v>#VALUE!</v>
      </c>
      <c r="L244" s="305" t="e">
        <f t="shared" si="51"/>
        <v>#VALUE!</v>
      </c>
      <c r="M244" s="305" t="e">
        <f t="shared" si="51"/>
        <v>#VALUE!</v>
      </c>
      <c r="N244" s="305" t="e">
        <f t="shared" si="51"/>
        <v>#VALUE!</v>
      </c>
      <c r="O244" s="305" t="e">
        <f t="shared" si="51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9"/>
        <v>#VALUE!</v>
      </c>
    </row>
    <row r="245" spans="3:34">
      <c r="C245" s="304">
        <f t="shared" si="50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1"/>
        <v>#VALUE!</v>
      </c>
      <c r="L245" s="305" t="e">
        <f t="shared" si="51"/>
        <v>#VALUE!</v>
      </c>
      <c r="M245" s="305" t="e">
        <f t="shared" si="51"/>
        <v>#VALUE!</v>
      </c>
      <c r="N245" s="305" t="e">
        <f t="shared" si="51"/>
        <v>#VALUE!</v>
      </c>
      <c r="O245" s="305" t="e">
        <f t="shared" si="51"/>
        <v>#VALUE!</v>
      </c>
      <c r="P245" s="305" t="e">
        <f t="shared" si="51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9"/>
        <v>#VALUE!</v>
      </c>
    </row>
    <row r="246" spans="3:34">
      <c r="C246" s="304">
        <f t="shared" si="50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1"/>
        <v>#VALUE!</v>
      </c>
      <c r="M246" s="305" t="e">
        <f t="shared" si="51"/>
        <v>#VALUE!</v>
      </c>
      <c r="N246" s="305" t="e">
        <f t="shared" si="51"/>
        <v>#VALUE!</v>
      </c>
      <c r="O246" s="305" t="e">
        <f t="shared" si="51"/>
        <v>#VALUE!</v>
      </c>
      <c r="P246" s="305" t="e">
        <f t="shared" si="51"/>
        <v>#VALUE!</v>
      </c>
      <c r="Q246" s="305" t="e">
        <f t="shared" si="51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9"/>
        <v>#VALUE!</v>
      </c>
    </row>
    <row r="247" spans="3:34">
      <c r="C247" s="304">
        <f t="shared" si="50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1"/>
        <v>#VALUE!</v>
      </c>
      <c r="N247" s="305" t="e">
        <f t="shared" si="51"/>
        <v>#VALUE!</v>
      </c>
      <c r="O247" s="305" t="e">
        <f t="shared" si="51"/>
        <v>#VALUE!</v>
      </c>
      <c r="P247" s="305" t="e">
        <f t="shared" si="51"/>
        <v>#VALUE!</v>
      </c>
      <c r="Q247" s="305" t="e">
        <f t="shared" si="51"/>
        <v>#VALUE!</v>
      </c>
      <c r="R247" s="305" t="e">
        <f t="shared" si="51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9"/>
        <v>#VALUE!</v>
      </c>
    </row>
    <row r="248" spans="3:34">
      <c r="C248" s="304">
        <f t="shared" si="50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1"/>
        <v>#VALUE!</v>
      </c>
      <c r="O248" s="305" t="e">
        <f t="shared" si="51"/>
        <v>#VALUE!</v>
      </c>
      <c r="P248" s="305" t="e">
        <f t="shared" si="51"/>
        <v>#VALUE!</v>
      </c>
      <c r="Q248" s="305" t="e">
        <f t="shared" si="51"/>
        <v>#VALUE!</v>
      </c>
      <c r="R248" s="305" t="e">
        <f t="shared" si="51"/>
        <v>#VALUE!</v>
      </c>
      <c r="S248" s="305" t="e">
        <f t="shared" si="51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9"/>
        <v>#VALUE!</v>
      </c>
    </row>
    <row r="249" spans="3:34">
      <c r="C249" s="304">
        <f t="shared" si="50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2">O248</f>
        <v>#VALUE!</v>
      </c>
      <c r="P249" s="305" t="e">
        <f t="shared" si="52"/>
        <v>#VALUE!</v>
      </c>
      <c r="Q249" s="305" t="e">
        <f t="shared" si="52"/>
        <v>#VALUE!</v>
      </c>
      <c r="R249" s="305" t="e">
        <f t="shared" si="52"/>
        <v>#VALUE!</v>
      </c>
      <c r="S249" s="305" t="e">
        <f t="shared" si="52"/>
        <v>#VALUE!</v>
      </c>
      <c r="T249" s="305" t="e">
        <f t="shared" si="52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9"/>
        <v>#VALUE!</v>
      </c>
    </row>
    <row r="250" spans="3:34">
      <c r="C250" s="304">
        <f t="shared" si="50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2"/>
        <v>#VALUE!</v>
      </c>
      <c r="Q250" s="305" t="e">
        <f t="shared" si="52"/>
        <v>#VALUE!</v>
      </c>
      <c r="R250" s="305" t="e">
        <f t="shared" si="52"/>
        <v>#VALUE!</v>
      </c>
      <c r="S250" s="305" t="e">
        <f t="shared" si="52"/>
        <v>#VALUE!</v>
      </c>
      <c r="T250" s="305" t="e">
        <f t="shared" si="52"/>
        <v>#VALUE!</v>
      </c>
      <c r="U250" s="305" t="e">
        <f t="shared" si="52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9"/>
        <v>#VALUE!</v>
      </c>
    </row>
    <row r="251" spans="3:34">
      <c r="C251" s="304">
        <f t="shared" si="50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2"/>
        <v>#VALUE!</v>
      </c>
      <c r="R251" s="305" t="e">
        <f t="shared" si="52"/>
        <v>#VALUE!</v>
      </c>
      <c r="S251" s="305" t="e">
        <f t="shared" si="52"/>
        <v>#VALUE!</v>
      </c>
      <c r="T251" s="305" t="e">
        <f t="shared" si="52"/>
        <v>#VALUE!</v>
      </c>
      <c r="U251" s="305" t="e">
        <f t="shared" si="52"/>
        <v>#VALUE!</v>
      </c>
      <c r="V251" s="305" t="e">
        <f t="shared" si="52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9"/>
        <v>#VALUE!</v>
      </c>
    </row>
    <row r="252" spans="3:34">
      <c r="C252" s="304">
        <f t="shared" si="50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2"/>
        <v>#VALUE!</v>
      </c>
      <c r="S252" s="305" t="e">
        <f t="shared" si="52"/>
        <v>#VALUE!</v>
      </c>
      <c r="T252" s="305" t="e">
        <f t="shared" si="52"/>
        <v>#VALUE!</v>
      </c>
      <c r="U252" s="305" t="e">
        <f t="shared" si="52"/>
        <v>#VALUE!</v>
      </c>
      <c r="V252" s="305" t="e">
        <f t="shared" si="52"/>
        <v>#VALUE!</v>
      </c>
      <c r="W252" s="305" t="e">
        <f t="shared" si="52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9"/>
        <v>#VALUE!</v>
      </c>
    </row>
    <row r="253" spans="3:34">
      <c r="C253" s="304">
        <f t="shared" si="50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2"/>
        <v>#VALUE!</v>
      </c>
      <c r="T253" s="305" t="e">
        <f t="shared" si="52"/>
        <v>#VALUE!</v>
      </c>
      <c r="U253" s="305" t="e">
        <f t="shared" si="52"/>
        <v>#VALUE!</v>
      </c>
      <c r="V253" s="305" t="e">
        <f t="shared" si="52"/>
        <v>#VALUE!</v>
      </c>
      <c r="W253" s="305" t="e">
        <f t="shared" si="52"/>
        <v>#VALUE!</v>
      </c>
      <c r="X253" s="305" t="e">
        <f t="shared" si="52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9"/>
        <v>#VALUE!</v>
      </c>
    </row>
    <row r="254" spans="3:34">
      <c r="C254" s="304">
        <f t="shared" si="50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2"/>
        <v>#VALUE!</v>
      </c>
      <c r="U254" s="305" t="e">
        <f t="shared" si="52"/>
        <v>#VALUE!</v>
      </c>
      <c r="V254" s="305" t="e">
        <f t="shared" si="52"/>
        <v>#VALUE!</v>
      </c>
      <c r="W254" s="305" t="e">
        <f t="shared" si="52"/>
        <v>#VALUE!</v>
      </c>
      <c r="X254" s="305" t="e">
        <f t="shared" si="52"/>
        <v>#VALUE!</v>
      </c>
      <c r="Y254" s="305" t="e">
        <f t="shared" si="52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9"/>
        <v>#VALUE!</v>
      </c>
    </row>
    <row r="255" spans="3:34">
      <c r="C255" s="304">
        <f t="shared" si="50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2"/>
        <v>#VALUE!</v>
      </c>
      <c r="V255" s="305" t="e">
        <f t="shared" si="52"/>
        <v>#VALUE!</v>
      </c>
      <c r="W255" s="305" t="e">
        <f t="shared" si="52"/>
        <v>#VALUE!</v>
      </c>
      <c r="X255" s="305" t="e">
        <f t="shared" si="52"/>
        <v>#VALUE!</v>
      </c>
      <c r="Y255" s="305" t="e">
        <f t="shared" si="52"/>
        <v>#VALUE!</v>
      </c>
      <c r="Z255" s="305" t="e">
        <f t="shared" si="52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9"/>
        <v>#VALUE!</v>
      </c>
    </row>
    <row r="256" spans="3:34">
      <c r="C256" s="304">
        <f t="shared" si="50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2"/>
        <v>#VALUE!</v>
      </c>
      <c r="W256" s="305" t="e">
        <f t="shared" si="52"/>
        <v>#VALUE!</v>
      </c>
      <c r="X256" s="305" t="e">
        <f t="shared" si="52"/>
        <v>#VALUE!</v>
      </c>
      <c r="Y256" s="305" t="e">
        <f t="shared" si="52"/>
        <v>#VALUE!</v>
      </c>
      <c r="Z256" s="305" t="e">
        <f t="shared" si="52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9"/>
        <v>#VALUE!</v>
      </c>
    </row>
    <row r="257" spans="1:34">
      <c r="C257" s="304">
        <f t="shared" si="50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2"/>
        <v>#VALUE!</v>
      </c>
      <c r="X257" s="305" t="e">
        <f t="shared" si="52"/>
        <v>#VALUE!</v>
      </c>
      <c r="Y257" s="305" t="e">
        <f t="shared" si="52"/>
        <v>#VALUE!</v>
      </c>
      <c r="Z257" s="305" t="e">
        <f t="shared" si="52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9"/>
        <v>#VALUE!</v>
      </c>
    </row>
    <row r="258" spans="1:34">
      <c r="C258" s="304">
        <f t="shared" si="50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2"/>
        <v>#VALUE!</v>
      </c>
      <c r="Y258" s="305" t="e">
        <f t="shared" si="52"/>
        <v>#VALUE!</v>
      </c>
      <c r="Z258" s="305" t="e">
        <f t="shared" si="52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9"/>
        <v>#VALUE!</v>
      </c>
    </row>
    <row r="259" spans="1:34">
      <c r="C259" s="304">
        <f t="shared" si="50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2"/>
        <v>#VALUE!</v>
      </c>
      <c r="Z259" s="305" t="e">
        <f t="shared" si="52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9"/>
        <v>#VALUE!</v>
      </c>
    </row>
    <row r="260" spans="1:34" ht="13.5" thickBot="1">
      <c r="C260" s="304">
        <f t="shared" si="50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2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9"/>
        <v>#VALUE!</v>
      </c>
    </row>
    <row r="261" spans="1:34" ht="14.25" thickTop="1" thickBot="1">
      <c r="C261" s="311" t="s">
        <v>0</v>
      </c>
      <c r="D261" s="328" t="e">
        <f t="shared" ref="D261:AH261" si="53">SUM(D230:D260)</f>
        <v>#VALUE!</v>
      </c>
      <c r="E261" s="328" t="e">
        <f t="shared" si="53"/>
        <v>#VALUE!</v>
      </c>
      <c r="F261" s="328" t="e">
        <f t="shared" si="53"/>
        <v>#VALUE!</v>
      </c>
      <c r="G261" s="328" t="e">
        <f t="shared" si="53"/>
        <v>#VALUE!</v>
      </c>
      <c r="H261" s="328" t="e">
        <f t="shared" si="53"/>
        <v>#VALUE!</v>
      </c>
      <c r="I261" s="328" t="e">
        <f t="shared" si="53"/>
        <v>#VALUE!</v>
      </c>
      <c r="J261" s="328" t="e">
        <f t="shared" si="53"/>
        <v>#VALUE!</v>
      </c>
      <c r="K261" s="328" t="e">
        <f t="shared" si="53"/>
        <v>#VALUE!</v>
      </c>
      <c r="L261" s="328" t="e">
        <f t="shared" si="53"/>
        <v>#VALUE!</v>
      </c>
      <c r="M261" s="328" t="e">
        <f t="shared" si="53"/>
        <v>#VALUE!</v>
      </c>
      <c r="N261" s="328" t="e">
        <f t="shared" si="53"/>
        <v>#VALUE!</v>
      </c>
      <c r="O261" s="328" t="e">
        <f t="shared" si="53"/>
        <v>#VALUE!</v>
      </c>
      <c r="P261" s="328" t="e">
        <f t="shared" si="53"/>
        <v>#VALUE!</v>
      </c>
      <c r="Q261" s="328" t="e">
        <f t="shared" si="53"/>
        <v>#VALUE!</v>
      </c>
      <c r="R261" s="328" t="e">
        <f t="shared" si="53"/>
        <v>#VALUE!</v>
      </c>
      <c r="S261" s="328" t="e">
        <f t="shared" si="53"/>
        <v>#VALUE!</v>
      </c>
      <c r="T261" s="328" t="e">
        <f t="shared" si="53"/>
        <v>#VALUE!</v>
      </c>
      <c r="U261" s="328" t="e">
        <f t="shared" si="53"/>
        <v>#VALUE!</v>
      </c>
      <c r="V261" s="328" t="e">
        <f t="shared" si="53"/>
        <v>#VALUE!</v>
      </c>
      <c r="W261" s="328" t="e">
        <f t="shared" si="53"/>
        <v>#VALUE!</v>
      </c>
      <c r="X261" s="328" t="e">
        <f t="shared" si="53"/>
        <v>#VALUE!</v>
      </c>
      <c r="Y261" s="328" t="e">
        <f t="shared" si="53"/>
        <v>#VALUE!</v>
      </c>
      <c r="Z261" s="328" t="e">
        <f t="shared" si="53"/>
        <v>#VALUE!</v>
      </c>
      <c r="AA261" s="328" t="e">
        <f t="shared" si="53"/>
        <v>#VALUE!</v>
      </c>
      <c r="AB261" s="328" t="e">
        <f t="shared" si="53"/>
        <v>#VALUE!</v>
      </c>
      <c r="AC261" s="328" t="e">
        <f t="shared" si="53"/>
        <v>#VALUE!</v>
      </c>
      <c r="AD261" s="328" t="e">
        <f t="shared" si="53"/>
        <v>#VALUE!</v>
      </c>
      <c r="AE261" s="328" t="e">
        <f t="shared" si="53"/>
        <v>#VALUE!</v>
      </c>
      <c r="AF261" s="329" t="e">
        <f t="shared" si="53"/>
        <v>#VALUE!</v>
      </c>
      <c r="AG261" s="328" t="e">
        <f t="shared" si="53"/>
        <v>#VALUE!</v>
      </c>
      <c r="AH261" s="315" t="e">
        <f t="shared" si="53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4">D267+1</f>
        <v>2</v>
      </c>
      <c r="F267" s="302">
        <f t="shared" si="54"/>
        <v>3</v>
      </c>
      <c r="G267" s="302">
        <f t="shared" si="54"/>
        <v>4</v>
      </c>
      <c r="H267" s="302">
        <f t="shared" si="54"/>
        <v>5</v>
      </c>
      <c r="I267" s="302">
        <f t="shared" si="54"/>
        <v>6</v>
      </c>
      <c r="J267" s="302">
        <f t="shared" si="54"/>
        <v>7</v>
      </c>
      <c r="K267" s="302">
        <f t="shared" si="54"/>
        <v>8</v>
      </c>
      <c r="L267" s="302">
        <f t="shared" si="54"/>
        <v>9</v>
      </c>
      <c r="M267" s="302">
        <f t="shared" si="54"/>
        <v>10</v>
      </c>
      <c r="N267" s="302">
        <f t="shared" si="54"/>
        <v>11</v>
      </c>
      <c r="O267" s="302">
        <f t="shared" si="54"/>
        <v>12</v>
      </c>
      <c r="P267" s="302">
        <f t="shared" si="54"/>
        <v>13</v>
      </c>
      <c r="Q267" s="302">
        <f t="shared" si="54"/>
        <v>14</v>
      </c>
      <c r="R267" s="302">
        <f t="shared" si="54"/>
        <v>15</v>
      </c>
      <c r="S267" s="302">
        <f t="shared" si="54"/>
        <v>16</v>
      </c>
      <c r="T267" s="302">
        <f t="shared" si="54"/>
        <v>17</v>
      </c>
      <c r="U267" s="302">
        <f t="shared" si="54"/>
        <v>18</v>
      </c>
      <c r="V267" s="302">
        <f t="shared" si="54"/>
        <v>19</v>
      </c>
      <c r="W267" s="302">
        <f t="shared" si="54"/>
        <v>20</v>
      </c>
      <c r="X267" s="302">
        <f t="shared" si="54"/>
        <v>21</v>
      </c>
      <c r="Y267" s="302">
        <f t="shared" si="54"/>
        <v>22</v>
      </c>
      <c r="Z267" s="302">
        <f t="shared" si="54"/>
        <v>23</v>
      </c>
      <c r="AA267" s="302">
        <f t="shared" si="54"/>
        <v>24</v>
      </c>
      <c r="AB267" s="302">
        <f t="shared" si="54"/>
        <v>25</v>
      </c>
      <c r="AC267" s="302">
        <f t="shared" si="54"/>
        <v>26</v>
      </c>
      <c r="AD267" s="302">
        <f t="shared" si="54"/>
        <v>27</v>
      </c>
      <c r="AE267" s="302">
        <f t="shared" si="54"/>
        <v>28</v>
      </c>
      <c r="AF267" s="302">
        <f t="shared" si="54"/>
        <v>29</v>
      </c>
      <c r="AG267" s="302">
        <f t="shared" si="54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5">SUM(D268:AG268)</f>
        <v>0</v>
      </c>
    </row>
    <row r="269" spans="1:34">
      <c r="C269" s="307">
        <f t="shared" ref="C269:C298" si="56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5"/>
        <v>0</v>
      </c>
    </row>
    <row r="270" spans="1:34">
      <c r="C270" s="307">
        <f t="shared" si="56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5"/>
        <v>#VALUE!</v>
      </c>
    </row>
    <row r="271" spans="1:34">
      <c r="C271" s="307">
        <f t="shared" si="56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5"/>
        <v>#VALUE!</v>
      </c>
    </row>
    <row r="272" spans="1:34">
      <c r="C272" s="307">
        <f t="shared" si="56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5"/>
        <v>#VALUE!</v>
      </c>
    </row>
    <row r="273" spans="3:34">
      <c r="C273" s="307">
        <f t="shared" si="56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5"/>
        <v>#VALUE!</v>
      </c>
    </row>
    <row r="274" spans="3:34">
      <c r="C274" s="307">
        <f t="shared" si="56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5"/>
        <v>#VALUE!</v>
      </c>
    </row>
    <row r="275" spans="3:34">
      <c r="C275" s="307">
        <f t="shared" si="56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5"/>
        <v>#VALUE!</v>
      </c>
    </row>
    <row r="276" spans="3:34">
      <c r="C276" s="307">
        <f t="shared" si="56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5"/>
        <v>#VALUE!</v>
      </c>
    </row>
    <row r="277" spans="3:34">
      <c r="C277" s="307">
        <f t="shared" si="56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5"/>
        <v>#VALUE!</v>
      </c>
    </row>
    <row r="278" spans="3:34">
      <c r="C278" s="307">
        <f t="shared" si="56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5"/>
        <v>#VALUE!</v>
      </c>
    </row>
    <row r="279" spans="3:34">
      <c r="C279" s="307">
        <f t="shared" si="56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5"/>
        <v>#VALUE!</v>
      </c>
    </row>
    <row r="280" spans="3:34">
      <c r="C280" s="307">
        <f t="shared" si="56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5"/>
        <v>#VALUE!</v>
      </c>
    </row>
    <row r="281" spans="3:34">
      <c r="C281" s="307">
        <f t="shared" si="56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5"/>
        <v>#VALUE!</v>
      </c>
    </row>
    <row r="282" spans="3:34">
      <c r="C282" s="307">
        <f t="shared" si="56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5"/>
        <v>#VALUE!</v>
      </c>
    </row>
    <row r="283" spans="3:34">
      <c r="C283" s="307">
        <f t="shared" si="56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5"/>
        <v>#VALUE!</v>
      </c>
    </row>
    <row r="284" spans="3:34">
      <c r="C284" s="307">
        <f t="shared" si="56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5"/>
        <v>#VALUE!</v>
      </c>
    </row>
    <row r="285" spans="3:34">
      <c r="C285" s="307">
        <f t="shared" si="56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5"/>
        <v>#VALUE!</v>
      </c>
    </row>
    <row r="286" spans="3:34">
      <c r="C286" s="307">
        <f t="shared" si="56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5"/>
        <v>#VALUE!</v>
      </c>
    </row>
    <row r="287" spans="3:34">
      <c r="C287" s="307">
        <f t="shared" si="56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5"/>
        <v>#VALUE!</v>
      </c>
    </row>
    <row r="288" spans="3:34">
      <c r="C288" s="307">
        <f t="shared" si="56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5"/>
        <v>#VALUE!</v>
      </c>
    </row>
    <row r="289" spans="1:34">
      <c r="C289" s="307">
        <f t="shared" si="56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5"/>
        <v>#VALUE!</v>
      </c>
    </row>
    <row r="290" spans="1:34">
      <c r="C290" s="307">
        <f t="shared" si="56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5"/>
        <v>#VALUE!</v>
      </c>
    </row>
    <row r="291" spans="1:34">
      <c r="C291" s="307">
        <f t="shared" si="56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5"/>
        <v>#VALUE!</v>
      </c>
    </row>
    <row r="292" spans="1:34">
      <c r="C292" s="307">
        <f t="shared" si="56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5"/>
        <v>#VALUE!</v>
      </c>
    </row>
    <row r="293" spans="1:34">
      <c r="C293" s="307">
        <f t="shared" si="56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5"/>
        <v>#VALUE!</v>
      </c>
    </row>
    <row r="294" spans="1:34">
      <c r="C294" s="307">
        <f t="shared" si="56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5"/>
        <v>#VALUE!</v>
      </c>
    </row>
    <row r="295" spans="1:34">
      <c r="C295" s="307">
        <f t="shared" si="56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5"/>
        <v>#VALUE!</v>
      </c>
    </row>
    <row r="296" spans="1:34">
      <c r="C296" s="307">
        <f t="shared" si="56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5"/>
        <v>#VALUE!</v>
      </c>
    </row>
    <row r="297" spans="1:34">
      <c r="C297" s="307">
        <f t="shared" si="56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5"/>
        <v>#VALUE!</v>
      </c>
    </row>
    <row r="298" spans="1:34" ht="13.5" thickBot="1">
      <c r="C298" s="307">
        <f t="shared" si="56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5"/>
        <v>#VALUE!</v>
      </c>
    </row>
    <row r="299" spans="1:34" ht="14.25" thickTop="1" thickBot="1">
      <c r="C299" s="311" t="s">
        <v>0</v>
      </c>
      <c r="D299" s="328" t="e">
        <f t="shared" ref="D299:AH299" si="57">SUM(D268:D298)</f>
        <v>#VALUE!</v>
      </c>
      <c r="E299" s="328" t="e">
        <f t="shared" si="57"/>
        <v>#VALUE!</v>
      </c>
      <c r="F299" s="328" t="e">
        <f t="shared" si="57"/>
        <v>#VALUE!</v>
      </c>
      <c r="G299" s="328" t="e">
        <f t="shared" si="57"/>
        <v>#VALUE!</v>
      </c>
      <c r="H299" s="328" t="e">
        <f t="shared" si="57"/>
        <v>#VALUE!</v>
      </c>
      <c r="I299" s="328" t="e">
        <f t="shared" si="57"/>
        <v>#VALUE!</v>
      </c>
      <c r="J299" s="328" t="e">
        <f t="shared" si="57"/>
        <v>#VALUE!</v>
      </c>
      <c r="K299" s="328" t="e">
        <f t="shared" si="57"/>
        <v>#VALUE!</v>
      </c>
      <c r="L299" s="340" t="e">
        <f t="shared" si="57"/>
        <v>#VALUE!</v>
      </c>
      <c r="M299" s="340" t="e">
        <f t="shared" si="57"/>
        <v>#VALUE!</v>
      </c>
      <c r="N299" s="328" t="e">
        <f t="shared" si="57"/>
        <v>#VALUE!</v>
      </c>
      <c r="O299" s="328" t="e">
        <f t="shared" si="57"/>
        <v>#VALUE!</v>
      </c>
      <c r="P299" s="328" t="e">
        <f t="shared" si="57"/>
        <v>#VALUE!</v>
      </c>
      <c r="Q299" s="328" t="e">
        <f t="shared" si="57"/>
        <v>#VALUE!</v>
      </c>
      <c r="R299" s="328" t="e">
        <f t="shared" si="57"/>
        <v>#VALUE!</v>
      </c>
      <c r="S299" s="328" t="e">
        <f t="shared" si="57"/>
        <v>#VALUE!</v>
      </c>
      <c r="T299" s="328" t="e">
        <f t="shared" si="57"/>
        <v>#VALUE!</v>
      </c>
      <c r="U299" s="328" t="e">
        <f t="shared" si="57"/>
        <v>#VALUE!</v>
      </c>
      <c r="V299" s="328" t="e">
        <f t="shared" si="57"/>
        <v>#VALUE!</v>
      </c>
      <c r="W299" s="328" t="e">
        <f t="shared" si="57"/>
        <v>#VALUE!</v>
      </c>
      <c r="X299" s="328" t="e">
        <f t="shared" si="57"/>
        <v>#VALUE!</v>
      </c>
      <c r="Y299" s="328" t="e">
        <f t="shared" si="57"/>
        <v>#VALUE!</v>
      </c>
      <c r="Z299" s="328" t="e">
        <f t="shared" si="57"/>
        <v>#VALUE!</v>
      </c>
      <c r="AA299" s="328" t="e">
        <f t="shared" si="57"/>
        <v>#VALUE!</v>
      </c>
      <c r="AB299" s="328" t="e">
        <f t="shared" si="57"/>
        <v>#VALUE!</v>
      </c>
      <c r="AC299" s="328" t="e">
        <f t="shared" si="57"/>
        <v>#VALUE!</v>
      </c>
      <c r="AD299" s="328" t="e">
        <f t="shared" si="57"/>
        <v>#VALUE!</v>
      </c>
      <c r="AE299" s="328" t="e">
        <f t="shared" si="57"/>
        <v>#VALUE!</v>
      </c>
      <c r="AF299" s="329" t="e">
        <f t="shared" si="57"/>
        <v>#VALUE!</v>
      </c>
      <c r="AG299" s="328" t="e">
        <f t="shared" si="57"/>
        <v>#VALUE!</v>
      </c>
      <c r="AH299" s="315" t="e">
        <f t="shared" si="57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8">D305+1</f>
        <v>2</v>
      </c>
      <c r="F305" s="302">
        <f t="shared" si="58"/>
        <v>3</v>
      </c>
      <c r="G305" s="302">
        <f t="shared" si="58"/>
        <v>4</v>
      </c>
      <c r="H305" s="302">
        <f t="shared" si="58"/>
        <v>5</v>
      </c>
      <c r="I305" s="302">
        <f t="shared" si="58"/>
        <v>6</v>
      </c>
      <c r="J305" s="302">
        <f t="shared" si="58"/>
        <v>7</v>
      </c>
      <c r="K305" s="302">
        <f t="shared" si="58"/>
        <v>8</v>
      </c>
      <c r="L305" s="302">
        <f t="shared" si="58"/>
        <v>9</v>
      </c>
      <c r="M305" s="302">
        <f t="shared" si="58"/>
        <v>10</v>
      </c>
      <c r="N305" s="302">
        <f t="shared" si="58"/>
        <v>11</v>
      </c>
      <c r="O305" s="302">
        <f t="shared" si="58"/>
        <v>12</v>
      </c>
      <c r="P305" s="302">
        <f t="shared" si="58"/>
        <v>13</v>
      </c>
      <c r="Q305" s="302">
        <f t="shared" si="58"/>
        <v>14</v>
      </c>
      <c r="R305" s="302">
        <f t="shared" si="58"/>
        <v>15</v>
      </c>
      <c r="S305" s="302">
        <f t="shared" si="58"/>
        <v>16</v>
      </c>
      <c r="T305" s="302">
        <f t="shared" si="58"/>
        <v>17</v>
      </c>
      <c r="U305" s="302">
        <f t="shared" si="58"/>
        <v>18</v>
      </c>
      <c r="V305" s="302">
        <f t="shared" si="58"/>
        <v>19</v>
      </c>
      <c r="W305" s="302">
        <f t="shared" si="58"/>
        <v>20</v>
      </c>
      <c r="X305" s="302">
        <f t="shared" si="58"/>
        <v>21</v>
      </c>
      <c r="Y305" s="302">
        <f t="shared" si="58"/>
        <v>22</v>
      </c>
      <c r="Z305" s="302">
        <f t="shared" si="58"/>
        <v>23</v>
      </c>
      <c r="AA305" s="302">
        <f t="shared" si="58"/>
        <v>24</v>
      </c>
      <c r="AB305" s="302">
        <f t="shared" si="58"/>
        <v>25</v>
      </c>
      <c r="AC305" s="302">
        <f t="shared" si="58"/>
        <v>26</v>
      </c>
      <c r="AD305" s="302">
        <f t="shared" si="58"/>
        <v>27</v>
      </c>
      <c r="AE305" s="302">
        <f t="shared" si="58"/>
        <v>28</v>
      </c>
      <c r="AF305" s="302">
        <f t="shared" si="58"/>
        <v>29</v>
      </c>
      <c r="AG305" s="302">
        <f t="shared" si="58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9">SUM(D306:AG306)</f>
        <v>0</v>
      </c>
    </row>
    <row r="307" spans="3:34">
      <c r="C307" s="307">
        <f t="shared" ref="C307:C336" si="60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9"/>
        <v>0</v>
      </c>
    </row>
    <row r="308" spans="3:34">
      <c r="C308" s="307">
        <f t="shared" si="60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9"/>
        <v>#VALUE!</v>
      </c>
    </row>
    <row r="309" spans="3:34">
      <c r="C309" s="307">
        <f t="shared" si="60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9"/>
        <v>#VALUE!</v>
      </c>
    </row>
    <row r="310" spans="3:34">
      <c r="C310" s="307">
        <f t="shared" si="60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9"/>
        <v>#VALUE!</v>
      </c>
    </row>
    <row r="311" spans="3:34">
      <c r="C311" s="307">
        <f t="shared" si="60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9"/>
        <v>#VALUE!</v>
      </c>
    </row>
    <row r="312" spans="3:34">
      <c r="C312" s="307">
        <f t="shared" si="60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9"/>
        <v>#VALUE!</v>
      </c>
    </row>
    <row r="313" spans="3:34">
      <c r="C313" s="307">
        <f t="shared" si="60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9"/>
        <v>#VALUE!</v>
      </c>
    </row>
    <row r="314" spans="3:34">
      <c r="C314" s="307">
        <f t="shared" si="60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9"/>
        <v>#VALUE!</v>
      </c>
    </row>
    <row r="315" spans="3:34">
      <c r="C315" s="307">
        <f t="shared" si="60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9"/>
        <v>#VALUE!</v>
      </c>
    </row>
    <row r="316" spans="3:34">
      <c r="C316" s="307">
        <f t="shared" si="60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9"/>
        <v>#VALUE!</v>
      </c>
    </row>
    <row r="317" spans="3:34">
      <c r="C317" s="307">
        <f t="shared" si="60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9"/>
        <v>#VALUE!</v>
      </c>
    </row>
    <row r="318" spans="3:34">
      <c r="C318" s="307">
        <f t="shared" si="60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9"/>
        <v>#VALUE!</v>
      </c>
    </row>
    <row r="319" spans="3:34">
      <c r="C319" s="307">
        <f t="shared" si="60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9"/>
        <v>#VALUE!</v>
      </c>
    </row>
    <row r="320" spans="3:34">
      <c r="C320" s="307">
        <f t="shared" si="60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9"/>
        <v>#VALUE!</v>
      </c>
    </row>
    <row r="321" spans="3:34">
      <c r="C321" s="307">
        <f t="shared" si="60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9"/>
        <v>#VALUE!</v>
      </c>
    </row>
    <row r="322" spans="3:34">
      <c r="C322" s="307">
        <f t="shared" si="60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9"/>
        <v>#VALUE!</v>
      </c>
    </row>
    <row r="323" spans="3:34">
      <c r="C323" s="307">
        <f t="shared" si="60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9"/>
        <v>#VALUE!</v>
      </c>
    </row>
    <row r="324" spans="3:34">
      <c r="C324" s="307">
        <f t="shared" si="60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9"/>
        <v>#VALUE!</v>
      </c>
    </row>
    <row r="325" spans="3:34">
      <c r="C325" s="307">
        <f t="shared" si="60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9"/>
        <v>#VALUE!</v>
      </c>
    </row>
    <row r="326" spans="3:34">
      <c r="C326" s="307">
        <f t="shared" si="60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9"/>
        <v>#VALUE!</v>
      </c>
    </row>
    <row r="327" spans="3:34">
      <c r="C327" s="307">
        <f t="shared" si="60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9"/>
        <v>#VALUE!</v>
      </c>
    </row>
    <row r="328" spans="3:34">
      <c r="C328" s="307">
        <f t="shared" si="60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9"/>
        <v>#VALUE!</v>
      </c>
    </row>
    <row r="329" spans="3:34">
      <c r="C329" s="307">
        <f t="shared" si="60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9"/>
        <v>#VALUE!</v>
      </c>
    </row>
    <row r="330" spans="3:34">
      <c r="C330" s="307">
        <f t="shared" si="60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9"/>
        <v>#VALUE!</v>
      </c>
    </row>
    <row r="331" spans="3:34">
      <c r="C331" s="307">
        <f t="shared" si="60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9"/>
        <v>#VALUE!</v>
      </c>
    </row>
    <row r="332" spans="3:34">
      <c r="C332" s="307">
        <f t="shared" si="60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9"/>
        <v>#VALUE!</v>
      </c>
    </row>
    <row r="333" spans="3:34">
      <c r="C333" s="307">
        <f t="shared" si="60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9"/>
        <v>#VALUE!</v>
      </c>
    </row>
    <row r="334" spans="3:34">
      <c r="C334" s="307">
        <f t="shared" si="60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9"/>
        <v>#VALUE!</v>
      </c>
    </row>
    <row r="335" spans="3:34">
      <c r="C335" s="307">
        <f t="shared" si="60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9"/>
        <v>#VALUE!</v>
      </c>
    </row>
    <row r="336" spans="3:34" ht="13.5" thickBot="1">
      <c r="C336" s="307">
        <f t="shared" si="60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9"/>
        <v>#VALUE!</v>
      </c>
    </row>
    <row r="337" spans="3:34" ht="14.25" thickTop="1" thickBot="1">
      <c r="C337" s="311" t="s">
        <v>0</v>
      </c>
      <c r="D337" s="328" t="e">
        <f t="shared" ref="D337:AH337" si="61">SUM(D306:D336)</f>
        <v>#VALUE!</v>
      </c>
      <c r="E337" s="328" t="e">
        <f t="shared" si="61"/>
        <v>#VALUE!</v>
      </c>
      <c r="F337" s="328" t="e">
        <f t="shared" si="61"/>
        <v>#VALUE!</v>
      </c>
      <c r="G337" s="328" t="e">
        <f t="shared" si="61"/>
        <v>#VALUE!</v>
      </c>
      <c r="H337" s="328" t="e">
        <f t="shared" si="61"/>
        <v>#VALUE!</v>
      </c>
      <c r="I337" s="328" t="e">
        <f t="shared" si="61"/>
        <v>#VALUE!</v>
      </c>
      <c r="J337" s="328" t="e">
        <f t="shared" si="61"/>
        <v>#VALUE!</v>
      </c>
      <c r="K337" s="328" t="e">
        <f t="shared" si="61"/>
        <v>#VALUE!</v>
      </c>
      <c r="L337" s="328" t="e">
        <f t="shared" si="61"/>
        <v>#VALUE!</v>
      </c>
      <c r="M337" s="336" t="e">
        <f t="shared" si="61"/>
        <v>#VALUE!</v>
      </c>
      <c r="N337" s="328" t="e">
        <f t="shared" si="61"/>
        <v>#VALUE!</v>
      </c>
      <c r="O337" s="328" t="e">
        <f t="shared" si="61"/>
        <v>#VALUE!</v>
      </c>
      <c r="P337" s="328" t="e">
        <f t="shared" si="61"/>
        <v>#VALUE!</v>
      </c>
      <c r="Q337" s="328" t="e">
        <f t="shared" si="61"/>
        <v>#VALUE!</v>
      </c>
      <c r="R337" s="328" t="e">
        <f t="shared" si="61"/>
        <v>#VALUE!</v>
      </c>
      <c r="S337" s="328" t="e">
        <f t="shared" si="61"/>
        <v>#VALUE!</v>
      </c>
      <c r="T337" s="328" t="e">
        <f t="shared" si="61"/>
        <v>#VALUE!</v>
      </c>
      <c r="U337" s="328" t="e">
        <f t="shared" si="61"/>
        <v>#VALUE!</v>
      </c>
      <c r="V337" s="328" t="e">
        <f t="shared" si="61"/>
        <v>#VALUE!</v>
      </c>
      <c r="W337" s="328" t="e">
        <f t="shared" si="61"/>
        <v>#VALUE!</v>
      </c>
      <c r="X337" s="328" t="e">
        <f t="shared" si="61"/>
        <v>#VALUE!</v>
      </c>
      <c r="Y337" s="328" t="e">
        <f t="shared" si="61"/>
        <v>#VALUE!</v>
      </c>
      <c r="Z337" s="328" t="e">
        <f t="shared" si="61"/>
        <v>#VALUE!</v>
      </c>
      <c r="AA337" s="328" t="e">
        <f t="shared" si="61"/>
        <v>#VALUE!</v>
      </c>
      <c r="AB337" s="328" t="e">
        <f t="shared" si="61"/>
        <v>#VALUE!</v>
      </c>
      <c r="AC337" s="328" t="e">
        <f t="shared" si="61"/>
        <v>#VALUE!</v>
      </c>
      <c r="AD337" s="328" t="e">
        <f t="shared" si="61"/>
        <v>#VALUE!</v>
      </c>
      <c r="AE337" s="328" t="e">
        <f t="shared" si="61"/>
        <v>#VALUE!</v>
      </c>
      <c r="AF337" s="329" t="e">
        <f t="shared" si="61"/>
        <v>#VALUE!</v>
      </c>
      <c r="AG337" s="329" t="e">
        <f t="shared" si="61"/>
        <v>#VALUE!</v>
      </c>
      <c r="AH337" s="315" t="e">
        <f t="shared" si="61"/>
        <v>#VALUE!</v>
      </c>
    </row>
    <row r="340" spans="3:34">
      <c r="C340" s="301" t="s">
        <v>1</v>
      </c>
      <c r="D340" s="302">
        <v>1</v>
      </c>
      <c r="E340" s="302">
        <f t="shared" ref="E340:AG340" si="62">D340+1</f>
        <v>2</v>
      </c>
      <c r="F340" s="302">
        <f t="shared" si="62"/>
        <v>3</v>
      </c>
      <c r="G340" s="302">
        <f t="shared" si="62"/>
        <v>4</v>
      </c>
      <c r="H340" s="302">
        <f t="shared" si="62"/>
        <v>5</v>
      </c>
      <c r="I340" s="302">
        <f t="shared" si="62"/>
        <v>6</v>
      </c>
      <c r="J340" s="302">
        <f t="shared" si="62"/>
        <v>7</v>
      </c>
      <c r="K340" s="302">
        <f t="shared" si="62"/>
        <v>8</v>
      </c>
      <c r="L340" s="302">
        <f t="shared" si="62"/>
        <v>9</v>
      </c>
      <c r="M340" s="302">
        <f t="shared" si="62"/>
        <v>10</v>
      </c>
      <c r="N340" s="302">
        <f t="shared" si="62"/>
        <v>11</v>
      </c>
      <c r="O340" s="302">
        <f t="shared" si="62"/>
        <v>12</v>
      </c>
      <c r="P340" s="302">
        <f t="shared" si="62"/>
        <v>13</v>
      </c>
      <c r="Q340" s="302">
        <f t="shared" si="62"/>
        <v>14</v>
      </c>
      <c r="R340" s="302">
        <f t="shared" si="62"/>
        <v>15</v>
      </c>
      <c r="S340" s="302">
        <f t="shared" si="62"/>
        <v>16</v>
      </c>
      <c r="T340" s="302">
        <f t="shared" si="62"/>
        <v>17</v>
      </c>
      <c r="U340" s="302">
        <f t="shared" si="62"/>
        <v>18</v>
      </c>
      <c r="V340" s="302">
        <f t="shared" si="62"/>
        <v>19</v>
      </c>
      <c r="W340" s="302">
        <f t="shared" si="62"/>
        <v>20</v>
      </c>
      <c r="X340" s="302">
        <f t="shared" si="62"/>
        <v>21</v>
      </c>
      <c r="Y340" s="302">
        <f t="shared" si="62"/>
        <v>22</v>
      </c>
      <c r="Z340" s="302">
        <f t="shared" si="62"/>
        <v>23</v>
      </c>
      <c r="AA340" s="302">
        <f t="shared" si="62"/>
        <v>24</v>
      </c>
      <c r="AB340" s="302">
        <f t="shared" si="62"/>
        <v>25</v>
      </c>
      <c r="AC340" s="302">
        <f t="shared" si="62"/>
        <v>26</v>
      </c>
      <c r="AD340" s="302">
        <f t="shared" si="62"/>
        <v>27</v>
      </c>
      <c r="AE340" s="302">
        <f t="shared" si="62"/>
        <v>28</v>
      </c>
      <c r="AF340" s="302">
        <f t="shared" si="62"/>
        <v>29</v>
      </c>
      <c r="AG340" s="302">
        <f t="shared" si="62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3">1+C341</f>
        <v>1</v>
      </c>
      <c r="AH342" s="341">
        <f t="shared" ref="AH342:AH371" ca="1" si="64">SUMIF($C$9:$AH$336,C342,$AH$9:$AH$336)</f>
        <v>0</v>
      </c>
    </row>
    <row r="343" spans="3:34">
      <c r="C343" s="307">
        <f t="shared" si="63"/>
        <v>2</v>
      </c>
      <c r="AH343" s="341" t="e">
        <f t="shared" ca="1" si="64"/>
        <v>#VALUE!</v>
      </c>
    </row>
    <row r="344" spans="3:34">
      <c r="C344" s="307">
        <f t="shared" si="63"/>
        <v>3</v>
      </c>
      <c r="AH344" s="341" t="e">
        <f t="shared" ca="1" si="64"/>
        <v>#VALUE!</v>
      </c>
    </row>
    <row r="345" spans="3:34">
      <c r="C345" s="307">
        <f t="shared" si="63"/>
        <v>4</v>
      </c>
      <c r="AH345" s="341" t="e">
        <f t="shared" ca="1" si="64"/>
        <v>#VALUE!</v>
      </c>
    </row>
    <row r="346" spans="3:34">
      <c r="C346" s="307">
        <f t="shared" si="63"/>
        <v>5</v>
      </c>
      <c r="AH346" s="341" t="e">
        <f t="shared" ca="1" si="64"/>
        <v>#VALUE!</v>
      </c>
    </row>
    <row r="347" spans="3:34">
      <c r="C347" s="307">
        <f t="shared" si="63"/>
        <v>6</v>
      </c>
      <c r="AH347" s="341" t="e">
        <f t="shared" ca="1" si="64"/>
        <v>#VALUE!</v>
      </c>
    </row>
    <row r="348" spans="3:34">
      <c r="C348" s="307">
        <f t="shared" si="63"/>
        <v>7</v>
      </c>
      <c r="AH348" s="341" t="e">
        <f t="shared" ca="1" si="64"/>
        <v>#VALUE!</v>
      </c>
    </row>
    <row r="349" spans="3:34">
      <c r="C349" s="307">
        <f t="shared" si="63"/>
        <v>8</v>
      </c>
      <c r="AH349" s="341" t="e">
        <f t="shared" ca="1" si="64"/>
        <v>#VALUE!</v>
      </c>
    </row>
    <row r="350" spans="3:34">
      <c r="C350" s="307">
        <f t="shared" si="63"/>
        <v>9</v>
      </c>
      <c r="AH350" s="341" t="e">
        <f t="shared" ca="1" si="64"/>
        <v>#VALUE!</v>
      </c>
    </row>
    <row r="351" spans="3:34">
      <c r="C351" s="307">
        <f t="shared" si="63"/>
        <v>10</v>
      </c>
      <c r="AH351" s="341" t="e">
        <f t="shared" ca="1" si="64"/>
        <v>#VALUE!</v>
      </c>
    </row>
    <row r="352" spans="3:34">
      <c r="C352" s="307">
        <f t="shared" si="63"/>
        <v>11</v>
      </c>
      <c r="AH352" s="341" t="e">
        <f t="shared" ca="1" si="64"/>
        <v>#VALUE!</v>
      </c>
    </row>
    <row r="353" spans="3:34">
      <c r="C353" s="307">
        <f t="shared" si="63"/>
        <v>12</v>
      </c>
      <c r="AH353" s="341" t="e">
        <f t="shared" ca="1" si="64"/>
        <v>#VALUE!</v>
      </c>
    </row>
    <row r="354" spans="3:34">
      <c r="C354" s="307">
        <f t="shared" si="63"/>
        <v>13</v>
      </c>
      <c r="AH354" s="341" t="e">
        <f t="shared" ca="1" si="64"/>
        <v>#VALUE!</v>
      </c>
    </row>
    <row r="355" spans="3:34">
      <c r="C355" s="307">
        <f t="shared" si="63"/>
        <v>14</v>
      </c>
      <c r="AH355" s="341" t="e">
        <f t="shared" ca="1" si="64"/>
        <v>#VALUE!</v>
      </c>
    </row>
    <row r="356" spans="3:34">
      <c r="C356" s="307">
        <f t="shared" si="63"/>
        <v>15</v>
      </c>
      <c r="AH356" s="341" t="e">
        <f t="shared" ca="1" si="64"/>
        <v>#VALUE!</v>
      </c>
    </row>
    <row r="357" spans="3:34">
      <c r="C357" s="307">
        <f t="shared" si="63"/>
        <v>16</v>
      </c>
      <c r="AH357" s="341" t="e">
        <f t="shared" ca="1" si="64"/>
        <v>#VALUE!</v>
      </c>
    </row>
    <row r="358" spans="3:34">
      <c r="C358" s="307">
        <f t="shared" si="63"/>
        <v>17</v>
      </c>
      <c r="AH358" s="341" t="e">
        <f t="shared" ca="1" si="64"/>
        <v>#VALUE!</v>
      </c>
    </row>
    <row r="359" spans="3:34">
      <c r="C359" s="307">
        <f t="shared" si="63"/>
        <v>18</v>
      </c>
      <c r="AH359" s="341" t="e">
        <f t="shared" ca="1" si="64"/>
        <v>#VALUE!</v>
      </c>
    </row>
    <row r="360" spans="3:34">
      <c r="C360" s="307">
        <f t="shared" si="63"/>
        <v>19</v>
      </c>
      <c r="AH360" s="341" t="e">
        <f t="shared" ca="1" si="64"/>
        <v>#VALUE!</v>
      </c>
    </row>
    <row r="361" spans="3:34">
      <c r="C361" s="307">
        <f t="shared" si="63"/>
        <v>20</v>
      </c>
      <c r="AH361" s="341" t="e">
        <f t="shared" ca="1" si="64"/>
        <v>#VALUE!</v>
      </c>
    </row>
    <row r="362" spans="3:34">
      <c r="C362" s="307">
        <f t="shared" si="63"/>
        <v>21</v>
      </c>
      <c r="AH362" s="341" t="e">
        <f t="shared" ca="1" si="64"/>
        <v>#VALUE!</v>
      </c>
    </row>
    <row r="363" spans="3:34">
      <c r="C363" s="307">
        <f t="shared" si="63"/>
        <v>22</v>
      </c>
      <c r="AH363" s="341" t="e">
        <f t="shared" ca="1" si="64"/>
        <v>#VALUE!</v>
      </c>
    </row>
    <row r="364" spans="3:34">
      <c r="C364" s="307">
        <f t="shared" si="63"/>
        <v>23</v>
      </c>
      <c r="AH364" s="341" t="e">
        <f t="shared" ca="1" si="64"/>
        <v>#VALUE!</v>
      </c>
    </row>
    <row r="365" spans="3:34">
      <c r="C365" s="307">
        <f t="shared" si="63"/>
        <v>24</v>
      </c>
      <c r="AH365" s="341" t="e">
        <f t="shared" ca="1" si="64"/>
        <v>#VALUE!</v>
      </c>
    </row>
    <row r="366" spans="3:34">
      <c r="C366" s="307">
        <f t="shared" si="63"/>
        <v>25</v>
      </c>
      <c r="AH366" s="341" t="e">
        <f t="shared" ca="1" si="64"/>
        <v>#VALUE!</v>
      </c>
    </row>
    <row r="367" spans="3:34">
      <c r="C367" s="307">
        <f t="shared" si="63"/>
        <v>26</v>
      </c>
      <c r="AH367" s="341" t="e">
        <f t="shared" ca="1" si="64"/>
        <v>#VALUE!</v>
      </c>
    </row>
    <row r="368" spans="3:34">
      <c r="C368" s="307">
        <f t="shared" si="63"/>
        <v>27</v>
      </c>
      <c r="AH368" s="341" t="e">
        <f t="shared" ca="1" si="64"/>
        <v>#VALUE!</v>
      </c>
    </row>
    <row r="369" spans="3:34">
      <c r="C369" s="307">
        <f t="shared" si="63"/>
        <v>28</v>
      </c>
      <c r="AH369" s="341" t="e">
        <f t="shared" ca="1" si="64"/>
        <v>#VALUE!</v>
      </c>
    </row>
    <row r="370" spans="3:34">
      <c r="C370" s="307">
        <f t="shared" si="63"/>
        <v>29</v>
      </c>
      <c r="AH370" s="341" t="e">
        <f t="shared" ca="1" si="64"/>
        <v>#VALUE!</v>
      </c>
    </row>
    <row r="371" spans="3:34">
      <c r="C371" s="307">
        <f t="shared" si="63"/>
        <v>30</v>
      </c>
      <c r="AH371" s="341" t="e">
        <f t="shared" ca="1" si="64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85E35-CA60-4204-A21A-F91F010681A4}">
  <sheetPr>
    <tabColor rgb="FFFFC000"/>
  </sheetPr>
  <dimension ref="A2:AJ66"/>
  <sheetViews>
    <sheetView showGridLines="0" zoomScale="70" zoomScaleNormal="70" workbookViewId="0">
      <selection activeCell="AB45" sqref="AB45:AF55"/>
    </sheetView>
  </sheetViews>
  <sheetFormatPr defaultColWidth="11.5703125" defaultRowHeight="14.25"/>
  <cols>
    <col min="1" max="1" width="14.42578125" style="41" customWidth="1"/>
    <col min="2" max="2" width="48.85546875" style="41" customWidth="1"/>
    <col min="3" max="3" width="14.42578125" style="41" bestFit="1" customWidth="1"/>
    <col min="4" max="4" width="17" style="41" bestFit="1" customWidth="1"/>
    <col min="5" max="6" width="14.85546875" style="41" bestFit="1" customWidth="1"/>
    <col min="7" max="7" width="15.28515625" style="41" bestFit="1" customWidth="1"/>
    <col min="8" max="8" width="14.5703125" style="41" bestFit="1" customWidth="1"/>
    <col min="9" max="9" width="14.85546875" style="41" bestFit="1" customWidth="1"/>
    <col min="10" max="10" width="14.5703125" style="41" bestFit="1" customWidth="1"/>
    <col min="11" max="11" width="15" style="41" bestFit="1" customWidth="1"/>
    <col min="12" max="12" width="15.28515625" style="41" bestFit="1" customWidth="1"/>
    <col min="13" max="14" width="15" style="41" bestFit="1" customWidth="1"/>
    <col min="15" max="15" width="14.42578125" style="41" bestFit="1" customWidth="1"/>
    <col min="16" max="16" width="14.28515625" style="41" bestFit="1" customWidth="1"/>
    <col min="17" max="17" width="14.5703125" style="41" bestFit="1" customWidth="1"/>
    <col min="18" max="18" width="14.42578125" style="41" bestFit="1" customWidth="1"/>
    <col min="19" max="19" width="14.85546875" style="41" bestFit="1" customWidth="1"/>
    <col min="20" max="20" width="14.42578125" style="41" bestFit="1" customWidth="1"/>
    <col min="21" max="23" width="14.5703125" style="41" bestFit="1" customWidth="1"/>
    <col min="24" max="24" width="14.85546875" style="41" bestFit="1" customWidth="1"/>
    <col min="25" max="26" width="14.5703125" style="41" bestFit="1" customWidth="1"/>
    <col min="27" max="27" width="15" style="41" bestFit="1" customWidth="1"/>
    <col min="28" max="28" width="14.85546875" style="41" bestFit="1" customWidth="1"/>
    <col min="29" max="29" width="14.5703125" style="41" bestFit="1" customWidth="1"/>
    <col min="30" max="30" width="14.28515625" style="41" bestFit="1" customWidth="1"/>
    <col min="31" max="31" width="15.28515625" style="41" bestFit="1" customWidth="1"/>
    <col min="32" max="32" width="15" style="41" bestFit="1" customWidth="1"/>
    <col min="33" max="33" width="16.42578125" style="41" bestFit="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816</v>
      </c>
      <c r="D2" s="1238" t="s">
        <v>713</v>
      </c>
    </row>
    <row r="3" spans="1:33" ht="23.25">
      <c r="B3" s="1236" t="s">
        <v>828</v>
      </c>
      <c r="D3" s="1239">
        <v>0</v>
      </c>
    </row>
    <row r="6" spans="1:33" s="1478" customFormat="1" ht="12">
      <c r="B6" s="1479" t="s">
        <v>884</v>
      </c>
      <c r="C6" s="1480"/>
      <c r="D6" s="1479"/>
      <c r="E6" s="1479"/>
      <c r="F6" s="1480"/>
      <c r="G6" s="1480"/>
      <c r="H6" s="1480"/>
      <c r="I6" s="1480"/>
      <c r="J6" s="1480"/>
      <c r="K6" s="1480"/>
      <c r="L6" s="1480"/>
      <c r="M6" s="1480"/>
      <c r="O6" s="1481"/>
      <c r="P6" s="1481"/>
      <c r="Q6" s="1481"/>
      <c r="R6" s="1480"/>
      <c r="S6" s="1480"/>
      <c r="T6" s="1480"/>
      <c r="U6" s="1480"/>
      <c r="V6" s="1480"/>
      <c r="W6" s="1480"/>
      <c r="X6" s="1480"/>
      <c r="Y6" s="1480"/>
      <c r="Z6" s="1480"/>
      <c r="AA6" s="1480"/>
      <c r="AB6" s="1480"/>
      <c r="AC6" s="1480"/>
      <c r="AD6" s="1480"/>
      <c r="AE6" s="1480"/>
      <c r="AF6" s="1480"/>
      <c r="AG6" s="1480"/>
    </row>
    <row r="7" spans="1:33" s="1478" customFormat="1" ht="16.149999999999999" customHeight="1" thickBot="1">
      <c r="G7" s="1482"/>
      <c r="L7" s="1482"/>
      <c r="Q7" s="1482"/>
      <c r="V7" s="1482"/>
      <c r="AG7" s="1482"/>
    </row>
    <row r="8" spans="1:33" s="1478" customFormat="1" ht="12">
      <c r="B8" s="1483" t="s">
        <v>172</v>
      </c>
      <c r="C8" s="1484" t="s">
        <v>173</v>
      </c>
      <c r="D8" s="1484" t="s">
        <v>174</v>
      </c>
      <c r="E8" s="1484" t="s">
        <v>259</v>
      </c>
      <c r="F8" s="1484" t="s">
        <v>175</v>
      </c>
      <c r="G8" s="1484" t="s">
        <v>176</v>
      </c>
      <c r="H8" s="1484" t="s">
        <v>177</v>
      </c>
      <c r="I8" s="1484" t="s">
        <v>178</v>
      </c>
      <c r="J8" s="1484" t="s">
        <v>179</v>
      </c>
      <c r="K8" s="1484" t="s">
        <v>180</v>
      </c>
      <c r="L8" s="1484" t="s">
        <v>181</v>
      </c>
      <c r="M8" s="1484" t="s">
        <v>182</v>
      </c>
      <c r="N8" s="1484" t="s">
        <v>183</v>
      </c>
      <c r="O8" s="1484" t="s">
        <v>184</v>
      </c>
      <c r="P8" s="1484" t="s">
        <v>185</v>
      </c>
      <c r="Q8" s="1484" t="s">
        <v>186</v>
      </c>
      <c r="R8" s="1484" t="s">
        <v>187</v>
      </c>
      <c r="S8" s="1484" t="s">
        <v>188</v>
      </c>
      <c r="T8" s="1484" t="s">
        <v>189</v>
      </c>
      <c r="U8" s="1484" t="s">
        <v>190</v>
      </c>
      <c r="V8" s="1484" t="s">
        <v>191</v>
      </c>
      <c r="W8" s="1484" t="s">
        <v>192</v>
      </c>
      <c r="X8" s="1484" t="s">
        <v>193</v>
      </c>
      <c r="Y8" s="1484" t="s">
        <v>194</v>
      </c>
      <c r="Z8" s="1484" t="s">
        <v>195</v>
      </c>
      <c r="AA8" s="1484" t="s">
        <v>196</v>
      </c>
      <c r="AB8" s="1484" t="s">
        <v>197</v>
      </c>
      <c r="AC8" s="1484" t="s">
        <v>198</v>
      </c>
      <c r="AD8" s="1484" t="s">
        <v>199</v>
      </c>
      <c r="AE8" s="1484" t="s">
        <v>200</v>
      </c>
      <c r="AF8" s="1484" t="s">
        <v>201</v>
      </c>
      <c r="AG8" s="1485" t="s">
        <v>0</v>
      </c>
    </row>
    <row r="9" spans="1:33" s="1480" customFormat="1" ht="12">
      <c r="B9" s="1486" t="s">
        <v>202</v>
      </c>
      <c r="C9" s="1487">
        <f>SUM(C10:C12)</f>
        <v>2302818.334183454</v>
      </c>
      <c r="D9" s="1487">
        <f t="shared" ref="D9:K9" si="0">SUM(D10:D12)</f>
        <v>2589085.4613156808</v>
      </c>
      <c r="E9" s="1487">
        <f t="shared" si="0"/>
        <v>2818858.1047381544</v>
      </c>
      <c r="F9" s="1487">
        <f t="shared" si="0"/>
        <v>2920406.9946195232</v>
      </c>
      <c r="G9" s="1487">
        <f t="shared" si="0"/>
        <v>2997193.0318223308</v>
      </c>
      <c r="H9" s="1488">
        <f>'COMB A'!C14</f>
        <v>3282769.4842375312</v>
      </c>
      <c r="I9" s="1488">
        <f>'COMB A'!D14</f>
        <v>3304634.8278828482</v>
      </c>
      <c r="J9" s="1487">
        <f t="shared" si="0"/>
        <v>4008029.4952593418</v>
      </c>
      <c r="K9" s="1488">
        <f t="shared" si="0"/>
        <v>4029946.4550725189</v>
      </c>
      <c r="L9" s="1488">
        <f t="shared" ref="L9:AF9" si="1">SUM(L10:L12)</f>
        <v>4158461.5901507465</v>
      </c>
      <c r="M9" s="1488">
        <f t="shared" si="1"/>
        <v>4208583.3644247558</v>
      </c>
      <c r="N9" s="1488">
        <f t="shared" si="1"/>
        <v>4443383.742262953</v>
      </c>
      <c r="O9" s="1488">
        <f t="shared" si="1"/>
        <v>4710675.5742718698</v>
      </c>
      <c r="P9" s="1488">
        <f t="shared" si="1"/>
        <v>4725109.0121313892</v>
      </c>
      <c r="Q9" s="1488">
        <f t="shared" si="1"/>
        <v>4975712.9599909084</v>
      </c>
      <c r="R9" s="1488">
        <f t="shared" si="1"/>
        <v>5001919.496362133</v>
      </c>
      <c r="S9" s="1488">
        <f t="shared" si="1"/>
        <v>4791115.0812450647</v>
      </c>
      <c r="T9" s="1488">
        <f t="shared" si="1"/>
        <v>4750209.8961279979</v>
      </c>
      <c r="U9" s="1488">
        <f t="shared" si="1"/>
        <v>4755798.7110109283</v>
      </c>
      <c r="V9" s="1488">
        <f t="shared" si="1"/>
        <v>4761363.1444055689</v>
      </c>
      <c r="W9" s="1488">
        <f t="shared" si="1"/>
        <v>4767510.8407767965</v>
      </c>
      <c r="X9" s="1488">
        <f t="shared" si="1"/>
        <v>4774193.0271480195</v>
      </c>
      <c r="Y9" s="1488">
        <f t="shared" si="1"/>
        <v>4778664.0790543668</v>
      </c>
      <c r="Z9" s="1488">
        <f t="shared" si="1"/>
        <v>4783669.6209607115</v>
      </c>
      <c r="AA9" s="1488">
        <f t="shared" si="1"/>
        <v>4788140.6728670578</v>
      </c>
      <c r="AB9" s="1488">
        <f t="shared" si="1"/>
        <v>4794263.9777499912</v>
      </c>
      <c r="AC9" s="1488">
        <f t="shared" si="1"/>
        <v>4800387.2826329218</v>
      </c>
      <c r="AD9" s="1488">
        <f t="shared" si="1"/>
        <v>4805951.7060275609</v>
      </c>
      <c r="AE9" s="1488">
        <f t="shared" si="1"/>
        <v>4811540.520910494</v>
      </c>
      <c r="AF9" s="1488">
        <f t="shared" si="1"/>
        <v>4815987.1813285472</v>
      </c>
      <c r="AG9" s="1489">
        <f t="shared" ref="AG9:AG17" si="2">SUM(C9:AF9)</f>
        <v>127456383.67097218</v>
      </c>
    </row>
    <row r="10" spans="1:33" s="1478" customFormat="1" ht="12">
      <c r="B10" s="1490" t="s">
        <v>203</v>
      </c>
      <c r="C10" s="1491">
        <f>'R1 DRE'!C5</f>
        <v>1523597.081238748</v>
      </c>
      <c r="D10" s="1491">
        <f>'R1 DRE'!D5</f>
        <v>1700315.1510136535</v>
      </c>
      <c r="E10" s="1491">
        <f>'R1 DRE'!E5</f>
        <v>1854061.9660526102</v>
      </c>
      <c r="F10" s="1491">
        <f>'R1 DRE'!F5</f>
        <v>1912815.2651806301</v>
      </c>
      <c r="G10" s="1491">
        <f>'R1 DRE'!G5</f>
        <v>1980000</v>
      </c>
      <c r="H10" s="1491"/>
      <c r="I10" s="1491"/>
      <c r="J10" s="1491">
        <f>'R1 DRE'!J5</f>
        <v>2245693.2442389107</v>
      </c>
      <c r="K10" s="1492">
        <f>(1+$D$3)*('R1 DRE'!K5+'COMB A'!F7)</f>
        <v>2239078.0618390017</v>
      </c>
      <c r="L10" s="1492">
        <f>(1+$D$3)*('R1 DRE'!L5+'COMB A'!G7)</f>
        <v>2265766.1329661855</v>
      </c>
      <c r="M10" s="1492">
        <f>(1+$D$3)*('R1 DRE'!M5+'COMB A'!H7)</f>
        <v>2268315.6771795149</v>
      </c>
      <c r="N10" s="1492">
        <f>(1+$D$3)*('R1 DRE'!N5+'COMB A'!I7)</f>
        <v>2272695.5243904921</v>
      </c>
      <c r="O10" s="1492">
        <f>(1+$D$3)*('R1 DRE'!O5+'COMB A'!J7)</f>
        <v>2272214.8067805548</v>
      </c>
      <c r="P10" s="1492">
        <f>(1+$D$3)*('R1 DRE'!P5+'COMB A'!K7)</f>
        <v>2275421.4960524002</v>
      </c>
      <c r="Q10" s="1492">
        <f>(1+$D$3)*('R1 DRE'!Q5+'COMB A'!L7)</f>
        <v>2279162.6753242463</v>
      </c>
      <c r="R10" s="1492">
        <f>(1+$D$3)*('R1 DRE'!R5+'COMB A'!M7)</f>
        <v>2282102.140490104</v>
      </c>
      <c r="S10" s="1492">
        <f>(1+$D$3)*('R1 DRE'!S5+'COMB A'!N7)</f>
        <v>2285308.8715499756</v>
      </c>
      <c r="T10" s="1492">
        <f>(1+$D$3)*('R1 DRE'!T5+'COMB A'!O7)</f>
        <v>2287981.112609847</v>
      </c>
      <c r="U10" s="1492">
        <f>(1+$D$3)*('R1 DRE'!U5+'COMB A'!P7)</f>
        <v>2290653.3536697174</v>
      </c>
      <c r="V10" s="1492">
        <f>(1+$D$3)*('R1 DRE'!V5+'COMB A'!Q7)</f>
        <v>2293592.8706236025</v>
      </c>
      <c r="W10" s="1492">
        <f>(1+$D$3)*('R1 DRE'!W5+'COMB A'!R7)</f>
        <v>2296532.3357894616</v>
      </c>
      <c r="X10" s="1492">
        <f>(1+$D$3)*('R1 DRE'!X5+'COMB A'!S7)</f>
        <v>2300006.2909553186</v>
      </c>
      <c r="Y10" s="1492">
        <f>(1+$D$3)*('R1 DRE'!Y5+'COMB A'!T7)</f>
        <v>2302144.083803216</v>
      </c>
      <c r="Z10" s="1492">
        <f>(1+$D$3)*('R1 DRE'!Z5+'COMB A'!U7)</f>
        <v>2304816.3666511136</v>
      </c>
      <c r="AA10" s="1492">
        <f>(1+$D$3)*('R1 DRE'!AA5+'COMB A'!V7)</f>
        <v>2306954.1594990105</v>
      </c>
      <c r="AB10" s="1492">
        <f>(1+$D$3)*('R1 DRE'!AB5+'COMB A'!W7)</f>
        <v>2310160.8905588817</v>
      </c>
      <c r="AC10" s="1492">
        <f>(1+$D$3)*('R1 DRE'!AC5+'COMB A'!X7)</f>
        <v>2313367.6216187528</v>
      </c>
      <c r="AD10" s="1492">
        <f>(1+$D$3)*('R1 DRE'!AD5+'COMB A'!Y7)</f>
        <v>2316307.1285726367</v>
      </c>
      <c r="AE10" s="1492">
        <f>(1+$D$3)*('R1 DRE'!AE5+'COMB A'!Z7)</f>
        <v>2318979.3696325081</v>
      </c>
      <c r="AF10" s="1492">
        <f>(1+$D$3)*('R1 DRE'!AF5+'COMB A'!AA7)</f>
        <v>2321384.4283744185</v>
      </c>
      <c r="AG10" s="1489">
        <f t="shared" si="2"/>
        <v>61619428.106655508</v>
      </c>
    </row>
    <row r="11" spans="1:33" s="1478" customFormat="1" ht="12">
      <c r="B11" s="1490" t="s">
        <v>204</v>
      </c>
      <c r="C11" s="1491">
        <f>'R1 DRE'!C6</f>
        <v>755927.22474067716</v>
      </c>
      <c r="D11" s="1491">
        <f>'R1 DRE'!D6</f>
        <v>864024.61729416624</v>
      </c>
      <c r="E11" s="1491">
        <f>'R1 DRE'!E6</f>
        <v>921110.0796396106</v>
      </c>
      <c r="F11" s="1491">
        <f>'R1 DRE'!F6</f>
        <v>945261.79093005392</v>
      </c>
      <c r="G11" s="1491">
        <f>'R1 DRE'!G6</f>
        <v>987517.85328943643</v>
      </c>
      <c r="H11" s="1491"/>
      <c r="I11" s="1491"/>
      <c r="J11" s="1491">
        <f>'R1 DRE'!J6</f>
        <v>1722652.7906713283</v>
      </c>
      <c r="K11" s="1492">
        <f>(1+$D$3)*('R1 DRE'!K6+'COMB A'!F10)</f>
        <v>1750534.7303120072</v>
      </c>
      <c r="L11" s="1492">
        <f>(1+$D$3)*('R1 DRE'!L6+'COMB A'!G10)</f>
        <v>1851422.873717722</v>
      </c>
      <c r="M11" s="1492">
        <f>(1+$D$3)*('R1 DRE'!M6+'COMB A'!H10)</f>
        <v>1897049.8671024216</v>
      </c>
      <c r="N11" s="1492">
        <f>(1+$D$3)*('R1 DRE'!N6+'COMB A'!I10)</f>
        <v>2124518.9089391641</v>
      </c>
      <c r="O11" s="1492">
        <f>(1+$D$3)*('R1 DRE'!O6+'COMB A'!J10)</f>
        <v>2392267.2757658511</v>
      </c>
      <c r="P11" s="1492">
        <f>(1+$D$3)*('R1 DRE'!P6+'COMB A'!K10)</f>
        <v>2403427.6225925391</v>
      </c>
      <c r="Q11" s="1492">
        <f>(1+$D$3)*('R1 DRE'!Q6+'COMB A'!L10)</f>
        <v>2650223.9894192279</v>
      </c>
      <c r="R11" s="1492">
        <f>(1+$D$3)*('R1 DRE'!R6+'COMB A'!M10)</f>
        <v>2673430.1923436909</v>
      </c>
      <c r="S11" s="1492">
        <f>(1+$D$3)*('R1 DRE'!S6+'COMB A'!N10)</f>
        <v>2459363.7113659307</v>
      </c>
      <c r="T11" s="1492">
        <f>(1+$D$3)*('R1 DRE'!T6+'COMB A'!O10)</f>
        <v>2415730.9503881703</v>
      </c>
      <c r="U11" s="1492">
        <f>(1+$D$3)*('R1 DRE'!U6+'COMB A'!P10)</f>
        <v>2418592.1894104099</v>
      </c>
      <c r="V11" s="1492">
        <f>(1+$D$3)*('R1 DRE'!V6+'COMB A'!Q10)</f>
        <v>2421167.3045304264</v>
      </c>
      <c r="W11" s="1492">
        <f>(1+$D$3)*('R1 DRE'!W6+'COMB A'!R10)</f>
        <v>2424314.6674548909</v>
      </c>
      <c r="X11" s="1492">
        <f>(1+$D$3)*('R1 DRE'!X6+'COMB A'!S10)</f>
        <v>2427462.0303793545</v>
      </c>
      <c r="Y11" s="1492">
        <f>(1+$D$3)*('R1 DRE'!Y6+'COMB A'!T10)</f>
        <v>2429751.0215971465</v>
      </c>
      <c r="Z11" s="1492">
        <f>(1+$D$3)*('R1 DRE'!Z6+'COMB A'!U10)</f>
        <v>2432040.0128149381</v>
      </c>
      <c r="AA11" s="1492">
        <f>(1+$D$3)*('R1 DRE'!AA6+'COMB A'!V10)</f>
        <v>2434329.0040327297</v>
      </c>
      <c r="AB11" s="1492">
        <f>(1+$D$3)*('R1 DRE'!AB6+'COMB A'!W10)</f>
        <v>2437190.2430549706</v>
      </c>
      <c r="AC11" s="1492">
        <f>(1+$D$3)*('R1 DRE'!AC6+'COMB A'!X10)</f>
        <v>2440051.4820772093</v>
      </c>
      <c r="AD11" s="1492">
        <f>(1+$D$3)*('R1 DRE'!AD6+'COMB A'!Y10)</f>
        <v>2442626.5971972253</v>
      </c>
      <c r="AE11" s="1492">
        <f>(1+$D$3)*('R1 DRE'!AE6+'COMB A'!Z10)</f>
        <v>2445487.8362194658</v>
      </c>
      <c r="AF11" s="1492">
        <f>(1+$D$3)*('R1 DRE'!AF6+'COMB A'!AA10)</f>
        <v>2447490.7035350339</v>
      </c>
      <c r="AG11" s="1489">
        <f t="shared" si="2"/>
        <v>58014967.570815809</v>
      </c>
    </row>
    <row r="12" spans="1:33" s="1478" customFormat="1" ht="12">
      <c r="B12" s="1490" t="s">
        <v>205</v>
      </c>
      <c r="C12" s="1491">
        <f>'R1 DRE'!C7</f>
        <v>23294.028204029146</v>
      </c>
      <c r="D12" s="1491">
        <f>'R1 DRE'!D7</f>
        <v>24745.693007860991</v>
      </c>
      <c r="E12" s="1491">
        <f>'R1 DRE'!E7</f>
        <v>43686.059045933551</v>
      </c>
      <c r="F12" s="1491">
        <f>'R1 DRE'!F7</f>
        <v>62329.938508839361</v>
      </c>
      <c r="G12" s="1491">
        <f>'R1 DRE'!G7</f>
        <v>29675.178532894366</v>
      </c>
      <c r="H12" s="1491"/>
      <c r="I12" s="1491"/>
      <c r="J12" s="1491">
        <f>'R1 DRE'!J7</f>
        <v>39683.460349102395</v>
      </c>
      <c r="K12" s="1492">
        <f>(1+$D$3)*'R1 DRE'!K7</f>
        <v>40333.662921510091</v>
      </c>
      <c r="L12" s="1492">
        <f>(1+$D$3)*'R1 DRE'!L7</f>
        <v>41272.583466839074</v>
      </c>
      <c r="M12" s="1492">
        <f>(1+$D$3)*'R1 DRE'!M7</f>
        <v>43217.820142819364</v>
      </c>
      <c r="N12" s="1492">
        <f>(1+$D$3)*'R1 DRE'!N7</f>
        <v>46169.308933296561</v>
      </c>
      <c r="O12" s="1492">
        <f>(1+$D$3)*'R1 DRE'!O7</f>
        <v>46193.491725464053</v>
      </c>
      <c r="P12" s="1492">
        <f>(1+$D$3)*'R1 DRE'!P7</f>
        <v>46259.893486449393</v>
      </c>
      <c r="Q12" s="1492">
        <f>(1+$D$3)*'R1 DRE'!Q7</f>
        <v>46326.29524743474</v>
      </c>
      <c r="R12" s="1492">
        <f>(1+$D$3)*'R1 DRE'!R7</f>
        <v>46387.163528337944</v>
      </c>
      <c r="S12" s="1492">
        <f>(1+$D$3)*'R1 DRE'!S7</f>
        <v>46442.498329159062</v>
      </c>
      <c r="T12" s="1492">
        <f>(1+$D$3)*'R1 DRE'!T7</f>
        <v>46497.833129980172</v>
      </c>
      <c r="U12" s="1492">
        <f>(1+$D$3)*'R1 DRE'!U7</f>
        <v>46553.167930801268</v>
      </c>
      <c r="V12" s="1492">
        <f>(1+$D$3)*'R1 DRE'!V7</f>
        <v>46602.969251540286</v>
      </c>
      <c r="W12" s="1492">
        <f>(1+$D$3)*'R1 DRE'!W7</f>
        <v>46663.837532443526</v>
      </c>
      <c r="X12" s="1492">
        <f>(1+$D$3)*'R1 DRE'!X7</f>
        <v>46724.705813346729</v>
      </c>
      <c r="Y12" s="1492">
        <f>(1+$D$3)*'R1 DRE'!Y7</f>
        <v>46768.973654003632</v>
      </c>
      <c r="Z12" s="1492">
        <f>(1+$D$3)*'R1 DRE'!Z7</f>
        <v>46813.24149466052</v>
      </c>
      <c r="AA12" s="1492">
        <f>(1+$D$3)*'R1 DRE'!AA7</f>
        <v>46857.509335317409</v>
      </c>
      <c r="AB12" s="1492">
        <f>(1+$D$3)*'R1 DRE'!AB7</f>
        <v>46912.844136138519</v>
      </c>
      <c r="AC12" s="1492">
        <f>(1+$D$3)*'R1 DRE'!AC7</f>
        <v>46968.178936959615</v>
      </c>
      <c r="AD12" s="1492">
        <f>(1+$D$3)*'R1 DRE'!AD7</f>
        <v>47017.980257698626</v>
      </c>
      <c r="AE12" s="1492">
        <f>(1+$D$3)*'R1 DRE'!AE7</f>
        <v>47073.315058519751</v>
      </c>
      <c r="AF12" s="1492">
        <f>(1+$D$3)*'R1 DRE'!AF7</f>
        <v>47112.049419094532</v>
      </c>
      <c r="AG12" s="1489">
        <f t="shared" si="2"/>
        <v>1234583.6813804747</v>
      </c>
    </row>
    <row r="13" spans="1:33" s="1480" customFormat="1" ht="12">
      <c r="B13" s="1486" t="s">
        <v>206</v>
      </c>
      <c r="C13" s="1487">
        <f>-SUM(C14:C15)</f>
        <v>-179421.96504071998</v>
      </c>
      <c r="D13" s="1487">
        <f t="shared" ref="D13:AF13" si="3">-SUM(D14:D15)</f>
        <v>-234617.19486967311</v>
      </c>
      <c r="E13" s="1487">
        <f t="shared" si="3"/>
        <v>-255067.11447188459</v>
      </c>
      <c r="F13" s="1487">
        <f t="shared" si="3"/>
        <v>-266470.53804765607</v>
      </c>
      <c r="G13" s="1487">
        <f t="shared" si="3"/>
        <v>-277240.35544356558</v>
      </c>
      <c r="H13" s="1487">
        <f t="shared" si="3"/>
        <v>-303656.17729197163</v>
      </c>
      <c r="I13" s="1487">
        <f t="shared" si="3"/>
        <v>-305678.72157916345</v>
      </c>
      <c r="J13" s="1487">
        <f t="shared" si="3"/>
        <v>-370742.7283114891</v>
      </c>
      <c r="K13" s="1487">
        <f t="shared" si="3"/>
        <v>-372770.04709420801</v>
      </c>
      <c r="L13" s="1487">
        <f t="shared" si="3"/>
        <v>-384657.69708894403</v>
      </c>
      <c r="M13" s="1487">
        <f t="shared" si="3"/>
        <v>-389293.96120928996</v>
      </c>
      <c r="N13" s="1487">
        <f t="shared" si="3"/>
        <v>-411012.99615932314</v>
      </c>
      <c r="O13" s="1487">
        <f t="shared" si="3"/>
        <v>-435737.49062014796</v>
      </c>
      <c r="P13" s="1487">
        <f t="shared" si="3"/>
        <v>-437072.5836221535</v>
      </c>
      <c r="Q13" s="1487">
        <f t="shared" si="3"/>
        <v>-460253.44879915903</v>
      </c>
      <c r="R13" s="1487">
        <f t="shared" si="3"/>
        <v>-462677.55341349728</v>
      </c>
      <c r="S13" s="1487">
        <f t="shared" si="3"/>
        <v>-443178.14501516847</v>
      </c>
      <c r="T13" s="1487">
        <f t="shared" si="3"/>
        <v>-439394.41539183981</v>
      </c>
      <c r="U13" s="1487">
        <f t="shared" si="3"/>
        <v>-439911.38076851086</v>
      </c>
      <c r="V13" s="1487">
        <f t="shared" si="3"/>
        <v>-440426.09085751511</v>
      </c>
      <c r="W13" s="1487">
        <f t="shared" si="3"/>
        <v>-440994.75277185364</v>
      </c>
      <c r="X13" s="1487">
        <f t="shared" si="3"/>
        <v>-441612.8550111918</v>
      </c>
      <c r="Y13" s="1487">
        <f t="shared" si="3"/>
        <v>-442026.42731252895</v>
      </c>
      <c r="Z13" s="1487">
        <f t="shared" si="3"/>
        <v>-442489.43993886578</v>
      </c>
      <c r="AA13" s="1487">
        <f t="shared" si="3"/>
        <v>-442903.01224020286</v>
      </c>
      <c r="AB13" s="1487">
        <f t="shared" si="3"/>
        <v>-443469.41794187413</v>
      </c>
      <c r="AC13" s="1487">
        <f t="shared" si="3"/>
        <v>-444035.82364354527</v>
      </c>
      <c r="AD13" s="1487">
        <f t="shared" si="3"/>
        <v>-444550.53280754935</v>
      </c>
      <c r="AE13" s="1487">
        <f t="shared" si="3"/>
        <v>-445067.49818422069</v>
      </c>
      <c r="AF13" s="1487">
        <f t="shared" si="3"/>
        <v>-445478.81427289062</v>
      </c>
      <c r="AG13" s="1489">
        <f t="shared" si="2"/>
        <v>-11741909.179220604</v>
      </c>
    </row>
    <row r="14" spans="1:33" s="1478" customFormat="1" ht="12">
      <c r="B14" s="1490" t="s">
        <v>207</v>
      </c>
      <c r="C14" s="1491">
        <v>147448.94630089999</v>
      </c>
      <c r="D14" s="1491">
        <v>192742.64791063301</v>
      </c>
      <c r="E14" s="1491">
        <v>209568.66704207199</v>
      </c>
      <c r="F14" s="1491">
        <v>218937.955418909</v>
      </c>
      <c r="G14" s="1491">
        <f t="shared" ref="G14:AF14" si="4">0.076*G9</f>
        <v>227786.67041849715</v>
      </c>
      <c r="H14" s="1491">
        <f t="shared" si="4"/>
        <v>249490.48080205236</v>
      </c>
      <c r="I14" s="1491">
        <f t="shared" si="4"/>
        <v>251152.24691909645</v>
      </c>
      <c r="J14" s="1491">
        <f t="shared" si="4"/>
        <v>304610.24163970997</v>
      </c>
      <c r="K14" s="1491">
        <f t="shared" si="4"/>
        <v>306275.93058551144</v>
      </c>
      <c r="L14" s="1491">
        <f t="shared" si="4"/>
        <v>316043.08085145673</v>
      </c>
      <c r="M14" s="1491">
        <f t="shared" si="4"/>
        <v>319852.33569628146</v>
      </c>
      <c r="N14" s="1491">
        <f t="shared" si="4"/>
        <v>337697.16441198444</v>
      </c>
      <c r="O14" s="1491">
        <f t="shared" si="4"/>
        <v>358011.34364466212</v>
      </c>
      <c r="P14" s="1491">
        <f t="shared" si="4"/>
        <v>359108.28492198559</v>
      </c>
      <c r="Q14" s="1491">
        <f t="shared" si="4"/>
        <v>378154.184959309</v>
      </c>
      <c r="R14" s="1491">
        <f t="shared" si="4"/>
        <v>380145.88172352209</v>
      </c>
      <c r="S14" s="1491">
        <f t="shared" si="4"/>
        <v>364124.74617462489</v>
      </c>
      <c r="T14" s="1491">
        <f t="shared" si="4"/>
        <v>361015.9521057278</v>
      </c>
      <c r="U14" s="1491">
        <f t="shared" si="4"/>
        <v>361440.70203683054</v>
      </c>
      <c r="V14" s="1491">
        <f t="shared" si="4"/>
        <v>361863.59897482325</v>
      </c>
      <c r="W14" s="1491">
        <f t="shared" si="4"/>
        <v>362330.82389903651</v>
      </c>
      <c r="X14" s="1491">
        <f t="shared" si="4"/>
        <v>362838.67006324948</v>
      </c>
      <c r="Y14" s="1491">
        <f t="shared" si="4"/>
        <v>363178.47000813187</v>
      </c>
      <c r="Z14" s="1491">
        <f t="shared" si="4"/>
        <v>363558.89119301405</v>
      </c>
      <c r="AA14" s="1491">
        <f t="shared" si="4"/>
        <v>363898.69113789639</v>
      </c>
      <c r="AB14" s="1491">
        <f t="shared" si="4"/>
        <v>364364.0623089993</v>
      </c>
      <c r="AC14" s="1491">
        <f t="shared" si="4"/>
        <v>364829.43348010204</v>
      </c>
      <c r="AD14" s="1491">
        <f t="shared" si="4"/>
        <v>365252.32965809462</v>
      </c>
      <c r="AE14" s="1491">
        <f t="shared" si="4"/>
        <v>365677.07958919753</v>
      </c>
      <c r="AF14" s="1491">
        <f t="shared" si="4"/>
        <v>366015.02578096959</v>
      </c>
      <c r="AG14" s="1489">
        <f t="shared" si="2"/>
        <v>9647414.5396572817</v>
      </c>
    </row>
    <row r="15" spans="1:33" s="1478" customFormat="1" ht="12">
      <c r="B15" s="1490" t="s">
        <v>208</v>
      </c>
      <c r="C15" s="1491">
        <v>31973.01873982</v>
      </c>
      <c r="D15" s="1491">
        <v>41874.546959040097</v>
      </c>
      <c r="E15" s="1491">
        <v>45498.447429812601</v>
      </c>
      <c r="F15" s="1491">
        <v>47532.582628747099</v>
      </c>
      <c r="G15" s="1491">
        <f t="shared" ref="G15:AF15" si="5">0.0165*G9</f>
        <v>49453.685025068458</v>
      </c>
      <c r="H15" s="1491">
        <f t="shared" si="5"/>
        <v>54165.696489919268</v>
      </c>
      <c r="I15" s="1491">
        <f t="shared" si="5"/>
        <v>54526.474660066997</v>
      </c>
      <c r="J15" s="1491">
        <f t="shared" si="5"/>
        <v>66132.486671779145</v>
      </c>
      <c r="K15" s="1491">
        <f t="shared" si="5"/>
        <v>66494.116508696563</v>
      </c>
      <c r="L15" s="1491">
        <f t="shared" si="5"/>
        <v>68614.616237487324</v>
      </c>
      <c r="M15" s="1491">
        <f t="shared" si="5"/>
        <v>69441.625513008476</v>
      </c>
      <c r="N15" s="1491">
        <f t="shared" si="5"/>
        <v>73315.831747338729</v>
      </c>
      <c r="O15" s="1491">
        <f t="shared" si="5"/>
        <v>77726.146975485855</v>
      </c>
      <c r="P15" s="1491">
        <f t="shared" si="5"/>
        <v>77964.298700167928</v>
      </c>
      <c r="Q15" s="1491">
        <f t="shared" si="5"/>
        <v>82099.263839849998</v>
      </c>
      <c r="R15" s="1491">
        <f t="shared" si="5"/>
        <v>82531.671689975192</v>
      </c>
      <c r="S15" s="1491">
        <f t="shared" si="5"/>
        <v>79053.398840543567</v>
      </c>
      <c r="T15" s="1491">
        <f t="shared" si="5"/>
        <v>78378.463286111975</v>
      </c>
      <c r="U15" s="1491">
        <f t="shared" si="5"/>
        <v>78470.678731680324</v>
      </c>
      <c r="V15" s="1491">
        <f t="shared" si="5"/>
        <v>78562.491882691887</v>
      </c>
      <c r="W15" s="1491">
        <f t="shared" si="5"/>
        <v>78663.928872817152</v>
      </c>
      <c r="X15" s="1491">
        <f t="shared" si="5"/>
        <v>78774.184947942325</v>
      </c>
      <c r="Y15" s="1491">
        <f t="shared" si="5"/>
        <v>78847.957304397059</v>
      </c>
      <c r="Z15" s="1491">
        <f t="shared" si="5"/>
        <v>78930.548745851745</v>
      </c>
      <c r="AA15" s="1491">
        <f t="shared" si="5"/>
        <v>79004.321102306465</v>
      </c>
      <c r="AB15" s="1491">
        <f t="shared" si="5"/>
        <v>79105.355632874853</v>
      </c>
      <c r="AC15" s="1491">
        <f t="shared" si="5"/>
        <v>79206.390163443211</v>
      </c>
      <c r="AD15" s="1491">
        <f t="shared" si="5"/>
        <v>79298.203149454755</v>
      </c>
      <c r="AE15" s="1491">
        <f t="shared" si="5"/>
        <v>79390.418595023162</v>
      </c>
      <c r="AF15" s="1491">
        <f t="shared" si="5"/>
        <v>79463.788491921034</v>
      </c>
      <c r="AG15" s="1489">
        <f t="shared" si="2"/>
        <v>2094494.6395633235</v>
      </c>
    </row>
    <row r="16" spans="1:33" s="1480" customFormat="1" ht="12">
      <c r="A16" s="1478"/>
      <c r="B16" s="1486" t="s">
        <v>209</v>
      </c>
      <c r="C16" s="1487">
        <v>-240325.14992063027</v>
      </c>
      <c r="D16" s="1487">
        <v>-5731.8357714316808</v>
      </c>
      <c r="E16" s="1487">
        <v>44055.680904777721</v>
      </c>
      <c r="F16" s="1487">
        <v>19240.19274912728</v>
      </c>
      <c r="G16" s="1487">
        <f>-('15 R1 ARREC'!F9-'15 R1 ARREC'!F8)</f>
        <v>24596.90771402698</v>
      </c>
      <c r="H16" s="1487">
        <f>-('15 R1 ARREC'!F10-'15 R1 ARREC'!F9)</f>
        <v>14808.40985695133</v>
      </c>
      <c r="I16" s="1487">
        <f>-('15 R1 ARREC'!F11-'15 R1 ARREC'!F10)</f>
        <v>-20393.922206970863</v>
      </c>
      <c r="J16" s="1487">
        <f>-('15 R1 ARREC'!F12-'15 R1 ARREC'!F11)</f>
        <v>-14984.380503607448</v>
      </c>
      <c r="K16" s="1487">
        <f>-('15 R1 ARREC'!F13-'15 R1 ARREC'!F12)</f>
        <v>-3283.5229906593449</v>
      </c>
      <c r="L16" s="1487">
        <f>-('15 R1 ARREC'!F14-'15 R1 ARREC'!F13)</f>
        <v>-4741.5487539111637</v>
      </c>
      <c r="M16" s="1487">
        <f>-('15 R1 ARREC'!F15-'15 R1 ARREC'!F14)</f>
        <v>-9823.4452137006447</v>
      </c>
      <c r="N16" s="1487">
        <f>-('15 R1 ARREC'!F16-'15 R1 ARREC'!F15)</f>
        <v>-14905.018391910009</v>
      </c>
      <c r="O16" s="1487">
        <f>-('15 R1 ARREC'!F17-'15 R1 ARREC'!F16)</f>
        <v>-122.12310044560581</v>
      </c>
      <c r="P16" s="1487">
        <f>-('15 R1 ARREC'!F18-'15 R1 ARREC'!F17)</f>
        <v>-335.32889297604561</v>
      </c>
      <c r="Q16" s="1487">
        <f>-('15 R1 ARREC'!F19-'15 R1 ARREC'!F18)</f>
        <v>-335.32889297604561</v>
      </c>
      <c r="R16" s="1487">
        <f>-('15 R1 ARREC'!F20-'15 R1 ARREC'!F19)</f>
        <v>-307.38481856044382</v>
      </c>
      <c r="S16" s="1487">
        <f>-('15 R1 ARREC'!F21-'15 R1 ARREC'!F20)</f>
        <v>-279.44074414670467</v>
      </c>
      <c r="T16" s="1487">
        <f>-('15 R1 ARREC'!F22-'15 R1 ARREC'!F21)</f>
        <v>-279.44074414670467</v>
      </c>
      <c r="U16" s="1487">
        <f>-('15 R1 ARREC'!F23-'15 R1 ARREC'!F22)</f>
        <v>-279.44074414670467</v>
      </c>
      <c r="V16" s="1487">
        <f>-('15 R1 ARREC'!F24-'15 R1 ARREC'!F23)</f>
        <v>-251.49666973203421</v>
      </c>
      <c r="W16" s="1487">
        <f>-('15 R1 ARREC'!F25-'15 R1 ARREC'!F24)</f>
        <v>-307.38481856137514</v>
      </c>
      <c r="X16" s="1487">
        <f>-('15 R1 ARREC'!F26-'15 R1 ARREC'!F25)</f>
        <v>-307.38481856137514</v>
      </c>
      <c r="Y16" s="1487">
        <f>-('15 R1 ARREC'!F27-'15 R1 ARREC'!F26)</f>
        <v>-223.55259531736374</v>
      </c>
      <c r="Z16" s="1487">
        <f>-('15 R1 ARREC'!F28-'15 R1 ARREC'!F27)</f>
        <v>-223.55259531736374</v>
      </c>
      <c r="AA16" s="1487">
        <f>-('15 R1 ARREC'!F29-'15 R1 ARREC'!F28)</f>
        <v>-223.55259531736374</v>
      </c>
      <c r="AB16" s="1487">
        <f>-('15 R1 ARREC'!F30-'15 R1 ARREC'!F29)</f>
        <v>-279.44074414670467</v>
      </c>
      <c r="AC16" s="1487">
        <f>-('15 R1 ARREC'!F31-'15 R1 ARREC'!F30)</f>
        <v>-279.44074414577335</v>
      </c>
      <c r="AD16" s="1487">
        <f>-('15 R1 ARREC'!F32-'15 R1 ARREC'!F31)</f>
        <v>-251.49666973203421</v>
      </c>
      <c r="AE16" s="1487">
        <f>-('15 R1 ARREC'!F33-'15 R1 ARREC'!F32)</f>
        <v>-279.44074414670467</v>
      </c>
      <c r="AF16" s="1487">
        <f>-('15 R1 ARREC'!F34-'15 R1 ARREC'!F33)</f>
        <v>-195.60852090269327</v>
      </c>
      <c r="AG16" s="1489">
        <f t="shared" si="2"/>
        <v>-216248.47198121715</v>
      </c>
    </row>
    <row r="17" spans="1:36" s="1480" customFormat="1" ht="12">
      <c r="B17" s="1486" t="s">
        <v>210</v>
      </c>
      <c r="C17" s="1487">
        <f>C9+C13+C16</f>
        <v>1883071.2192221037</v>
      </c>
      <c r="D17" s="1487">
        <f t="shared" ref="D17:AF17" si="6">D9+D13+D16</f>
        <v>2348736.4306745757</v>
      </c>
      <c r="E17" s="1487">
        <f t="shared" si="6"/>
        <v>2607846.6711710477</v>
      </c>
      <c r="F17" s="1487">
        <f t="shared" si="6"/>
        <v>2673176.6493209945</v>
      </c>
      <c r="G17" s="1487">
        <f t="shared" si="6"/>
        <v>2744549.5840927921</v>
      </c>
      <c r="H17" s="1487">
        <f t="shared" si="6"/>
        <v>2993921.7168025109</v>
      </c>
      <c r="I17" s="1487">
        <f t="shared" si="6"/>
        <v>2978562.184096714</v>
      </c>
      <c r="J17" s="1487">
        <f t="shared" si="6"/>
        <v>3622302.386444245</v>
      </c>
      <c r="K17" s="1487">
        <f t="shared" si="6"/>
        <v>3653892.8849876514</v>
      </c>
      <c r="L17" s="1487">
        <f t="shared" si="6"/>
        <v>3769062.3443078916</v>
      </c>
      <c r="M17" s="1487">
        <f t="shared" si="6"/>
        <v>3809465.9580017654</v>
      </c>
      <c r="N17" s="1487">
        <f t="shared" si="6"/>
        <v>4017465.7277117199</v>
      </c>
      <c r="O17" s="1487">
        <f t="shared" si="6"/>
        <v>4274815.9605512759</v>
      </c>
      <c r="P17" s="1487">
        <f t="shared" si="6"/>
        <v>4287701.0996162593</v>
      </c>
      <c r="Q17" s="1487">
        <f t="shared" si="6"/>
        <v>4515124.182298773</v>
      </c>
      <c r="R17" s="1487">
        <f t="shared" si="6"/>
        <v>4538934.5581300752</v>
      </c>
      <c r="S17" s="1487">
        <f t="shared" si="6"/>
        <v>4347657.4954857491</v>
      </c>
      <c r="T17" s="1487">
        <f t="shared" si="6"/>
        <v>4310536.0399920112</v>
      </c>
      <c r="U17" s="1487">
        <f t="shared" si="6"/>
        <v>4315607.889498271</v>
      </c>
      <c r="V17" s="1487">
        <f t="shared" si="6"/>
        <v>4320685.5568783218</v>
      </c>
      <c r="W17" s="1487">
        <f t="shared" si="6"/>
        <v>4326208.7031863816</v>
      </c>
      <c r="X17" s="1487">
        <f t="shared" si="6"/>
        <v>4332272.787318266</v>
      </c>
      <c r="Y17" s="1487">
        <f t="shared" si="6"/>
        <v>4336414.0991465207</v>
      </c>
      <c r="Z17" s="1487">
        <f t="shared" si="6"/>
        <v>4340956.6284265285</v>
      </c>
      <c r="AA17" s="1487">
        <f t="shared" si="6"/>
        <v>4345014.1080315374</v>
      </c>
      <c r="AB17" s="1487">
        <f t="shared" si="6"/>
        <v>4350515.1190639706</v>
      </c>
      <c r="AC17" s="1487">
        <f t="shared" si="6"/>
        <v>4356072.0182452304</v>
      </c>
      <c r="AD17" s="1487">
        <f t="shared" si="6"/>
        <v>4361149.6765502794</v>
      </c>
      <c r="AE17" s="1487">
        <f t="shared" si="6"/>
        <v>4366193.5819821265</v>
      </c>
      <c r="AF17" s="1487">
        <f t="shared" si="6"/>
        <v>4370312.7585347537</v>
      </c>
      <c r="AG17" s="1489">
        <f t="shared" si="2"/>
        <v>115498226.01977035</v>
      </c>
    </row>
    <row r="18" spans="1:36" s="1480" customFormat="1" ht="12">
      <c r="B18" s="1486" t="s">
        <v>211</v>
      </c>
      <c r="C18" s="1487">
        <f>C19+C20</f>
        <v>-462068.86326204147</v>
      </c>
      <c r="D18" s="1487">
        <f t="shared" ref="D18:G18" si="7">D19+D20</f>
        <v>-369565.70052795502</v>
      </c>
      <c r="E18" s="1487">
        <f t="shared" si="7"/>
        <v>-372990.80023137957</v>
      </c>
      <c r="F18" s="1487">
        <f t="shared" si="7"/>
        <v>-365825.26800000004</v>
      </c>
      <c r="G18" s="1488">
        <f t="shared" si="7"/>
        <v>-364530.62316929037</v>
      </c>
      <c r="H18" s="1488">
        <f t="shared" ref="H18:AF18" si="8">H19+H20</f>
        <v>-386664.99739602057</v>
      </c>
      <c r="I18" s="1488">
        <f t="shared" si="8"/>
        <v>-368051.52738592168</v>
      </c>
      <c r="J18" s="1488">
        <f t="shared" si="8"/>
        <v>-369563.79094887548</v>
      </c>
      <c r="K18" s="1488">
        <f t="shared" si="8"/>
        <v>-367951.56257447001</v>
      </c>
      <c r="L18" s="1488">
        <f t="shared" si="8"/>
        <v>-361080.62255699548</v>
      </c>
      <c r="M18" s="1488">
        <f t="shared" si="8"/>
        <v>-338564.43</v>
      </c>
      <c r="N18" s="1488">
        <f t="shared" si="8"/>
        <v>-328799.36070234847</v>
      </c>
      <c r="O18" s="1488">
        <f t="shared" si="8"/>
        <v>-367996.2932617488</v>
      </c>
      <c r="P18" s="1488">
        <f t="shared" si="8"/>
        <v>-369236.58954566193</v>
      </c>
      <c r="Q18" s="1488">
        <f t="shared" si="8"/>
        <v>-406963.06751965231</v>
      </c>
      <c r="R18" s="1488">
        <f t="shared" si="8"/>
        <v>-410127.63</v>
      </c>
      <c r="S18" s="1488">
        <f t="shared" si="8"/>
        <v>-376721.64594447549</v>
      </c>
      <c r="T18" s="1488">
        <f t="shared" si="8"/>
        <v>-369578.97800359351</v>
      </c>
      <c r="U18" s="1488">
        <f t="shared" si="8"/>
        <v>-369616.78886980715</v>
      </c>
      <c r="V18" s="1488">
        <f t="shared" si="8"/>
        <v>-369739.61956597812</v>
      </c>
      <c r="W18" s="1488">
        <f t="shared" si="8"/>
        <v>-369771.99</v>
      </c>
      <c r="X18" s="1488">
        <f t="shared" si="8"/>
        <v>-369912.30421609641</v>
      </c>
      <c r="Y18" s="1488">
        <f t="shared" si="8"/>
        <v>-369944.75064760714</v>
      </c>
      <c r="Z18" s="1488">
        <f t="shared" si="8"/>
        <v>-370066.2210033462</v>
      </c>
      <c r="AA18" s="1488">
        <f t="shared" si="8"/>
        <v>-370101.03385767958</v>
      </c>
      <c r="AB18" s="1488">
        <f t="shared" si="8"/>
        <v>-370272.15399999998</v>
      </c>
      <c r="AC18" s="1488">
        <f t="shared" si="8"/>
        <v>-370359.20762754028</v>
      </c>
      <c r="AD18" s="1488">
        <f t="shared" si="8"/>
        <v>-370484.43987865513</v>
      </c>
      <c r="AE18" s="1488">
        <f t="shared" si="8"/>
        <v>-370529.43092086643</v>
      </c>
      <c r="AF18" s="1488">
        <f t="shared" si="8"/>
        <v>-370656.85991323733</v>
      </c>
      <c r="AG18" s="1489">
        <f t="shared" ref="AG18:AG25" si="9">SUM(C18:AF18)</f>
        <v>-11197736.551531244</v>
      </c>
      <c r="AJ18" s="1493"/>
    </row>
    <row r="19" spans="1:36" s="1480" customFormat="1" ht="12">
      <c r="B19" s="1494" t="s">
        <v>212</v>
      </c>
      <c r="C19" s="1491">
        <f>'R1 DRE'!C14</f>
        <v>-222919.5</v>
      </c>
      <c r="D19" s="1491">
        <f>'R1 DRE'!D14</f>
        <v>-222919.5</v>
      </c>
      <c r="E19" s="1491">
        <f>'R1 DRE'!E14</f>
        <v>-222919.5</v>
      </c>
      <c r="F19" s="1491">
        <f>'R1 DRE'!F14</f>
        <v>-222919.5</v>
      </c>
      <c r="G19" s="1492">
        <f>'R1 DRE'!G14-'COMB A'!B16</f>
        <v>-222919.5</v>
      </c>
      <c r="H19" s="1492">
        <f>'R1 DRE'!H14-'COMB A'!C16</f>
        <v>-222919.5</v>
      </c>
      <c r="I19" s="1492">
        <f>'R1 DRE'!I14-'COMB A'!D16</f>
        <v>-222919.5</v>
      </c>
      <c r="J19" s="1492">
        <f>'R1 DRE'!J14-'COMB A'!E16</f>
        <v>-222919.5</v>
      </c>
      <c r="K19" s="1492">
        <f>'R1 DRE'!K14-'COMB A'!F16</f>
        <v>-218767.89</v>
      </c>
      <c r="L19" s="1492">
        <f>'R1 DRE'!L14-'COMB A'!G16</f>
        <v>-222109.93</v>
      </c>
      <c r="M19" s="1492">
        <f>'R1 DRE'!M14-'COMB A'!H16</f>
        <v>-208229.97</v>
      </c>
      <c r="N19" s="1492">
        <f>'R1 DRE'!N14-'COMB A'!I16</f>
        <v>-202227.11</v>
      </c>
      <c r="O19" s="1492">
        <f>'R1 DRE'!O14-'COMB A'!J16</f>
        <v>-226266.76</v>
      </c>
      <c r="P19" s="1492">
        <f>'R1 DRE'!P14-'COMB A'!K16</f>
        <v>-226999.66</v>
      </c>
      <c r="Q19" s="1492">
        <f>'R1 DRE'!Q14-'COMB A'!L16</f>
        <v>-250136.31</v>
      </c>
      <c r="R19" s="1492">
        <f>'R1 DRE'!R14-'COMB A'!M16</f>
        <v>-252038.91</v>
      </c>
      <c r="S19" s="1492">
        <f>'R1 DRE'!S14-'COMB A'!N16</f>
        <v>-231516.56</v>
      </c>
      <c r="T19" s="1492">
        <f>'R1 DRE'!T14-'COMB A'!O16</f>
        <v>-227106.56</v>
      </c>
      <c r="U19" s="1492">
        <f>'R1 DRE'!U14-'COMB A'!P16</f>
        <v>-227106.56</v>
      </c>
      <c r="V19" s="1492">
        <f>'R1 DRE'!V14-'COMB A'!Q16</f>
        <v>-227160</v>
      </c>
      <c r="W19" s="1492">
        <f>'R1 DRE'!W14-'COMB A'!R16</f>
        <v>-227160</v>
      </c>
      <c r="X19" s="1492">
        <f>'R1 DRE'!X14-'COMB A'!S16</f>
        <v>-227213.45</v>
      </c>
      <c r="Y19" s="1492">
        <f>'R1 DRE'!Y14-'COMB A'!T16</f>
        <v>-227213.45</v>
      </c>
      <c r="Z19" s="1492">
        <f>'R1 DRE'!Z14-'COMB A'!U16</f>
        <v>-227266.9</v>
      </c>
      <c r="AA19" s="1492">
        <f>'R1 DRE'!AA14-'COMB A'!V16</f>
        <v>-227266.9</v>
      </c>
      <c r="AB19" s="1492">
        <f>'R1 DRE'!AB14-'COMB A'!W16</f>
        <v>-227320.35</v>
      </c>
      <c r="AC19" s="1492">
        <f>'R1 DRE'!AC14-'COMB A'!X16</f>
        <v>-227373.8</v>
      </c>
      <c r="AD19" s="1492">
        <f>'R1 DRE'!AD14-'COMB A'!Y16</f>
        <v>-227427.25</v>
      </c>
      <c r="AE19" s="1492">
        <f>'R1 DRE'!AE14-'COMB A'!Z16</f>
        <v>-227427.25</v>
      </c>
      <c r="AF19" s="1492">
        <f>'R1 DRE'!AF14-'COMB A'!AA16</f>
        <v>-227480.7</v>
      </c>
      <c r="AG19" s="1495">
        <f t="shared" si="9"/>
        <v>-6776172.2700000014</v>
      </c>
    </row>
    <row r="20" spans="1:36" s="1480" customFormat="1" ht="12">
      <c r="B20" s="1494" t="s">
        <v>213</v>
      </c>
      <c r="C20" s="1491">
        <f>'R1 DRE'!C15</f>
        <v>-239149.36326204147</v>
      </c>
      <c r="D20" s="1491">
        <f>'R1 DRE'!D15</f>
        <v>-146646.20052795502</v>
      </c>
      <c r="E20" s="1491">
        <f>'R1 DRE'!E15</f>
        <v>-150071.30023137954</v>
      </c>
      <c r="F20" s="1491">
        <f>'R1 DRE'!F15</f>
        <v>-142905.76800000001</v>
      </c>
      <c r="G20" s="1492">
        <f>'R1 DRE'!G15-'COMB A'!B20</f>
        <v>-141611.1231692904</v>
      </c>
      <c r="H20" s="1492">
        <f>'R1 DRE'!H15-'COMB A'!C20</f>
        <v>-163745.49739602054</v>
      </c>
      <c r="I20" s="1492">
        <f>'R1 DRE'!I15-'COMB A'!D20</f>
        <v>-145132.02738592165</v>
      </c>
      <c r="J20" s="1492">
        <f>'R1 DRE'!J15-'COMB A'!E20</f>
        <v>-146644.29094887545</v>
      </c>
      <c r="K20" s="1492">
        <f>'R1 DRE'!K15-'COMB A'!F20</f>
        <v>-149183.67257446999</v>
      </c>
      <c r="L20" s="1492">
        <f>'R1 DRE'!L15-'COMB A'!G20</f>
        <v>-138970.69255699546</v>
      </c>
      <c r="M20" s="1492">
        <f>'R1 DRE'!M15-'COMB A'!H20</f>
        <v>-130334.45999999999</v>
      </c>
      <c r="N20" s="1492">
        <f>'R1 DRE'!N15-'COMB A'!I20</f>
        <v>-126572.25070234848</v>
      </c>
      <c r="O20" s="1492">
        <f>'R1 DRE'!O15-'COMB A'!J20</f>
        <v>-141729.53326174879</v>
      </c>
      <c r="P20" s="1492">
        <f>'R1 DRE'!P15-'COMB A'!K20</f>
        <v>-142236.92954566196</v>
      </c>
      <c r="Q20" s="1492">
        <f>'R1 DRE'!Q15-'COMB A'!L20</f>
        <v>-156826.75751965231</v>
      </c>
      <c r="R20" s="1492">
        <f>'R1 DRE'!R15-'COMB A'!M20</f>
        <v>-158088.72</v>
      </c>
      <c r="S20" s="1492">
        <f>'R1 DRE'!S15-'COMB A'!N20</f>
        <v>-145205.08594447549</v>
      </c>
      <c r="T20" s="1492">
        <f>'R1 DRE'!T15-'COMB A'!O20</f>
        <v>-142472.41800359354</v>
      </c>
      <c r="U20" s="1492">
        <f>'R1 DRE'!U15-'COMB A'!P20</f>
        <v>-142510.22886980715</v>
      </c>
      <c r="V20" s="1492">
        <f>'R1 DRE'!V15-'COMB A'!Q20</f>
        <v>-142579.61956597812</v>
      </c>
      <c r="W20" s="1492">
        <f>'R1 DRE'!W15-'COMB A'!R20</f>
        <v>-142611.99000000002</v>
      </c>
      <c r="X20" s="1492">
        <f>'R1 DRE'!X15-'COMB A'!S20</f>
        <v>-142698.85421609643</v>
      </c>
      <c r="Y20" s="1492">
        <f>'R1 DRE'!Y15-'COMB A'!T20</f>
        <v>-142731.30064760716</v>
      </c>
      <c r="Z20" s="1492">
        <f>'R1 DRE'!Z15-'COMB A'!U20</f>
        <v>-142799.32100334621</v>
      </c>
      <c r="AA20" s="1492">
        <f>'R1 DRE'!AA15-'COMB A'!V20</f>
        <v>-142834.13385767961</v>
      </c>
      <c r="AB20" s="1492">
        <f>'R1 DRE'!AB15-'COMB A'!W20</f>
        <v>-142951.804</v>
      </c>
      <c r="AC20" s="1492">
        <f>'R1 DRE'!AC15-'COMB A'!X20</f>
        <v>-142985.40762754029</v>
      </c>
      <c r="AD20" s="1492">
        <f>'R1 DRE'!AD15-'COMB A'!Y20</f>
        <v>-143057.18987865516</v>
      </c>
      <c r="AE20" s="1492">
        <f>'R1 DRE'!AE15-'COMB A'!Z20</f>
        <v>-143102.18092086641</v>
      </c>
      <c r="AF20" s="1492">
        <f>'R1 DRE'!AF15-'COMB A'!AA20</f>
        <v>-143176.15991323732</v>
      </c>
      <c r="AG20" s="1495">
        <f t="shared" si="9"/>
        <v>-4421564.2815312445</v>
      </c>
    </row>
    <row r="21" spans="1:36" s="1478" customFormat="1" ht="12">
      <c r="B21" s="1486" t="s">
        <v>214</v>
      </c>
      <c r="C21" s="1487">
        <f>C22+C23+C24+C25</f>
        <v>-1057719.184271723</v>
      </c>
      <c r="D21" s="1487">
        <f t="shared" ref="D21:G21" si="10">D22+D23+D24+D25</f>
        <v>-1230326.5123160521</v>
      </c>
      <c r="E21" s="1487">
        <f t="shared" si="10"/>
        <v>-1446948.7737891045</v>
      </c>
      <c r="F21" s="1487">
        <f t="shared" si="10"/>
        <v>-1394729.7694170631</v>
      </c>
      <c r="G21" s="1488">
        <f t="shared" si="10"/>
        <v>-1374152.6783216291</v>
      </c>
      <c r="H21" s="1488">
        <f t="shared" ref="H21:AF21" si="11">H22+H23+H24+H25</f>
        <v>-1384199.6702778477</v>
      </c>
      <c r="I21" s="1488">
        <f t="shared" si="11"/>
        <v>-1390396.1300398759</v>
      </c>
      <c r="J21" s="1488">
        <f t="shared" si="11"/>
        <v>-1450720.9396265445</v>
      </c>
      <c r="K21" s="1488">
        <f t="shared" si="11"/>
        <v>-1433467.1921045994</v>
      </c>
      <c r="L21" s="1488">
        <f t="shared" si="11"/>
        <v>-1476156.9306254983</v>
      </c>
      <c r="M21" s="1488">
        <f t="shared" si="11"/>
        <v>-1386514.319507018</v>
      </c>
      <c r="N21" s="1488">
        <f t="shared" si="11"/>
        <v>-1348510.4579848277</v>
      </c>
      <c r="O21" s="1488">
        <f t="shared" si="11"/>
        <v>-1506621.7823148426</v>
      </c>
      <c r="P21" s="1488">
        <f t="shared" si="11"/>
        <v>-1512240.3766448579</v>
      </c>
      <c r="Q21" s="1488">
        <f t="shared" si="11"/>
        <v>-1664443.5009748728</v>
      </c>
      <c r="R21" s="1488">
        <f t="shared" si="11"/>
        <v>-1677568.7931138072</v>
      </c>
      <c r="S21" s="1488">
        <f t="shared" si="11"/>
        <v>-1543965.2695547708</v>
      </c>
      <c r="T21" s="1488">
        <f t="shared" si="11"/>
        <v>-1515781.480234656</v>
      </c>
      <c r="U21" s="1488">
        <f t="shared" si="11"/>
        <v>-1516551.690914541</v>
      </c>
      <c r="V21" s="1488">
        <f t="shared" si="11"/>
        <v>-1517571.6115944264</v>
      </c>
      <c r="W21" s="1488">
        <f t="shared" si="11"/>
        <v>-1518377.52608854</v>
      </c>
      <c r="X21" s="1488">
        <f t="shared" si="11"/>
        <v>-1519331.1251495846</v>
      </c>
      <c r="Y21" s="1488">
        <f t="shared" si="11"/>
        <v>-1519903.4694638834</v>
      </c>
      <c r="Z21" s="1488">
        <f t="shared" si="11"/>
        <v>-1520825.5037781829</v>
      </c>
      <c r="AA21" s="1488">
        <f t="shared" si="11"/>
        <v>-1521397.8480924817</v>
      </c>
      <c r="AB21" s="1488">
        <f t="shared" si="11"/>
        <v>-1522541.6956280614</v>
      </c>
      <c r="AC21" s="1488">
        <f t="shared" si="11"/>
        <v>-1523519.8057253375</v>
      </c>
      <c r="AD21" s="1488">
        <f t="shared" si="11"/>
        <v>-1524482.0349024269</v>
      </c>
      <c r="AE21" s="1488">
        <f t="shared" si="11"/>
        <v>-1525121.5015805515</v>
      </c>
      <c r="AF21" s="1488">
        <f t="shared" si="11"/>
        <v>-1525855.5265488047</v>
      </c>
      <c r="AG21" s="1489">
        <f t="shared" si="9"/>
        <v>-44049943.100586407</v>
      </c>
    </row>
    <row r="22" spans="1:36" s="1478" customFormat="1" ht="12">
      <c r="B22" s="1494" t="s">
        <v>215</v>
      </c>
      <c r="C22" s="1491">
        <f>'R1 DRE'!C17</f>
        <v>-550936.15119900031</v>
      </c>
      <c r="D22" s="1491">
        <f>'R1 DRE'!D17</f>
        <v>-520720.01266633545</v>
      </c>
      <c r="E22" s="1491">
        <f>'R1 DRE'!E17</f>
        <v>-477268.91245393129</v>
      </c>
      <c r="F22" s="1491">
        <f>'R1 DRE'!F17</f>
        <v>-344396.7516912701</v>
      </c>
      <c r="G22" s="1492">
        <f>'R1 DRE'!G17-'COMB A'!B24</f>
        <v>-455487.66739033093</v>
      </c>
      <c r="H22" s="1492">
        <f>'R1 DRE'!H17-'COMB A'!C24</f>
        <v>-454207.58910337416</v>
      </c>
      <c r="I22" s="1492">
        <f>'R1 DRE'!I17-'COMB A'!D24</f>
        <v>-448131.92873404676</v>
      </c>
      <c r="J22" s="1492">
        <f>'R1 DRE'!J17-'COMB A'!E24</f>
        <v>-477332.3326502862</v>
      </c>
      <c r="K22" s="1492">
        <f>'R1 DRE'!K17-'COMB A'!F24</f>
        <v>-475868.91123234358</v>
      </c>
      <c r="L22" s="1492">
        <f>'R1 DRE'!L17-'COMB A'!G24</f>
        <v>-489225.7154241883</v>
      </c>
      <c r="M22" s="1492">
        <f>'R1 DRE'!M17-'COMB A'!H24</f>
        <v>-459469.52923834376</v>
      </c>
      <c r="N22" s="1492">
        <f>'R1 DRE'!N17-'COMB A'!I24</f>
        <v>-446988.02145287185</v>
      </c>
      <c r="O22" s="1492">
        <f>'R1 DRE'!O17-'COMB A'!J24</f>
        <v>-500581.66906057863</v>
      </c>
      <c r="P22" s="1492">
        <f>'R1 DRE'!P17-'COMB A'!K24</f>
        <v>-502900.47666828526</v>
      </c>
      <c r="Q22" s="1492">
        <f>'R1 DRE'!Q17-'COMB A'!L24</f>
        <v>-554507.53427599196</v>
      </c>
      <c r="R22" s="1492">
        <f>'R1 DRE'!R17-'COMB A'!M24</f>
        <v>-559273.86969530524</v>
      </c>
      <c r="S22" s="1492">
        <f>'R1 DRE'!S17-'COMB A'!N24</f>
        <v>-514700.65896263462</v>
      </c>
      <c r="T22" s="1492">
        <f>'R1 DRE'!T17-'COMB A'!O24</f>
        <v>-505573.69996725256</v>
      </c>
      <c r="U22" s="1492">
        <f>'R1 DRE'!U17-'COMB A'!P24</f>
        <v>-506148.74097187043</v>
      </c>
      <c r="V22" s="1492">
        <f>'R1 DRE'!V17-'COMB A'!Q24</f>
        <v>-506841.37197648844</v>
      </c>
      <c r="W22" s="1492">
        <f>'R1 DRE'!W17-'COMB A'!R24</f>
        <v>-507532.90642223664</v>
      </c>
      <c r="X22" s="1492">
        <f>'R1 DRE'!X17-'COMB A'!S24</f>
        <v>-508168.49812676472</v>
      </c>
      <c r="Y22" s="1492">
        <f>'R1 DRE'!Y17-'COMB A'!T24</f>
        <v>-508659.56490318937</v>
      </c>
      <c r="Z22" s="1492">
        <f>'R1 DRE'!Z17-'COMB A'!U24</f>
        <v>-509268.21167961392</v>
      </c>
      <c r="AA22" s="1492">
        <f>'R1 DRE'!AA17-'COMB A'!V24</f>
        <v>-509759.27845603845</v>
      </c>
      <c r="AB22" s="1492">
        <f>'R1 DRE'!AB17-'COMB A'!W24</f>
        <v>-510558.34162796102</v>
      </c>
      <c r="AC22" s="1492">
        <f>'R1 DRE'!AC17-'COMB A'!X24</f>
        <v>-511214.98256780364</v>
      </c>
      <c r="AD22" s="1492">
        <f>'R1 DRE'!AD17-'COMB A'!Y24</f>
        <v>-511858.11491803057</v>
      </c>
      <c r="AE22" s="1492">
        <f>'R1 DRE'!AE17-'COMB A'!Z24</f>
        <v>-512406.78625950683</v>
      </c>
      <c r="AF22" s="1492">
        <f>'R1 DRE'!AF17-'COMB A'!AA24</f>
        <v>-512853.96914780862</v>
      </c>
      <c r="AG22" s="1495">
        <f t="shared" si="9"/>
        <v>-14852842.198923685</v>
      </c>
      <c r="AI22" s="1496"/>
    </row>
    <row r="23" spans="1:36" s="1478" customFormat="1" ht="12">
      <c r="B23" s="1494" t="s">
        <v>216</v>
      </c>
      <c r="C23" s="1491">
        <f>'R1 DRE'!C18</f>
        <v>-17403.0139314964</v>
      </c>
      <c r="D23" s="1491">
        <f>'R1 DRE'!D18</f>
        <v>-16416.846413093408</v>
      </c>
      <c r="E23" s="1491">
        <f>'R1 DRE'!E18</f>
        <v>-15048.679461448424</v>
      </c>
      <c r="F23" s="1491">
        <f>'R1 DRE'!F18</f>
        <v>-14145.078118748261</v>
      </c>
      <c r="G23" s="1492">
        <f>'R1 DRE'!G18-'COMB A'!B29</f>
        <v>-14599.065768930037</v>
      </c>
      <c r="H23" s="1492">
        <f>'R1 DRE'!H18-'COMB A'!C29</f>
        <v>-25388.155749727612</v>
      </c>
      <c r="I23" s="1492">
        <f>'R1 DRE'!I18-'COMB A'!D29</f>
        <v>-37464.35237651589</v>
      </c>
      <c r="J23" s="1492">
        <f>'R1 DRE'!J18-'COMB A'!E29</f>
        <v>-48407.242113114808</v>
      </c>
      <c r="K23" s="1492">
        <f>'R1 DRE'!K18-'COMB A'!F29</f>
        <v>-34977.776253067263</v>
      </c>
      <c r="L23" s="1492">
        <f>'R1 DRE'!L18-'COMB A'!G29</f>
        <v>-35444.052255394665</v>
      </c>
      <c r="M23" s="1492">
        <f>'R1 DRE'!M18-'COMB A'!H29</f>
        <v>-34564.035172996446</v>
      </c>
      <c r="N23" s="1492">
        <f>'R1 DRE'!N18-'COMB A'!I29</f>
        <v>-34518.78764681211</v>
      </c>
      <c r="O23" s="1492">
        <f>'R1 DRE'!O18-'COMB A'!J29</f>
        <v>-36631.438886081654</v>
      </c>
      <c r="P23" s="1492">
        <f>'R1 DRE'!P18-'COMB A'!K29</f>
        <v>-36746.360125351202</v>
      </c>
      <c r="Q23" s="1492">
        <f>'R1 DRE'!Q18-'COMB A'!L29</f>
        <v>-38781.60136462075</v>
      </c>
      <c r="R23" s="1492">
        <f>'R1 DRE'!R18-'COMB A'!M29</f>
        <v>-38986.303434356836</v>
      </c>
      <c r="S23" s="1492">
        <f>'R1 DRE'!S18-'COMB A'!N29</f>
        <v>-37269.641737817845</v>
      </c>
      <c r="T23" s="1492">
        <f>'R1 DRE'!T18-'COMB A'!O29</f>
        <v>-36934.040041278859</v>
      </c>
      <c r="U23" s="1492">
        <f>'R1 DRE'!U18-'COMB A'!P29</f>
        <v>-36976.438344739872</v>
      </c>
      <c r="V23" s="1492">
        <f>'R1 DRE'!V18-'COMB A'!Q29</f>
        <v>-37023.416648200888</v>
      </c>
      <c r="W23" s="1492">
        <f>'R1 DRE'!W18-'COMB A'!R29</f>
        <v>-37075.58931353435</v>
      </c>
      <c r="X23" s="1492">
        <f>'R1 DRE'!X18-'COMB A'!S29</f>
        <v>-37116.378143058078</v>
      </c>
      <c r="Y23" s="1492">
        <f>'R1 DRE'!Y18-'COMB A'!T29</f>
        <v>-37152.596972581807</v>
      </c>
      <c r="Z23" s="1492">
        <f>'R1 DRE'!Z18-'COMB A'!U29</f>
        <v>-37193.385802105535</v>
      </c>
      <c r="AA23" s="1492">
        <f>'R1 DRE'!AA18-'COMB A'!V29</f>
        <v>-37229.604631629263</v>
      </c>
      <c r="AB23" s="1492">
        <f>'R1 DRE'!AB18-'COMB A'!W29</f>
        <v>-37286.357299443749</v>
      </c>
      <c r="AC23" s="1492">
        <f>'R1 DRE'!AC18-'COMB A'!X29</f>
        <v>-37328.912920484843</v>
      </c>
      <c r="AD23" s="1492">
        <f>'R1 DRE'!AD18-'COMB A'!Y29</f>
        <v>-37372.377657312652</v>
      </c>
      <c r="AE23" s="1492">
        <f>'R1 DRE'!AE18-'COMB A'!Z29</f>
        <v>-37413.019179438917</v>
      </c>
      <c r="AF23" s="1492">
        <f>'R1 DRE'!AF18-'COMB A'!AA29</f>
        <v>-37439.672066103114</v>
      </c>
      <c r="AG23" s="1495">
        <f t="shared" si="9"/>
        <v>-1000334.2198294854</v>
      </c>
      <c r="AI23" s="1496"/>
    </row>
    <row r="24" spans="1:36" s="1478" customFormat="1" ht="12">
      <c r="B24" s="1494" t="s">
        <v>217</v>
      </c>
      <c r="C24" s="1491">
        <f>'R1 DRE'!C19</f>
        <v>-245634.84</v>
      </c>
      <c r="D24" s="1491">
        <f>'R1 DRE'!D19</f>
        <v>-450330.54</v>
      </c>
      <c r="E24" s="1491">
        <f>'R1 DRE'!E19</f>
        <v>-655026.24</v>
      </c>
      <c r="F24" s="1491">
        <f>'R1 DRE'!F19</f>
        <v>-736904.52</v>
      </c>
      <c r="G24" s="1492">
        <f>'R1 DRE'!G19-'COMB A'!B34</f>
        <v>-553251.9</v>
      </c>
      <c r="H24" s="1492">
        <f>'R1 DRE'!H19-'COMB A'!C34</f>
        <v>-553251.9</v>
      </c>
      <c r="I24" s="1492">
        <f>'R1 DRE'!I19-'COMB A'!D34</f>
        <v>-553251.9</v>
      </c>
      <c r="J24" s="1492">
        <f>'R1 DRE'!J19-'COMB A'!E34</f>
        <v>-553251.9</v>
      </c>
      <c r="K24" s="1492">
        <f>'R1 DRE'!K19-'COMB A'!F34</f>
        <v>-543057.96000000008</v>
      </c>
      <c r="L24" s="1492">
        <f>'R1 DRE'!L19-'COMB A'!G34</f>
        <v>-551276.99</v>
      </c>
      <c r="M24" s="1492">
        <f>'R1 DRE'!M19-'COMB A'!H34</f>
        <v>-517179.10000000003</v>
      </c>
      <c r="N24" s="1492">
        <f>'R1 DRE'!N19-'COMB A'!I34</f>
        <v>-502436.37</v>
      </c>
      <c r="O24" s="1492">
        <f>'R1 DRE'!O19-'COMB A'!J34</f>
        <v>-561505.22</v>
      </c>
      <c r="P24" s="1492">
        <f>'R1 DRE'!P19-'COMB A'!K34</f>
        <v>-563306.06000000006</v>
      </c>
      <c r="Q24" s="1492">
        <f>'R1 DRE'!Q19-'COMB A'!L34</f>
        <v>-620156.12</v>
      </c>
      <c r="R24" s="1492">
        <f>'R1 DRE'!R19-'COMB A'!M34</f>
        <v>-624831.08000000007</v>
      </c>
      <c r="S24" s="1492">
        <f>'R1 DRE'!S19-'COMB A'!N34</f>
        <v>-574404.73</v>
      </c>
      <c r="T24" s="1492">
        <f>'R1 DRE'!T19-'COMB A'!O34</f>
        <v>-563568.73</v>
      </c>
      <c r="U24" s="1492">
        <f>'R1 DRE'!U19-'COMB A'!P34</f>
        <v>-563568.73</v>
      </c>
      <c r="V24" s="1492">
        <f>'R1 DRE'!V19-'COMB A'!Q34</f>
        <v>-563700.06000000006</v>
      </c>
      <c r="W24" s="1492">
        <f>'R1 DRE'!W19-'COMB A'!R34</f>
        <v>-563700.06000000006</v>
      </c>
      <c r="X24" s="1492">
        <f>'R1 DRE'!X19-'COMB A'!S34</f>
        <v>-563831.39</v>
      </c>
      <c r="Y24" s="1492">
        <f>'R1 DRE'!Y19-'COMB A'!T34</f>
        <v>-563831.39</v>
      </c>
      <c r="Z24" s="1492">
        <f>'R1 DRE'!Z19-'COMB A'!U34</f>
        <v>-563962.72</v>
      </c>
      <c r="AA24" s="1492">
        <f>'R1 DRE'!AA19-'COMB A'!V34</f>
        <v>-563962.72</v>
      </c>
      <c r="AB24" s="1492">
        <f>'R1 DRE'!AB19-'COMB A'!W34</f>
        <v>-564094.06000000006</v>
      </c>
      <c r="AC24" s="1492">
        <f>'R1 DRE'!AC19-'COMB A'!X34</f>
        <v>-564225.39</v>
      </c>
      <c r="AD24" s="1492">
        <f>'R1 DRE'!AD19-'COMB A'!Y34</f>
        <v>-564356.72</v>
      </c>
      <c r="AE24" s="1492">
        <f>'R1 DRE'!AE19-'COMB A'!Z34</f>
        <v>-564356.72</v>
      </c>
      <c r="AF24" s="1492">
        <f>'R1 DRE'!AF19-'COMB A'!AA34</f>
        <v>-564488.05000000005</v>
      </c>
      <c r="AG24" s="1495">
        <f t="shared" si="9"/>
        <v>-16690704.110000009</v>
      </c>
      <c r="AI24" s="1496"/>
    </row>
    <row r="25" spans="1:36" s="1478" customFormat="1" ht="12">
      <c r="B25" s="1494" t="s">
        <v>218</v>
      </c>
      <c r="C25" s="1491">
        <f>'R1 DRE'!C20</f>
        <v>-243745.17914122643</v>
      </c>
      <c r="D25" s="1491">
        <f>'R1 DRE'!D20</f>
        <v>-242859.11323662326</v>
      </c>
      <c r="E25" s="1491">
        <f>'R1 DRE'!E20</f>
        <v>-299604.94187372486</v>
      </c>
      <c r="F25" s="1491">
        <f>'R1 DRE'!F20</f>
        <v>-299283.41960704466</v>
      </c>
      <c r="G25" s="1492">
        <f>'R1 DRE'!G20-'COMB A'!B38</f>
        <v>-350814.0451623681</v>
      </c>
      <c r="H25" s="1492">
        <f>'R1 DRE'!H20-'COMB A'!C38</f>
        <v>-351352.02542474587</v>
      </c>
      <c r="I25" s="1492">
        <f>'R1 DRE'!I20-'COMB A'!D38</f>
        <v>-351547.9489293131</v>
      </c>
      <c r="J25" s="1492">
        <f>'R1 DRE'!J20-'COMB A'!E38</f>
        <v>-371729.4648631434</v>
      </c>
      <c r="K25" s="1492">
        <f>'R1 DRE'!K20-'COMB A'!F38</f>
        <v>-379562.54461918876</v>
      </c>
      <c r="L25" s="1492">
        <f>'R1 DRE'!L20-'COMB A'!G38</f>
        <v>-400210.17294591531</v>
      </c>
      <c r="M25" s="1492">
        <f>'R1 DRE'!M20-'COMB A'!H38</f>
        <v>-375301.65509567771</v>
      </c>
      <c r="N25" s="1492">
        <f>'R1 DRE'!N20-'COMB A'!I38</f>
        <v>-364567.27888514387</v>
      </c>
      <c r="O25" s="1492">
        <f>'R1 DRE'!O20-'COMB A'!J38</f>
        <v>-407903.45436818257</v>
      </c>
      <c r="P25" s="1492">
        <f>'R1 DRE'!P20-'COMB A'!K38</f>
        <v>-409287.47985122137</v>
      </c>
      <c r="Q25" s="1492">
        <f>'R1 DRE'!Q20-'COMB A'!L38</f>
        <v>-450998.24533426022</v>
      </c>
      <c r="R25" s="1492">
        <f>'R1 DRE'!R20-'COMB A'!M38</f>
        <v>-454477.53998414532</v>
      </c>
      <c r="S25" s="1492">
        <f>'R1 DRE'!S20-'COMB A'!N38</f>
        <v>-417590.23885431845</v>
      </c>
      <c r="T25" s="1492">
        <f>'R1 DRE'!T20-'COMB A'!O38</f>
        <v>-409705.01022612466</v>
      </c>
      <c r="U25" s="1492">
        <f>'R1 DRE'!U20-'COMB A'!P38</f>
        <v>-409857.78159793071</v>
      </c>
      <c r="V25" s="1492">
        <f>'R1 DRE'!V20-'COMB A'!Q38</f>
        <v>-410006.76296973688</v>
      </c>
      <c r="W25" s="1492">
        <f>'R1 DRE'!W20-'COMB A'!R38</f>
        <v>-410068.97035276901</v>
      </c>
      <c r="X25" s="1492">
        <f>'R1 DRE'!X20-'COMB A'!S38</f>
        <v>-410214.85887976171</v>
      </c>
      <c r="Y25" s="1492">
        <f>'R1 DRE'!Y20-'COMB A'!T38</f>
        <v>-410259.91758811247</v>
      </c>
      <c r="Z25" s="1492">
        <f>'R1 DRE'!Z20-'COMB A'!U38</f>
        <v>-410401.18629646336</v>
      </c>
      <c r="AA25" s="1492">
        <f>'R1 DRE'!AA20-'COMB A'!V38</f>
        <v>-410446.24500481394</v>
      </c>
      <c r="AB25" s="1492">
        <f>'R1 DRE'!AB20-'COMB A'!W38</f>
        <v>-410602.93670065649</v>
      </c>
      <c r="AC25" s="1492">
        <f>'R1 DRE'!AC20-'COMB A'!X38</f>
        <v>-410750.52023704909</v>
      </c>
      <c r="AD25" s="1492">
        <f>'R1 DRE'!AD20-'COMB A'!Y38</f>
        <v>-410894.82232708368</v>
      </c>
      <c r="AE25" s="1492">
        <f>'R1 DRE'!AE20-'COMB A'!Z38</f>
        <v>-410944.97614160576</v>
      </c>
      <c r="AF25" s="1492">
        <f>'R1 DRE'!AF20-'COMB A'!AA38</f>
        <v>-411073.83533489279</v>
      </c>
      <c r="AG25" s="1495">
        <f t="shared" si="9"/>
        <v>-11506062.571833245</v>
      </c>
      <c r="AI25" s="1496"/>
    </row>
    <row r="26" spans="1:36" s="1478" customFormat="1" ht="12">
      <c r="A26" s="1480"/>
      <c r="B26" s="1486" t="s">
        <v>219</v>
      </c>
      <c r="C26" s="1487">
        <f>-C17*0.01</f>
        <v>-18830.712192221039</v>
      </c>
      <c r="D26" s="1487">
        <f t="shared" ref="D26:F26" si="12">-D17*0.01</f>
        <v>-23487.364306745756</v>
      </c>
      <c r="E26" s="1487">
        <f t="shared" si="12"/>
        <v>-26078.466711710476</v>
      </c>
      <c r="F26" s="1487">
        <f t="shared" si="12"/>
        <v>-26731.766493209947</v>
      </c>
      <c r="G26" s="1487">
        <f>-G17*0.0075</f>
        <v>-20584.12188069594</v>
      </c>
      <c r="H26" s="1487">
        <f>-H17*0.005</f>
        <v>-14969.608584012554</v>
      </c>
      <c r="I26" s="1487">
        <f t="shared" ref="I26:AF26" si="13">-I17*0.005</f>
        <v>-14892.810920483571</v>
      </c>
      <c r="J26" s="1487">
        <f t="shared" si="13"/>
        <v>-18111.511932221227</v>
      </c>
      <c r="K26" s="1487">
        <f t="shared" si="13"/>
        <v>-18269.464424938258</v>
      </c>
      <c r="L26" s="1487">
        <f t="shared" si="13"/>
        <v>-18845.31172153946</v>
      </c>
      <c r="M26" s="1487">
        <f t="shared" si="13"/>
        <v>-19047.329790008829</v>
      </c>
      <c r="N26" s="1487">
        <f t="shared" si="13"/>
        <v>-20087.3286385586</v>
      </c>
      <c r="O26" s="1487">
        <f t="shared" si="13"/>
        <v>-21374.07980275638</v>
      </c>
      <c r="P26" s="1487">
        <f t="shared" si="13"/>
        <v>-21438.505498081297</v>
      </c>
      <c r="Q26" s="1487">
        <f t="shared" si="13"/>
        <v>-22575.620911493865</v>
      </c>
      <c r="R26" s="1487">
        <f t="shared" si="13"/>
        <v>-22694.672790650377</v>
      </c>
      <c r="S26" s="1487">
        <f t="shared" si="13"/>
        <v>-21738.287477428745</v>
      </c>
      <c r="T26" s="1487">
        <f t="shared" si="13"/>
        <v>-21552.680199960058</v>
      </c>
      <c r="U26" s="1487">
        <f t="shared" si="13"/>
        <v>-21578.039447491356</v>
      </c>
      <c r="V26" s="1487">
        <f t="shared" si="13"/>
        <v>-21603.42778439161</v>
      </c>
      <c r="W26" s="1487">
        <f t="shared" si="13"/>
        <v>-21631.043515931909</v>
      </c>
      <c r="X26" s="1487">
        <f t="shared" si="13"/>
        <v>-21661.36393659133</v>
      </c>
      <c r="Y26" s="1487">
        <f t="shared" si="13"/>
        <v>-21682.070495732605</v>
      </c>
      <c r="Z26" s="1487">
        <f t="shared" si="13"/>
        <v>-21704.783142132645</v>
      </c>
      <c r="AA26" s="1487">
        <f t="shared" si="13"/>
        <v>-21725.070540157689</v>
      </c>
      <c r="AB26" s="1487">
        <f t="shared" si="13"/>
        <v>-21752.575595319853</v>
      </c>
      <c r="AC26" s="1487">
        <f t="shared" si="13"/>
        <v>-21780.360091226154</v>
      </c>
      <c r="AD26" s="1487">
        <f t="shared" si="13"/>
        <v>-21805.748382751397</v>
      </c>
      <c r="AE26" s="1487">
        <f t="shared" si="13"/>
        <v>-21830.967909910632</v>
      </c>
      <c r="AF26" s="1487">
        <f t="shared" si="13"/>
        <v>-21851.563792673769</v>
      </c>
      <c r="AG26" s="1489">
        <f>SUM(C26:AF26)</f>
        <v>-631916.65891102725</v>
      </c>
      <c r="AI26" s="1497"/>
    </row>
    <row r="27" spans="1:36" s="1480" customFormat="1" ht="12">
      <c r="B27" s="1486" t="s">
        <v>220</v>
      </c>
      <c r="C27" s="1487">
        <f>C17+C18+C21+C26</f>
        <v>344452.45949611819</v>
      </c>
      <c r="D27" s="1487">
        <f t="shared" ref="D27:AF27" si="14">D17+D18+D21+D26</f>
        <v>725356.85352382285</v>
      </c>
      <c r="E27" s="1487">
        <f t="shared" si="14"/>
        <v>761828.63043885329</v>
      </c>
      <c r="F27" s="1487">
        <f t="shared" si="14"/>
        <v>885889.84541072126</v>
      </c>
      <c r="G27" s="1487">
        <f t="shared" si="14"/>
        <v>985282.16072117677</v>
      </c>
      <c r="H27" s="1487">
        <f t="shared" si="14"/>
        <v>1208087.4405446299</v>
      </c>
      <c r="I27" s="1487">
        <f t="shared" si="14"/>
        <v>1205221.7157504328</v>
      </c>
      <c r="J27" s="1487">
        <f t="shared" si="14"/>
        <v>1783906.1439366036</v>
      </c>
      <c r="K27" s="1487">
        <f t="shared" si="14"/>
        <v>1834204.6658836438</v>
      </c>
      <c r="L27" s="1487">
        <f t="shared" si="14"/>
        <v>1912979.4794038583</v>
      </c>
      <c r="M27" s="1487">
        <f t="shared" si="14"/>
        <v>2065339.8787047386</v>
      </c>
      <c r="N27" s="1487">
        <f t="shared" si="14"/>
        <v>2320068.5803859853</v>
      </c>
      <c r="O27" s="1487">
        <f t="shared" si="14"/>
        <v>2378823.8051719284</v>
      </c>
      <c r="P27" s="1487">
        <f t="shared" si="14"/>
        <v>2384785.6279276581</v>
      </c>
      <c r="Q27" s="1487">
        <f t="shared" si="14"/>
        <v>2421141.9928927543</v>
      </c>
      <c r="R27" s="1487">
        <f t="shared" si="14"/>
        <v>2428543.4622256178</v>
      </c>
      <c r="S27" s="1487">
        <f t="shared" si="14"/>
        <v>2405232.2925090739</v>
      </c>
      <c r="T27" s="1487">
        <f t="shared" si="14"/>
        <v>2403622.9015538013</v>
      </c>
      <c r="U27" s="1487">
        <f t="shared" si="14"/>
        <v>2407861.3702664315</v>
      </c>
      <c r="V27" s="1487">
        <f t="shared" si="14"/>
        <v>2411770.8979335255</v>
      </c>
      <c r="W27" s="1487">
        <f t="shared" si="14"/>
        <v>2416428.1435819096</v>
      </c>
      <c r="X27" s="1487">
        <f t="shared" si="14"/>
        <v>2421367.994015994</v>
      </c>
      <c r="Y27" s="1487">
        <f t="shared" si="14"/>
        <v>2424883.8085392974</v>
      </c>
      <c r="Z27" s="1487">
        <f t="shared" si="14"/>
        <v>2428360.1205028668</v>
      </c>
      <c r="AA27" s="1487">
        <f t="shared" si="14"/>
        <v>2431790.1555412184</v>
      </c>
      <c r="AB27" s="1487">
        <f t="shared" si="14"/>
        <v>2435948.6938405894</v>
      </c>
      <c r="AC27" s="1487">
        <f t="shared" si="14"/>
        <v>2440412.6448011263</v>
      </c>
      <c r="AD27" s="1487">
        <f t="shared" si="14"/>
        <v>2444377.453386446</v>
      </c>
      <c r="AE27" s="1487">
        <f t="shared" si="14"/>
        <v>2448711.6815707982</v>
      </c>
      <c r="AF27" s="1487">
        <f t="shared" si="14"/>
        <v>2451948.8082800377</v>
      </c>
      <c r="AG27" s="1489">
        <f t="shared" ref="AG27:AG33" si="15">SUM(C27:AF27)</f>
        <v>59618629.708741657</v>
      </c>
    </row>
    <row r="28" spans="1:36" s="1498" customFormat="1" ht="12">
      <c r="B28" s="1499" t="s">
        <v>221</v>
      </c>
      <c r="C28" s="1488">
        <f t="array" ref="C28:AF28">-TRANSPOSE('COMB A DEPR'!AH10:AH39)</f>
        <v>0</v>
      </c>
      <c r="D28" s="1488">
        <v>-19422.835502517231</v>
      </c>
      <c r="E28" s="1488">
        <v>-31767.091368703179</v>
      </c>
      <c r="F28" s="1488">
        <v>-42964.776963557146</v>
      </c>
      <c r="G28" s="1488">
        <v>-96570.054420457061</v>
      </c>
      <c r="H28" s="1488">
        <v>-123445.84549485844</v>
      </c>
      <c r="I28" s="1488">
        <v>-436366.68261990027</v>
      </c>
      <c r="J28" s="1488">
        <v>-486052.65689730266</v>
      </c>
      <c r="K28" s="1488">
        <v>-595221.88668875955</v>
      </c>
      <c r="L28" s="1488">
        <v>-704776.67261816585</v>
      </c>
      <c r="M28" s="1488">
        <v>-758911.85818167345</v>
      </c>
      <c r="N28" s="1488">
        <v>-796202.50805072067</v>
      </c>
      <c r="O28" s="1488">
        <v>-798832.38325917267</v>
      </c>
      <c r="P28" s="1488">
        <v>-801616.95700929838</v>
      </c>
      <c r="Q28" s="1488">
        <v>-805891.12911880692</v>
      </c>
      <c r="R28" s="1488">
        <v>-971205.21731770108</v>
      </c>
      <c r="S28" s="1488">
        <v>-1157699.0050441099</v>
      </c>
      <c r="T28" s="1488">
        <v>-1246204.3778728307</v>
      </c>
      <c r="U28" s="1488">
        <v>-1251462.6073521755</v>
      </c>
      <c r="V28" s="1488">
        <v>-1257198.8576932789</v>
      </c>
      <c r="W28" s="1488">
        <v>-1263508.7330684925</v>
      </c>
      <c r="X28" s="1488">
        <v>-1271152.4834853965</v>
      </c>
      <c r="Y28" s="1488">
        <v>-1278582.3277044136</v>
      </c>
      <c r="Z28" s="1488">
        <v>-1287073.578240433</v>
      </c>
      <c r="AA28" s="1488">
        <v>-1296980.0371991224</v>
      </c>
      <c r="AB28" s="1488">
        <v>-1308867.7879495497</v>
      </c>
      <c r="AC28" s="1488">
        <v>-1326066.2263875839</v>
      </c>
      <c r="AD28" s="1488">
        <v>-1346150.4776382961</v>
      </c>
      <c r="AE28" s="1488">
        <v>-1376683.8545143644</v>
      </c>
      <c r="AF28" s="1488">
        <v>-1498415.8562632338</v>
      </c>
      <c r="AG28" s="1500">
        <f t="shared" si="15"/>
        <v>-25635294.765924875</v>
      </c>
    </row>
    <row r="29" spans="1:36" s="1478" customFormat="1" ht="12">
      <c r="B29" s="1486" t="s">
        <v>222</v>
      </c>
      <c r="C29" s="1487">
        <f>C27+C28</f>
        <v>344452.45949611819</v>
      </c>
      <c r="D29" s="1487">
        <f t="shared" ref="D29:AF29" si="16">D27+D28</f>
        <v>705934.01802130567</v>
      </c>
      <c r="E29" s="1487">
        <f t="shared" si="16"/>
        <v>730061.53907015012</v>
      </c>
      <c r="F29" s="1487">
        <f t="shared" si="16"/>
        <v>842925.06844716414</v>
      </c>
      <c r="G29" s="1487">
        <f t="shared" si="16"/>
        <v>888712.10630071966</v>
      </c>
      <c r="H29" s="1487">
        <f t="shared" si="16"/>
        <v>1084641.5950497715</v>
      </c>
      <c r="I29" s="1487">
        <f t="shared" si="16"/>
        <v>768855.0331305326</v>
      </c>
      <c r="J29" s="1487">
        <f t="shared" si="16"/>
        <v>1297853.4870393008</v>
      </c>
      <c r="K29" s="1487">
        <f t="shared" si="16"/>
        <v>1238982.7791948842</v>
      </c>
      <c r="L29" s="1487">
        <f t="shared" si="16"/>
        <v>1208202.8067856925</v>
      </c>
      <c r="M29" s="1487">
        <f t="shared" si="16"/>
        <v>1306428.0205230652</v>
      </c>
      <c r="N29" s="1487">
        <f t="shared" si="16"/>
        <v>1523866.0723352646</v>
      </c>
      <c r="O29" s="1487">
        <f t="shared" si="16"/>
        <v>1579991.4219127558</v>
      </c>
      <c r="P29" s="1487">
        <f t="shared" si="16"/>
        <v>1583168.6709183599</v>
      </c>
      <c r="Q29" s="1487">
        <f t="shared" si="16"/>
        <v>1615250.8637739473</v>
      </c>
      <c r="R29" s="1487">
        <f t="shared" si="16"/>
        <v>1457338.2449079168</v>
      </c>
      <c r="S29" s="1487">
        <f t="shared" si="16"/>
        <v>1247533.287464964</v>
      </c>
      <c r="T29" s="1487">
        <f t="shared" si="16"/>
        <v>1157418.5236809705</v>
      </c>
      <c r="U29" s="1487">
        <f t="shared" si="16"/>
        <v>1156398.762914256</v>
      </c>
      <c r="V29" s="1487">
        <f t="shared" si="16"/>
        <v>1154572.0402402466</v>
      </c>
      <c r="W29" s="1487">
        <f t="shared" si="16"/>
        <v>1152919.4105134171</v>
      </c>
      <c r="X29" s="1487">
        <f t="shared" si="16"/>
        <v>1150215.5105305975</v>
      </c>
      <c r="Y29" s="1487">
        <f t="shared" si="16"/>
        <v>1146301.4808348839</v>
      </c>
      <c r="Z29" s="1487">
        <f t="shared" si="16"/>
        <v>1141286.5422624338</v>
      </c>
      <c r="AA29" s="1487">
        <f t="shared" si="16"/>
        <v>1134810.118342096</v>
      </c>
      <c r="AB29" s="1487">
        <f t="shared" si="16"/>
        <v>1127080.9058910396</v>
      </c>
      <c r="AC29" s="1487">
        <f t="shared" si="16"/>
        <v>1114346.4184135424</v>
      </c>
      <c r="AD29" s="1487">
        <f t="shared" si="16"/>
        <v>1098226.9757481499</v>
      </c>
      <c r="AE29" s="1487">
        <f t="shared" si="16"/>
        <v>1072027.8270564338</v>
      </c>
      <c r="AF29" s="1487">
        <f t="shared" si="16"/>
        <v>953532.9520168039</v>
      </c>
      <c r="AG29" s="1489">
        <f t="shared" si="15"/>
        <v>33983334.942816786</v>
      </c>
    </row>
    <row r="30" spans="1:36" s="1478" customFormat="1" ht="12">
      <c r="B30" s="1486" t="s">
        <v>223</v>
      </c>
      <c r="C30" s="1487">
        <f>C31+C32</f>
        <v>0</v>
      </c>
      <c r="D30" s="1487">
        <f t="shared" ref="D30:AF30" si="17">D31+D32</f>
        <v>-216017.56612724392</v>
      </c>
      <c r="E30" s="1487">
        <f t="shared" si="17"/>
        <v>-224220.92328385104</v>
      </c>
      <c r="F30" s="1487">
        <f t="shared" si="17"/>
        <v>-262594.52327203582</v>
      </c>
      <c r="G30" s="1487">
        <f t="shared" si="17"/>
        <v>-278162.11614224466</v>
      </c>
      <c r="H30" s="1487">
        <f t="shared" si="17"/>
        <v>-344778.14231692231</v>
      </c>
      <c r="I30" s="1487">
        <f t="shared" si="17"/>
        <v>-237410.71126438107</v>
      </c>
      <c r="J30" s="1487">
        <f t="shared" si="17"/>
        <v>-417270.18559336232</v>
      </c>
      <c r="K30" s="1487">
        <f t="shared" si="17"/>
        <v>-397254.14492626063</v>
      </c>
      <c r="L30" s="1487">
        <f t="shared" si="17"/>
        <v>-386788.95430713543</v>
      </c>
      <c r="M30" s="1487">
        <f t="shared" si="17"/>
        <v>-420185.52697784221</v>
      </c>
      <c r="N30" s="1487">
        <f t="shared" si="17"/>
        <v>-494114.46459399001</v>
      </c>
      <c r="O30" s="1487">
        <f t="shared" si="17"/>
        <v>-513197.08345033694</v>
      </c>
      <c r="P30" s="1487">
        <f t="shared" si="17"/>
        <v>-514277.34811224235</v>
      </c>
      <c r="Q30" s="1487">
        <f t="shared" si="17"/>
        <v>-525185.29368314205</v>
      </c>
      <c r="R30" s="1487">
        <f t="shared" si="17"/>
        <v>-471495.00326869171</v>
      </c>
      <c r="S30" s="1487">
        <f t="shared" si="17"/>
        <v>-400161.31773808773</v>
      </c>
      <c r="T30" s="1487">
        <f t="shared" si="17"/>
        <v>-369522.29805152997</v>
      </c>
      <c r="U30" s="1487">
        <f t="shared" si="17"/>
        <v>-369175.57939084701</v>
      </c>
      <c r="V30" s="1487">
        <f t="shared" si="17"/>
        <v>-368554.49368168385</v>
      </c>
      <c r="W30" s="1487">
        <f t="shared" si="17"/>
        <v>-367992.59957456181</v>
      </c>
      <c r="X30" s="1487">
        <f t="shared" si="17"/>
        <v>-367073.27358040318</v>
      </c>
      <c r="Y30" s="1487">
        <f t="shared" si="17"/>
        <v>-365742.50348386052</v>
      </c>
      <c r="Z30" s="1487">
        <f t="shared" si="17"/>
        <v>-364037.42436922749</v>
      </c>
      <c r="AA30" s="1487">
        <f t="shared" si="17"/>
        <v>-361835.44023631263</v>
      </c>
      <c r="AB30" s="1487">
        <f t="shared" si="17"/>
        <v>-359207.50800295349</v>
      </c>
      <c r="AC30" s="1487">
        <f t="shared" si="17"/>
        <v>-354877.78226060444</v>
      </c>
      <c r="AD30" s="1487">
        <f t="shared" si="17"/>
        <v>-349397.17175437097</v>
      </c>
      <c r="AE30" s="1487">
        <f t="shared" si="17"/>
        <v>-340489.4611991875</v>
      </c>
      <c r="AF30" s="1487">
        <f t="shared" si="17"/>
        <v>-300201.20368571335</v>
      </c>
      <c r="AG30" s="1489">
        <f t="shared" si="15"/>
        <v>-10741220.044329029</v>
      </c>
    </row>
    <row r="31" spans="1:36" s="1480" customFormat="1" ht="12">
      <c r="B31" s="1494" t="s">
        <v>224</v>
      </c>
      <c r="C31" s="1491"/>
      <c r="D31" s="1491">
        <f t="shared" ref="D31:AF31" si="18">-((D29*0.15)+((D29-240000)*0.1))</f>
        <v>-152483.50450532642</v>
      </c>
      <c r="E31" s="1491">
        <f t="shared" si="18"/>
        <v>-158515.38476753753</v>
      </c>
      <c r="F31" s="1491">
        <f t="shared" si="18"/>
        <v>-186731.26711179104</v>
      </c>
      <c r="G31" s="1491">
        <f t="shared" si="18"/>
        <v>-198178.02657517992</v>
      </c>
      <c r="H31" s="1491">
        <f t="shared" si="18"/>
        <v>-247160.39876244287</v>
      </c>
      <c r="I31" s="1491">
        <f t="shared" si="18"/>
        <v>-168213.75828263315</v>
      </c>
      <c r="J31" s="1491">
        <f t="shared" si="18"/>
        <v>-300463.37175982521</v>
      </c>
      <c r="K31" s="1491">
        <f t="shared" si="18"/>
        <v>-285745.69479872106</v>
      </c>
      <c r="L31" s="1491">
        <f t="shared" si="18"/>
        <v>-278050.70169642312</v>
      </c>
      <c r="M31" s="1491">
        <f t="shared" si="18"/>
        <v>-302607.00513076631</v>
      </c>
      <c r="N31" s="1491">
        <f t="shared" si="18"/>
        <v>-356966.51808381616</v>
      </c>
      <c r="O31" s="1491">
        <f t="shared" si="18"/>
        <v>-370997.85547818895</v>
      </c>
      <c r="P31" s="1491">
        <f t="shared" si="18"/>
        <v>-371792.16772958997</v>
      </c>
      <c r="Q31" s="1491">
        <f t="shared" si="18"/>
        <v>-379812.71594348684</v>
      </c>
      <c r="R31" s="1491">
        <f t="shared" si="18"/>
        <v>-340334.56122697919</v>
      </c>
      <c r="S31" s="1491">
        <f t="shared" si="18"/>
        <v>-287883.32186624099</v>
      </c>
      <c r="T31" s="1491">
        <f t="shared" si="18"/>
        <v>-265354.63092024263</v>
      </c>
      <c r="U31" s="1491">
        <f t="shared" si="18"/>
        <v>-265099.69072856399</v>
      </c>
      <c r="V31" s="1491">
        <f t="shared" si="18"/>
        <v>-264643.01006006164</v>
      </c>
      <c r="W31" s="1491">
        <f t="shared" si="18"/>
        <v>-264229.85262835427</v>
      </c>
      <c r="X31" s="1491">
        <f t="shared" si="18"/>
        <v>-263553.87763264938</v>
      </c>
      <c r="Y31" s="1491">
        <f t="shared" si="18"/>
        <v>-262575.37020872097</v>
      </c>
      <c r="Z31" s="1491">
        <f t="shared" si="18"/>
        <v>-261321.63556560845</v>
      </c>
      <c r="AA31" s="1491">
        <f t="shared" si="18"/>
        <v>-259702.529585524</v>
      </c>
      <c r="AB31" s="1491">
        <f t="shared" si="18"/>
        <v>-257770.22647275991</v>
      </c>
      <c r="AC31" s="1491">
        <f t="shared" si="18"/>
        <v>-254586.60460338561</v>
      </c>
      <c r="AD31" s="1491">
        <f t="shared" si="18"/>
        <v>-250556.74393703748</v>
      </c>
      <c r="AE31" s="1491">
        <f t="shared" si="18"/>
        <v>-244006.95676410844</v>
      </c>
      <c r="AF31" s="1491">
        <f t="shared" si="18"/>
        <v>-214383.23800420098</v>
      </c>
      <c r="AG31" s="1489">
        <f t="shared" si="15"/>
        <v>-7713720.6208301671</v>
      </c>
    </row>
    <row r="32" spans="1:36" s="1480" customFormat="1" ht="12">
      <c r="B32" s="1494" t="s">
        <v>225</v>
      </c>
      <c r="C32" s="1491"/>
      <c r="D32" s="1491">
        <f t="shared" ref="D32:AF32" si="19">-(D29*0.09)</f>
        <v>-63534.061621917506</v>
      </c>
      <c r="E32" s="1491">
        <f t="shared" si="19"/>
        <v>-65705.538516313507</v>
      </c>
      <c r="F32" s="1491">
        <f t="shared" si="19"/>
        <v>-75863.256160244768</v>
      </c>
      <c r="G32" s="1491">
        <f t="shared" si="19"/>
        <v>-79984.089567064773</v>
      </c>
      <c r="H32" s="1491">
        <f t="shared" si="19"/>
        <v>-97617.743554479428</v>
      </c>
      <c r="I32" s="1491">
        <f t="shared" si="19"/>
        <v>-69196.952981747934</v>
      </c>
      <c r="J32" s="1491">
        <f t="shared" si="19"/>
        <v>-116806.81383353707</v>
      </c>
      <c r="K32" s="1491">
        <f t="shared" si="19"/>
        <v>-111508.45012753957</v>
      </c>
      <c r="L32" s="1491">
        <f t="shared" si="19"/>
        <v>-108738.25261071231</v>
      </c>
      <c r="M32" s="1491">
        <f t="shared" si="19"/>
        <v>-117578.52184707587</v>
      </c>
      <c r="N32" s="1491">
        <f t="shared" si="19"/>
        <v>-137147.94651017382</v>
      </c>
      <c r="O32" s="1491">
        <f t="shared" si="19"/>
        <v>-142199.22797214802</v>
      </c>
      <c r="P32" s="1491">
        <f t="shared" si="19"/>
        <v>-142485.18038265238</v>
      </c>
      <c r="Q32" s="1491">
        <f t="shared" si="19"/>
        <v>-145372.57773965524</v>
      </c>
      <c r="R32" s="1491">
        <f t="shared" si="19"/>
        <v>-131160.44204171249</v>
      </c>
      <c r="S32" s="1491">
        <f t="shared" si="19"/>
        <v>-112277.99587184675</v>
      </c>
      <c r="T32" s="1491">
        <f t="shared" si="19"/>
        <v>-104167.66713128735</v>
      </c>
      <c r="U32" s="1491">
        <f t="shared" si="19"/>
        <v>-104075.88866228303</v>
      </c>
      <c r="V32" s="1491">
        <f t="shared" si="19"/>
        <v>-103911.48362162219</v>
      </c>
      <c r="W32" s="1491">
        <f t="shared" si="19"/>
        <v>-103762.74694620754</v>
      </c>
      <c r="X32" s="1491">
        <f t="shared" si="19"/>
        <v>-103519.39594775377</v>
      </c>
      <c r="Y32" s="1491">
        <f t="shared" si="19"/>
        <v>-103167.13327513954</v>
      </c>
      <c r="Z32" s="1491">
        <f t="shared" si="19"/>
        <v>-102715.78880361904</v>
      </c>
      <c r="AA32" s="1491">
        <f t="shared" si="19"/>
        <v>-102132.91065078863</v>
      </c>
      <c r="AB32" s="1491">
        <f t="shared" si="19"/>
        <v>-101437.28153019356</v>
      </c>
      <c r="AC32" s="1491">
        <f t="shared" si="19"/>
        <v>-100291.17765721881</v>
      </c>
      <c r="AD32" s="1491">
        <f t="shared" si="19"/>
        <v>-98840.42781733349</v>
      </c>
      <c r="AE32" s="1491">
        <f t="shared" si="19"/>
        <v>-96482.504435079041</v>
      </c>
      <c r="AF32" s="1491">
        <f t="shared" si="19"/>
        <v>-85817.965681512345</v>
      </c>
      <c r="AG32" s="1489">
        <f t="shared" si="15"/>
        <v>-3027499.4234988601</v>
      </c>
    </row>
    <row r="33" spans="2:34" s="1480" customFormat="1" ht="12.75" thickBot="1">
      <c r="B33" s="1501" t="s">
        <v>226</v>
      </c>
      <c r="C33" s="1502">
        <f>C29+C30</f>
        <v>344452.45949611819</v>
      </c>
      <c r="D33" s="1502">
        <f t="shared" ref="D33:AF33" si="20">D29+D30</f>
        <v>489916.45189406176</v>
      </c>
      <c r="E33" s="1502">
        <f t="shared" si="20"/>
        <v>505840.61578629911</v>
      </c>
      <c r="F33" s="1502">
        <f t="shared" si="20"/>
        <v>580330.54517512838</v>
      </c>
      <c r="G33" s="1502">
        <f t="shared" si="20"/>
        <v>610549.990158475</v>
      </c>
      <c r="H33" s="1502">
        <f t="shared" si="20"/>
        <v>739863.45273284917</v>
      </c>
      <c r="I33" s="1502">
        <f t="shared" si="20"/>
        <v>531444.32186615153</v>
      </c>
      <c r="J33" s="1502">
        <f t="shared" si="20"/>
        <v>880583.30144593853</v>
      </c>
      <c r="K33" s="1502">
        <f t="shared" si="20"/>
        <v>841728.63426862354</v>
      </c>
      <c r="L33" s="1502">
        <f t="shared" si="20"/>
        <v>821413.85247855703</v>
      </c>
      <c r="M33" s="1502">
        <f t="shared" si="20"/>
        <v>886242.49354522303</v>
      </c>
      <c r="N33" s="1502">
        <f t="shared" si="20"/>
        <v>1029751.6077412746</v>
      </c>
      <c r="O33" s="1502">
        <f t="shared" si="20"/>
        <v>1066794.3384624189</v>
      </c>
      <c r="P33" s="1502">
        <f t="shared" si="20"/>
        <v>1068891.3228061176</v>
      </c>
      <c r="Q33" s="1502">
        <f t="shared" si="20"/>
        <v>1090065.5700908052</v>
      </c>
      <c r="R33" s="1502">
        <f t="shared" si="20"/>
        <v>985843.24163922505</v>
      </c>
      <c r="S33" s="1502">
        <f t="shared" si="20"/>
        <v>847371.96972687624</v>
      </c>
      <c r="T33" s="1502">
        <f t="shared" si="20"/>
        <v>787896.22562944051</v>
      </c>
      <c r="U33" s="1502">
        <f t="shared" si="20"/>
        <v>787223.18352340895</v>
      </c>
      <c r="V33" s="1502">
        <f t="shared" si="20"/>
        <v>786017.54655856267</v>
      </c>
      <c r="W33" s="1502">
        <f t="shared" si="20"/>
        <v>784926.81093885528</v>
      </c>
      <c r="X33" s="1502">
        <f t="shared" si="20"/>
        <v>783142.23695019435</v>
      </c>
      <c r="Y33" s="1502">
        <f t="shared" si="20"/>
        <v>780558.97735102335</v>
      </c>
      <c r="Z33" s="1502">
        <f t="shared" si="20"/>
        <v>777249.1178932063</v>
      </c>
      <c r="AA33" s="1502">
        <f t="shared" si="20"/>
        <v>772974.67810578342</v>
      </c>
      <c r="AB33" s="1502">
        <f t="shared" si="20"/>
        <v>767873.39788808615</v>
      </c>
      <c r="AC33" s="1502">
        <f t="shared" si="20"/>
        <v>759468.63615293801</v>
      </c>
      <c r="AD33" s="1502">
        <f t="shared" si="20"/>
        <v>748829.803993779</v>
      </c>
      <c r="AE33" s="1502">
        <f t="shared" si="20"/>
        <v>731538.36585724633</v>
      </c>
      <c r="AF33" s="1502">
        <f t="shared" si="20"/>
        <v>653331.74833109055</v>
      </c>
      <c r="AG33" s="1503">
        <f t="shared" si="15"/>
        <v>23242114.898487765</v>
      </c>
      <c r="AH33" s="1493"/>
    </row>
    <row r="34" spans="2:34" s="1478" customFormat="1" ht="12"/>
    <row r="35" spans="2:34" s="1504" customFormat="1" ht="12" hidden="1">
      <c r="C35" s="1504">
        <f>C29*0.15</f>
        <v>51667.868924417729</v>
      </c>
      <c r="D35" s="1504">
        <f t="shared" ref="D35:AF35" si="21">D29*0.15</f>
        <v>105890.10270319585</v>
      </c>
      <c r="E35" s="1504">
        <f t="shared" si="21"/>
        <v>109509.23086052251</v>
      </c>
      <c r="F35" s="1504">
        <f t="shared" si="21"/>
        <v>126438.76026707461</v>
      </c>
      <c r="G35" s="1504">
        <f t="shared" si="21"/>
        <v>133306.81594510796</v>
      </c>
      <c r="H35" s="1504">
        <f t="shared" si="21"/>
        <v>162696.23925746573</v>
      </c>
      <c r="I35" s="1504">
        <f t="shared" si="21"/>
        <v>115328.25496957988</v>
      </c>
      <c r="J35" s="1504">
        <f t="shared" si="21"/>
        <v>194678.02305589512</v>
      </c>
      <c r="K35" s="1504">
        <f t="shared" si="21"/>
        <v>185847.41687923262</v>
      </c>
      <c r="L35" s="1504">
        <f t="shared" si="21"/>
        <v>181230.42101785386</v>
      </c>
      <c r="M35" s="1504">
        <f t="shared" si="21"/>
        <v>195964.20307845977</v>
      </c>
      <c r="N35" s="1504">
        <f t="shared" si="21"/>
        <v>228579.91085028969</v>
      </c>
      <c r="O35" s="1504">
        <f t="shared" si="21"/>
        <v>236998.71328691335</v>
      </c>
      <c r="P35" s="1504">
        <f t="shared" si="21"/>
        <v>237475.30063775397</v>
      </c>
      <c r="Q35" s="1504">
        <f t="shared" si="21"/>
        <v>242287.6295660921</v>
      </c>
      <c r="R35" s="1504">
        <f t="shared" si="21"/>
        <v>218600.73673618751</v>
      </c>
      <c r="S35" s="1504">
        <f t="shared" si="21"/>
        <v>187129.99311974458</v>
      </c>
      <c r="T35" s="1504">
        <f t="shared" si="21"/>
        <v>173612.77855214558</v>
      </c>
      <c r="U35" s="1504">
        <f t="shared" si="21"/>
        <v>173459.81443713838</v>
      </c>
      <c r="V35" s="1504">
        <f t="shared" si="21"/>
        <v>173185.80603603699</v>
      </c>
      <c r="W35" s="1504">
        <f t="shared" si="21"/>
        <v>172937.91157701256</v>
      </c>
      <c r="X35" s="1504">
        <f t="shared" si="21"/>
        <v>172532.32657958963</v>
      </c>
      <c r="Y35" s="1504">
        <f t="shared" si="21"/>
        <v>171945.22212523257</v>
      </c>
      <c r="Z35" s="1504">
        <f t="shared" si="21"/>
        <v>171192.98133936507</v>
      </c>
      <c r="AA35" s="1504">
        <f t="shared" si="21"/>
        <v>170221.51775131439</v>
      </c>
      <c r="AB35" s="1504">
        <f t="shared" si="21"/>
        <v>169062.13588365595</v>
      </c>
      <c r="AC35" s="1504">
        <f t="shared" si="21"/>
        <v>167151.96276203135</v>
      </c>
      <c r="AD35" s="1504">
        <f t="shared" si="21"/>
        <v>164734.04636222249</v>
      </c>
      <c r="AE35" s="1504">
        <f t="shared" si="21"/>
        <v>160804.17405846505</v>
      </c>
      <c r="AF35" s="1504">
        <f t="shared" si="21"/>
        <v>143029.94280252059</v>
      </c>
    </row>
    <row r="36" spans="2:34" s="1504" customFormat="1" ht="12" hidden="1">
      <c r="C36" s="1504">
        <f>(C29-240000)*0.1</f>
        <v>10445.245949611819</v>
      </c>
      <c r="D36" s="1504">
        <f t="shared" ref="D36:AF36" si="22">(D29-240000)*0.1</f>
        <v>46593.401802130567</v>
      </c>
      <c r="E36" s="1504">
        <f t="shared" si="22"/>
        <v>49006.153907015017</v>
      </c>
      <c r="F36" s="1504">
        <f t="shared" si="22"/>
        <v>60292.506844716416</v>
      </c>
      <c r="G36" s="1504">
        <f t="shared" si="22"/>
        <v>64871.210630071968</v>
      </c>
      <c r="H36" s="1504">
        <f t="shared" si="22"/>
        <v>84464.159504977157</v>
      </c>
      <c r="I36" s="1504">
        <f t="shared" si="22"/>
        <v>52885.503313053261</v>
      </c>
      <c r="J36" s="1504">
        <f t="shared" si="22"/>
        <v>105785.3487039301</v>
      </c>
      <c r="K36" s="1504">
        <f t="shared" si="22"/>
        <v>99898.277919488435</v>
      </c>
      <c r="L36" s="1504">
        <f t="shared" si="22"/>
        <v>96820.280678569252</v>
      </c>
      <c r="M36" s="1504">
        <f t="shared" si="22"/>
        <v>106642.80205230654</v>
      </c>
      <c r="N36" s="1504">
        <f t="shared" si="22"/>
        <v>128386.60723352648</v>
      </c>
      <c r="O36" s="1504">
        <f t="shared" si="22"/>
        <v>133999.14219127558</v>
      </c>
      <c r="P36" s="1504">
        <f t="shared" si="22"/>
        <v>134316.867091836</v>
      </c>
      <c r="Q36" s="1504">
        <f t="shared" si="22"/>
        <v>137525.08637739473</v>
      </c>
      <c r="R36" s="1504">
        <f t="shared" si="22"/>
        <v>121733.82449079168</v>
      </c>
      <c r="S36" s="1504">
        <f t="shared" si="22"/>
        <v>100753.32874649641</v>
      </c>
      <c r="T36" s="1504">
        <f t="shared" si="22"/>
        <v>91741.852368097054</v>
      </c>
      <c r="U36" s="1504">
        <f t="shared" si="22"/>
        <v>91639.876291425608</v>
      </c>
      <c r="V36" s="1504">
        <f t="shared" si="22"/>
        <v>91457.204024024657</v>
      </c>
      <c r="W36" s="1504">
        <f t="shared" si="22"/>
        <v>91291.94105134171</v>
      </c>
      <c r="X36" s="1504">
        <f t="shared" si="22"/>
        <v>91021.551053059753</v>
      </c>
      <c r="Y36" s="1504">
        <f t="shared" si="22"/>
        <v>90630.148083488399</v>
      </c>
      <c r="Z36" s="1504">
        <f t="shared" si="22"/>
        <v>90128.65422624338</v>
      </c>
      <c r="AA36" s="1504">
        <f t="shared" si="22"/>
        <v>89481.01183420961</v>
      </c>
      <c r="AB36" s="1504">
        <f t="shared" si="22"/>
        <v>88708.090589103973</v>
      </c>
      <c r="AC36" s="1504">
        <f t="shared" si="22"/>
        <v>87434.641841354256</v>
      </c>
      <c r="AD36" s="1504">
        <f t="shared" si="22"/>
        <v>85822.697574815</v>
      </c>
      <c r="AE36" s="1504">
        <f t="shared" si="22"/>
        <v>83202.782705643389</v>
      </c>
      <c r="AF36" s="1504">
        <f t="shared" si="22"/>
        <v>71353.29520168039</v>
      </c>
    </row>
    <row r="37" spans="2:34" s="1504" customFormat="1" ht="12" hidden="1">
      <c r="C37" s="1504">
        <f>C35+C36</f>
        <v>62113.114874029547</v>
      </c>
      <c r="D37" s="1504">
        <f t="shared" ref="D37:AF37" si="23">D35+D36</f>
        <v>152483.50450532642</v>
      </c>
      <c r="E37" s="1504">
        <f t="shared" si="23"/>
        <v>158515.38476753753</v>
      </c>
      <c r="F37" s="1504">
        <f t="shared" si="23"/>
        <v>186731.26711179104</v>
      </c>
      <c r="G37" s="1504">
        <f t="shared" si="23"/>
        <v>198178.02657517992</v>
      </c>
      <c r="H37" s="1504">
        <f t="shared" si="23"/>
        <v>247160.39876244287</v>
      </c>
      <c r="I37" s="1504">
        <f t="shared" si="23"/>
        <v>168213.75828263315</v>
      </c>
      <c r="J37" s="1504">
        <f t="shared" si="23"/>
        <v>300463.37175982521</v>
      </c>
      <c r="K37" s="1504">
        <f t="shared" si="23"/>
        <v>285745.69479872106</v>
      </c>
      <c r="L37" s="1504">
        <f t="shared" si="23"/>
        <v>278050.70169642312</v>
      </c>
      <c r="M37" s="1504">
        <f t="shared" si="23"/>
        <v>302607.00513076631</v>
      </c>
      <c r="N37" s="1504">
        <f t="shared" si="23"/>
        <v>356966.51808381616</v>
      </c>
      <c r="O37" s="1504">
        <f t="shared" si="23"/>
        <v>370997.85547818895</v>
      </c>
      <c r="P37" s="1504">
        <f t="shared" si="23"/>
        <v>371792.16772958997</v>
      </c>
      <c r="Q37" s="1504">
        <f t="shared" si="23"/>
        <v>379812.71594348684</v>
      </c>
      <c r="R37" s="1504">
        <f t="shared" si="23"/>
        <v>340334.56122697919</v>
      </c>
      <c r="S37" s="1504">
        <f t="shared" si="23"/>
        <v>287883.32186624099</v>
      </c>
      <c r="T37" s="1504">
        <f t="shared" si="23"/>
        <v>265354.63092024263</v>
      </c>
      <c r="U37" s="1504">
        <f t="shared" si="23"/>
        <v>265099.69072856399</v>
      </c>
      <c r="V37" s="1504">
        <f t="shared" si="23"/>
        <v>264643.01006006164</v>
      </c>
      <c r="W37" s="1504">
        <f t="shared" si="23"/>
        <v>264229.85262835427</v>
      </c>
      <c r="X37" s="1504">
        <f t="shared" si="23"/>
        <v>263553.87763264938</v>
      </c>
      <c r="Y37" s="1504">
        <f t="shared" si="23"/>
        <v>262575.37020872097</v>
      </c>
      <c r="Z37" s="1504">
        <f t="shared" si="23"/>
        <v>261321.63556560845</v>
      </c>
      <c r="AA37" s="1504">
        <f t="shared" si="23"/>
        <v>259702.529585524</v>
      </c>
      <c r="AB37" s="1504">
        <f t="shared" si="23"/>
        <v>257770.22647275991</v>
      </c>
      <c r="AC37" s="1504">
        <f t="shared" si="23"/>
        <v>254586.60460338561</v>
      </c>
      <c r="AD37" s="1504">
        <f t="shared" si="23"/>
        <v>250556.74393703748</v>
      </c>
      <c r="AE37" s="1504">
        <f t="shared" si="23"/>
        <v>244006.95676410844</v>
      </c>
      <c r="AF37" s="1504">
        <f t="shared" si="23"/>
        <v>214383.23800420098</v>
      </c>
    </row>
    <row r="38" spans="2:34" s="1478" customFormat="1" ht="12" hidden="1"/>
    <row r="39" spans="2:34" s="1478" customFormat="1" ht="12" hidden="1">
      <c r="B39" s="1478" t="str">
        <f>IF(SUM(C39:AF39)&gt;=1,"CHECK","OK")</f>
        <v>OK</v>
      </c>
      <c r="C39" s="1478">
        <f t="shared" ref="C39:AF39" si="24">IF(C29&lt;=240000,1,0)</f>
        <v>0</v>
      </c>
      <c r="D39" s="1478">
        <f t="shared" si="24"/>
        <v>0</v>
      </c>
      <c r="E39" s="1478">
        <f t="shared" si="24"/>
        <v>0</v>
      </c>
      <c r="F39" s="1478">
        <f t="shared" si="24"/>
        <v>0</v>
      </c>
      <c r="G39" s="1478">
        <f t="shared" si="24"/>
        <v>0</v>
      </c>
      <c r="H39" s="1478">
        <f t="shared" si="24"/>
        <v>0</v>
      </c>
      <c r="I39" s="1478">
        <f t="shared" si="24"/>
        <v>0</v>
      </c>
      <c r="J39" s="1478">
        <f t="shared" si="24"/>
        <v>0</v>
      </c>
      <c r="K39" s="1478">
        <f t="shared" si="24"/>
        <v>0</v>
      </c>
      <c r="L39" s="1478">
        <f t="shared" si="24"/>
        <v>0</v>
      </c>
      <c r="M39" s="1478">
        <f t="shared" si="24"/>
        <v>0</v>
      </c>
      <c r="N39" s="1478">
        <f t="shared" si="24"/>
        <v>0</v>
      </c>
      <c r="O39" s="1478">
        <f t="shared" si="24"/>
        <v>0</v>
      </c>
      <c r="P39" s="1478">
        <f t="shared" si="24"/>
        <v>0</v>
      </c>
      <c r="Q39" s="1478">
        <f t="shared" si="24"/>
        <v>0</v>
      </c>
      <c r="R39" s="1478">
        <f t="shared" si="24"/>
        <v>0</v>
      </c>
      <c r="S39" s="1478">
        <f t="shared" si="24"/>
        <v>0</v>
      </c>
      <c r="T39" s="1478">
        <f t="shared" si="24"/>
        <v>0</v>
      </c>
      <c r="U39" s="1478">
        <f t="shared" si="24"/>
        <v>0</v>
      </c>
      <c r="V39" s="1478">
        <f t="shared" si="24"/>
        <v>0</v>
      </c>
      <c r="W39" s="1478">
        <f t="shared" si="24"/>
        <v>0</v>
      </c>
      <c r="X39" s="1478">
        <f t="shared" si="24"/>
        <v>0</v>
      </c>
      <c r="Y39" s="1478">
        <f t="shared" si="24"/>
        <v>0</v>
      </c>
      <c r="Z39" s="1478">
        <f t="shared" si="24"/>
        <v>0</v>
      </c>
      <c r="AA39" s="1478">
        <f t="shared" si="24"/>
        <v>0</v>
      </c>
      <c r="AB39" s="1478">
        <f t="shared" si="24"/>
        <v>0</v>
      </c>
      <c r="AC39" s="1478">
        <f t="shared" si="24"/>
        <v>0</v>
      </c>
      <c r="AD39" s="1478">
        <f t="shared" si="24"/>
        <v>0</v>
      </c>
      <c r="AE39" s="1478">
        <f t="shared" si="24"/>
        <v>0</v>
      </c>
      <c r="AF39" s="1478">
        <f t="shared" si="24"/>
        <v>0</v>
      </c>
    </row>
    <row r="40" spans="2:34" s="1478" customFormat="1" ht="12" hidden="1">
      <c r="C40" s="1505"/>
      <c r="D40" s="1505"/>
      <c r="E40" s="1505"/>
      <c r="F40" s="1505"/>
      <c r="G40" s="1505"/>
      <c r="H40" s="1505"/>
      <c r="I40" s="1505"/>
      <c r="J40" s="1505"/>
      <c r="K40" s="1505"/>
      <c r="L40" s="1505"/>
      <c r="M40" s="1505"/>
      <c r="N40" s="1505"/>
      <c r="O40" s="1505"/>
      <c r="P40" s="1505"/>
      <c r="Q40" s="1505"/>
      <c r="R40" s="1505"/>
      <c r="S40" s="1505"/>
      <c r="T40" s="1505"/>
      <c r="U40" s="1505"/>
      <c r="V40" s="1505"/>
      <c r="W40" s="1505"/>
      <c r="X40" s="1505"/>
      <c r="Y40" s="1505"/>
      <c r="Z40" s="1505"/>
      <c r="AA40" s="1505"/>
      <c r="AB40" s="1505"/>
      <c r="AC40" s="1505"/>
      <c r="AD40" s="1505"/>
      <c r="AE40" s="1505"/>
      <c r="AF40" s="1505"/>
      <c r="AG40" s="1505"/>
    </row>
    <row r="41" spans="2:34" s="1478" customFormat="1" ht="12" hidden="1"/>
    <row r="42" spans="2:34" s="206" customFormat="1" ht="12">
      <c r="B42" s="1479" t="s">
        <v>883</v>
      </c>
      <c r="C42" s="1480"/>
      <c r="D42" s="1480"/>
      <c r="E42" s="1480"/>
      <c r="F42" s="1480"/>
      <c r="G42" s="1480"/>
      <c r="H42" s="1480"/>
      <c r="I42" s="1480"/>
      <c r="J42" s="1480"/>
      <c r="K42" s="1480"/>
      <c r="L42" s="1480"/>
      <c r="M42" s="1480"/>
      <c r="N42" s="1506"/>
      <c r="O42" s="1506"/>
      <c r="P42" s="1506"/>
      <c r="Q42" s="1507"/>
      <c r="R42" s="1480"/>
      <c r="S42" s="1480"/>
      <c r="T42" s="1480"/>
      <c r="U42" s="1480"/>
      <c r="V42" s="1480"/>
      <c r="W42" s="1480"/>
      <c r="X42" s="1480"/>
      <c r="Y42" s="1480"/>
      <c r="Z42" s="1480"/>
      <c r="AA42" s="1480"/>
      <c r="AB42" s="1480"/>
      <c r="AC42" s="1584"/>
      <c r="AD42" s="1584"/>
      <c r="AE42" s="1584"/>
      <c r="AF42" s="1584"/>
      <c r="AG42" s="1584"/>
    </row>
    <row r="43" spans="2:34" s="206" customFormat="1" ht="12.75" thickBot="1">
      <c r="B43" s="1478"/>
      <c r="C43" s="1478"/>
      <c r="D43" s="1478"/>
      <c r="E43" s="1478"/>
      <c r="F43" s="1478"/>
      <c r="G43" s="1482"/>
      <c r="H43" s="1478"/>
      <c r="I43" s="1478"/>
      <c r="J43" s="1478"/>
      <c r="K43" s="1478"/>
      <c r="L43" s="1482"/>
      <c r="N43" s="1478"/>
      <c r="O43" s="1482"/>
      <c r="P43" s="1482"/>
      <c r="Q43" s="1482"/>
      <c r="R43" s="1482"/>
      <c r="S43" s="1478"/>
      <c r="T43" s="1478"/>
      <c r="U43" s="1478"/>
      <c r="V43" s="1482"/>
      <c r="W43" s="1482"/>
      <c r="X43" s="1482"/>
      <c r="Y43" s="1482"/>
      <c r="Z43" s="1482"/>
      <c r="AA43" s="1482"/>
      <c r="AB43" s="1482"/>
      <c r="AC43" s="1482"/>
      <c r="AD43" s="1482"/>
      <c r="AE43" s="1482"/>
      <c r="AF43" s="1482"/>
      <c r="AG43" s="1482"/>
    </row>
    <row r="44" spans="2:34" s="206" customFormat="1" ht="12.75" thickBot="1">
      <c r="B44" s="1508" t="s">
        <v>172</v>
      </c>
      <c r="C44" s="1509" t="s">
        <v>173</v>
      </c>
      <c r="D44" s="1509" t="s">
        <v>174</v>
      </c>
      <c r="E44" s="1509" t="s">
        <v>259</v>
      </c>
      <c r="F44" s="1509" t="s">
        <v>175</v>
      </c>
      <c r="G44" s="1509" t="s">
        <v>176</v>
      </c>
      <c r="H44" s="1509" t="s">
        <v>177</v>
      </c>
      <c r="I44" s="1509" t="s">
        <v>178</v>
      </c>
      <c r="J44" s="1509" t="s">
        <v>179</v>
      </c>
      <c r="K44" s="1509" t="s">
        <v>180</v>
      </c>
      <c r="L44" s="1509" t="s">
        <v>181</v>
      </c>
      <c r="M44" s="1509" t="s">
        <v>182</v>
      </c>
      <c r="N44" s="1509" t="s">
        <v>183</v>
      </c>
      <c r="O44" s="1509" t="s">
        <v>184</v>
      </c>
      <c r="P44" s="1509" t="s">
        <v>185</v>
      </c>
      <c r="Q44" s="1509" t="s">
        <v>186</v>
      </c>
      <c r="R44" s="1509" t="s">
        <v>187</v>
      </c>
      <c r="S44" s="1509" t="s">
        <v>188</v>
      </c>
      <c r="T44" s="1509" t="s">
        <v>189</v>
      </c>
      <c r="U44" s="1509" t="s">
        <v>190</v>
      </c>
      <c r="V44" s="1509" t="s">
        <v>191</v>
      </c>
      <c r="W44" s="1509" t="s">
        <v>192</v>
      </c>
      <c r="X44" s="1509" t="s">
        <v>193</v>
      </c>
      <c r="Y44" s="1509" t="s">
        <v>194</v>
      </c>
      <c r="Z44" s="1509" t="s">
        <v>195</v>
      </c>
      <c r="AA44" s="1509" t="s">
        <v>196</v>
      </c>
      <c r="AB44" s="1509" t="s">
        <v>197</v>
      </c>
      <c r="AC44" s="1509" t="s">
        <v>198</v>
      </c>
      <c r="AD44" s="1509" t="s">
        <v>199</v>
      </c>
      <c r="AE44" s="1509" t="s">
        <v>200</v>
      </c>
      <c r="AF44" s="1510" t="s">
        <v>201</v>
      </c>
      <c r="AG44" s="1511" t="s">
        <v>0</v>
      </c>
    </row>
    <row r="45" spans="2:34" s="205" customFormat="1" ht="12">
      <c r="B45" s="1512" t="s">
        <v>227</v>
      </c>
      <c r="C45" s="1513">
        <f>C27</f>
        <v>344452.45949611819</v>
      </c>
      <c r="D45" s="1513">
        <f t="shared" ref="D45:AF45" si="25">D27</f>
        <v>725356.85352382285</v>
      </c>
      <c r="E45" s="1513">
        <f t="shared" si="25"/>
        <v>761828.63043885329</v>
      </c>
      <c r="F45" s="1513">
        <f t="shared" si="25"/>
        <v>885889.84541072126</v>
      </c>
      <c r="G45" s="1513">
        <f t="shared" si="25"/>
        <v>985282.16072117677</v>
      </c>
      <c r="H45" s="1513">
        <f t="shared" si="25"/>
        <v>1208087.4405446299</v>
      </c>
      <c r="I45" s="1513">
        <f t="shared" si="25"/>
        <v>1205221.7157504328</v>
      </c>
      <c r="J45" s="1513">
        <f t="shared" si="25"/>
        <v>1783906.1439366036</v>
      </c>
      <c r="K45" s="1513">
        <f t="shared" si="25"/>
        <v>1834204.6658836438</v>
      </c>
      <c r="L45" s="1513">
        <f t="shared" si="25"/>
        <v>1912979.4794038583</v>
      </c>
      <c r="M45" s="1513">
        <f t="shared" si="25"/>
        <v>2065339.8787047386</v>
      </c>
      <c r="N45" s="1513">
        <f t="shared" si="25"/>
        <v>2320068.5803859853</v>
      </c>
      <c r="O45" s="1513">
        <f t="shared" si="25"/>
        <v>2378823.8051719284</v>
      </c>
      <c r="P45" s="1513">
        <f t="shared" si="25"/>
        <v>2384785.6279276581</v>
      </c>
      <c r="Q45" s="1513">
        <f t="shared" si="25"/>
        <v>2421141.9928927543</v>
      </c>
      <c r="R45" s="1513">
        <f t="shared" si="25"/>
        <v>2428543.4622256178</v>
      </c>
      <c r="S45" s="1513">
        <f t="shared" si="25"/>
        <v>2405232.2925090739</v>
      </c>
      <c r="T45" s="1513">
        <f t="shared" si="25"/>
        <v>2403622.9015538013</v>
      </c>
      <c r="U45" s="1513">
        <f t="shared" si="25"/>
        <v>2407861.3702664315</v>
      </c>
      <c r="V45" s="1513">
        <f t="shared" si="25"/>
        <v>2411770.8979335255</v>
      </c>
      <c r="W45" s="1513">
        <f t="shared" si="25"/>
        <v>2416428.1435819096</v>
      </c>
      <c r="X45" s="1513">
        <f t="shared" si="25"/>
        <v>2421367.994015994</v>
      </c>
      <c r="Y45" s="1513">
        <f t="shared" si="25"/>
        <v>2424883.8085392974</v>
      </c>
      <c r="Z45" s="1513">
        <f t="shared" si="25"/>
        <v>2428360.1205028668</v>
      </c>
      <c r="AA45" s="1513">
        <f t="shared" si="25"/>
        <v>2431790.1555412184</v>
      </c>
      <c r="AB45" s="1513">
        <f t="shared" si="25"/>
        <v>2435948.6938405894</v>
      </c>
      <c r="AC45" s="1513">
        <f t="shared" si="25"/>
        <v>2440412.6448011263</v>
      </c>
      <c r="AD45" s="1513">
        <f t="shared" si="25"/>
        <v>2444377.453386446</v>
      </c>
      <c r="AE45" s="1513">
        <f t="shared" si="25"/>
        <v>2448711.6815707982</v>
      </c>
      <c r="AF45" s="1513">
        <f t="shared" si="25"/>
        <v>2451948.8082800377</v>
      </c>
      <c r="AG45" s="1514">
        <f>SUM(C45:AF45)</f>
        <v>59618629.708741657</v>
      </c>
    </row>
    <row r="46" spans="2:34" s="206" customFormat="1" ht="12">
      <c r="B46" s="1490" t="s">
        <v>228</v>
      </c>
      <c r="C46" s="1491"/>
      <c r="D46" s="1491"/>
      <c r="E46" s="1491"/>
      <c r="F46" s="1491"/>
      <c r="G46" s="1491"/>
      <c r="H46" s="1491"/>
      <c r="I46" s="1491"/>
      <c r="J46" s="1491"/>
      <c r="K46" s="1491"/>
      <c r="L46" s="1491"/>
      <c r="M46" s="1491"/>
      <c r="N46" s="1491"/>
      <c r="O46" s="1491"/>
      <c r="P46" s="1491"/>
      <c r="Q46" s="1491"/>
      <c r="R46" s="1491"/>
      <c r="S46" s="1491"/>
      <c r="T46" s="1491"/>
      <c r="U46" s="1491"/>
      <c r="V46" s="1491"/>
      <c r="W46" s="1491"/>
      <c r="X46" s="1491"/>
      <c r="Y46" s="1491"/>
      <c r="Z46" s="1491"/>
      <c r="AA46" s="1491"/>
      <c r="AB46" s="1491"/>
      <c r="AC46" s="1491"/>
      <c r="AD46" s="1491"/>
      <c r="AE46" s="1491"/>
      <c r="AF46" s="1515"/>
      <c r="AG46" s="1516">
        <f t="shared" ref="AG46:AG55" si="26">SUM(C46:AF46)</f>
        <v>0</v>
      </c>
    </row>
    <row r="47" spans="2:34" s="205" customFormat="1" ht="12">
      <c r="B47" s="1486" t="s">
        <v>229</v>
      </c>
      <c r="C47" s="1487">
        <f t="shared" ref="C47:AF47" si="27">C48+C52</f>
        <v>-563262.22957299976</v>
      </c>
      <c r="D47" s="1487">
        <f t="shared" si="27"/>
        <v>-561656.73038045038</v>
      </c>
      <c r="E47" s="1487">
        <f t="shared" si="27"/>
        <v>-526558.43434490811</v>
      </c>
      <c r="F47" s="1487">
        <f t="shared" si="27"/>
        <v>-1656331.7371514337</v>
      </c>
      <c r="G47" s="1487">
        <f t="shared" si="27"/>
        <v>-950056.89300227922</v>
      </c>
      <c r="H47" s="1487">
        <f t="shared" si="27"/>
        <v>-7854878.2333179265</v>
      </c>
      <c r="I47" s="1487">
        <f t="shared" si="27"/>
        <v>-1380188.1196446363</v>
      </c>
      <c r="J47" s="1487">
        <f t="shared" si="27"/>
        <v>-2818993.2410054151</v>
      </c>
      <c r="K47" s="1487">
        <f t="shared" si="27"/>
        <v>-2697904.649443794</v>
      </c>
      <c r="L47" s="1487">
        <f t="shared" si="27"/>
        <v>-1469492.6655772871</v>
      </c>
      <c r="M47" s="1487">
        <f t="shared" si="27"/>
        <v>-1128707.8744897405</v>
      </c>
      <c r="N47" s="1487">
        <f t="shared" si="27"/>
        <v>-541452.21834612661</v>
      </c>
      <c r="O47" s="1487">
        <f t="shared" si="27"/>
        <v>-560534.83720247354</v>
      </c>
      <c r="P47" s="1487">
        <f t="shared" si="27"/>
        <v>-582664.1018643789</v>
      </c>
      <c r="Q47" s="1487">
        <f t="shared" si="27"/>
        <v>-3004896.6166665554</v>
      </c>
      <c r="R47" s="1487">
        <f t="shared" si="27"/>
        <v>-3082408.0314384149</v>
      </c>
      <c r="S47" s="1487">
        <f t="shared" si="27"/>
        <v>-1550731.1645114576</v>
      </c>
      <c r="T47" s="1487">
        <f t="shared" si="27"/>
        <v>-432621.05180366652</v>
      </c>
      <c r="U47" s="1487">
        <f t="shared" si="27"/>
        <v>-432274.33314298361</v>
      </c>
      <c r="V47" s="1487">
        <f t="shared" si="27"/>
        <v>-431653.24743382039</v>
      </c>
      <c r="W47" s="1487">
        <f t="shared" si="27"/>
        <v>-436786.35332669842</v>
      </c>
      <c r="X47" s="1487">
        <f t="shared" si="27"/>
        <v>-426512.02733253979</v>
      </c>
      <c r="Y47" s="1487">
        <f t="shared" si="27"/>
        <v>-425181.25723599712</v>
      </c>
      <c r="Z47" s="1487">
        <f t="shared" si="27"/>
        <v>-423476.17812136409</v>
      </c>
      <c r="AA47" s="1487">
        <f t="shared" si="27"/>
        <v>-421274.19398844917</v>
      </c>
      <c r="AB47" s="1487">
        <f t="shared" si="27"/>
        <v>-428001.26175509009</v>
      </c>
      <c r="AC47" s="1487">
        <f t="shared" si="27"/>
        <v>-415130.53601274104</v>
      </c>
      <c r="AD47" s="1487">
        <f t="shared" si="27"/>
        <v>-410463.92550650751</v>
      </c>
      <c r="AE47" s="1487">
        <f t="shared" si="27"/>
        <v>-402774.21495132404</v>
      </c>
      <c r="AF47" s="1517">
        <f t="shared" si="27"/>
        <v>-359648.45168244629</v>
      </c>
      <c r="AG47" s="1516">
        <f t="shared" si="26"/>
        <v>-36376514.810253903</v>
      </c>
    </row>
    <row r="48" spans="2:34" s="206" customFormat="1" ht="12">
      <c r="B48" s="1486" t="s">
        <v>230</v>
      </c>
      <c r="C48" s="1487">
        <f t="shared" ref="C48:AF48" si="28">SUM(C49:C51)</f>
        <v>-563262.22957299976</v>
      </c>
      <c r="D48" s="1487">
        <f t="shared" si="28"/>
        <v>-345639.16425320646</v>
      </c>
      <c r="E48" s="1487">
        <f t="shared" si="28"/>
        <v>-302337.51106105704</v>
      </c>
      <c r="F48" s="1487">
        <f t="shared" si="28"/>
        <v>-1393737.2138793978</v>
      </c>
      <c r="G48" s="1487">
        <f t="shared" si="28"/>
        <v>-671894.77686003456</v>
      </c>
      <c r="H48" s="1487">
        <f t="shared" si="28"/>
        <v>-7510100.091001004</v>
      </c>
      <c r="I48" s="1487">
        <f t="shared" si="28"/>
        <v>-1142777.4083802553</v>
      </c>
      <c r="J48" s="1487">
        <f t="shared" si="28"/>
        <v>-2401723.0554120527</v>
      </c>
      <c r="K48" s="1487">
        <f t="shared" si="28"/>
        <v>-2300650.5045175334</v>
      </c>
      <c r="L48" s="1487">
        <f t="shared" si="28"/>
        <v>-1082703.7112701517</v>
      </c>
      <c r="M48" s="1487">
        <f t="shared" si="28"/>
        <v>-708522.34751189826</v>
      </c>
      <c r="N48" s="1487">
        <f t="shared" si="28"/>
        <v>-47337.753752136574</v>
      </c>
      <c r="O48" s="1487">
        <f t="shared" si="28"/>
        <v>-47337.753752136574</v>
      </c>
      <c r="P48" s="1487">
        <f t="shared" si="28"/>
        <v>-68386.753752136574</v>
      </c>
      <c r="Q48" s="1487">
        <f t="shared" si="28"/>
        <v>-2479711.3229834135</v>
      </c>
      <c r="R48" s="1487">
        <f t="shared" si="28"/>
        <v>-2610913.0281697232</v>
      </c>
      <c r="S48" s="1487">
        <f t="shared" si="28"/>
        <v>-1150569.8467733697</v>
      </c>
      <c r="T48" s="1487">
        <f t="shared" si="28"/>
        <v>-63098.753752136574</v>
      </c>
      <c r="U48" s="1487">
        <f t="shared" si="28"/>
        <v>-63098.753752136574</v>
      </c>
      <c r="V48" s="1487">
        <f t="shared" si="28"/>
        <v>-63098.753752136574</v>
      </c>
      <c r="W48" s="1487">
        <f t="shared" si="28"/>
        <v>-68793.753752136574</v>
      </c>
      <c r="X48" s="1487">
        <f t="shared" si="28"/>
        <v>-59438.753752136574</v>
      </c>
      <c r="Y48" s="1487">
        <f t="shared" si="28"/>
        <v>-59438.753752136574</v>
      </c>
      <c r="Z48" s="1487">
        <f t="shared" si="28"/>
        <v>-59438.753752136574</v>
      </c>
      <c r="AA48" s="1487">
        <f t="shared" si="28"/>
        <v>-59438.753752136574</v>
      </c>
      <c r="AB48" s="1487">
        <f t="shared" si="28"/>
        <v>-68793.753752136574</v>
      </c>
      <c r="AC48" s="1487">
        <f t="shared" si="28"/>
        <v>-60252.753752136574</v>
      </c>
      <c r="AD48" s="1487">
        <f t="shared" si="28"/>
        <v>-61066.753752136574</v>
      </c>
      <c r="AE48" s="1487">
        <f t="shared" si="28"/>
        <v>-62284.753752136574</v>
      </c>
      <c r="AF48" s="1487">
        <f t="shared" si="28"/>
        <v>-59447.247996732927</v>
      </c>
      <c r="AG48" s="1516">
        <f t="shared" si="26"/>
        <v>-25635294.765924856</v>
      </c>
      <c r="AH48" s="207"/>
    </row>
    <row r="49" spans="2:34" s="206" customFormat="1" ht="12">
      <c r="B49" s="1518" t="s">
        <v>231</v>
      </c>
      <c r="C49" s="1491">
        <f>'R1 FC'!C8</f>
        <v>-408428.3754822117</v>
      </c>
      <c r="D49" s="1491">
        <f>'R1 FC'!D8</f>
        <v>-329783.01199834509</v>
      </c>
      <c r="E49" s="1491">
        <f>'R1 FC'!E8</f>
        <v>-226602.31678867349</v>
      </c>
      <c r="F49" s="1491">
        <f>'R1 FC'!F8</f>
        <v>-1359859.3479073208</v>
      </c>
      <c r="G49" s="1492">
        <f>'R1 FC'!G8-'COMB A'!B42</f>
        <v>-392262.3403888006</v>
      </c>
      <c r="H49" s="1492">
        <f>'R1 FC'!H8-'COMB A'!C42</f>
        <v>-2239224.4417151115</v>
      </c>
      <c r="I49" s="1492">
        <f>'R1 FC'!I8-'COMB A'!D42</f>
        <v>-99435.813516290713</v>
      </c>
      <c r="J49" s="1492">
        <f>'R1 FC'!J8-'COMB A'!E42</f>
        <v>-156630.89518321707</v>
      </c>
      <c r="K49" s="1492">
        <f>'R1 FC'!K8-'COMB A'!F42</f>
        <v>-1038334.884561511</v>
      </c>
      <c r="L49" s="1492">
        <f>'R1 FC'!L8-'COMB A'!G42</f>
        <v>-700946.6707982698</v>
      </c>
      <c r="M49" s="1492">
        <f>'R1 FC'!M8-'COMB A'!H42</f>
        <v>-14785.887780059598</v>
      </c>
      <c r="N49" s="1492">
        <f>'R1 FC'!N8-'COMB A'!I42</f>
        <v>-14275.887780059598</v>
      </c>
      <c r="O49" s="1492">
        <f>'R1 FC'!O8-'COMB A'!J42</f>
        <v>-14275.887780059598</v>
      </c>
      <c r="P49" s="1492">
        <f>'R1 FC'!P8-'COMB A'!K42</f>
        <v>-14275.887780059598</v>
      </c>
      <c r="Q49" s="1492">
        <f>'R1 FC'!Q8-'COMB A'!L42</f>
        <v>-14275.887780059598</v>
      </c>
      <c r="R49" s="1492">
        <f>'R1 FC'!R8-'COMB A'!M42</f>
        <v>-12851.887780059598</v>
      </c>
      <c r="S49" s="1492">
        <f>'R1 FC'!S8-'COMB A'!N42</f>
        <v>-12851.887780059598</v>
      </c>
      <c r="T49" s="1492">
        <f>'R1 FC'!T8-'COMB A'!O42</f>
        <v>-12851.887780059598</v>
      </c>
      <c r="U49" s="1492">
        <f>'R1 FC'!U8-'COMB A'!P42</f>
        <v>-12851.887780059598</v>
      </c>
      <c r="V49" s="1492">
        <f>'R1 FC'!V8-'COMB A'!Q42</f>
        <v>-12851.887780059598</v>
      </c>
      <c r="W49" s="1492">
        <f>'R1 FC'!W8-'COMB A'!R42</f>
        <v>-14377.887780059598</v>
      </c>
      <c r="X49" s="1492">
        <f>'R1 FC'!X8-'COMB A'!S42</f>
        <v>-11835.887780059598</v>
      </c>
      <c r="Y49" s="1492">
        <f>'R1 FC'!Y8-'COMB A'!T42</f>
        <v>-11835.887780059598</v>
      </c>
      <c r="Z49" s="1492">
        <f>'R1 FC'!Z8-'COMB A'!U42</f>
        <v>-11835.887780059598</v>
      </c>
      <c r="AA49" s="1492">
        <f>'R1 FC'!AA8-'COMB A'!V42</f>
        <v>-11835.887780059598</v>
      </c>
      <c r="AB49" s="1492">
        <f>'R1 FC'!AB8-'COMB A'!W42</f>
        <v>-14377.887780059598</v>
      </c>
      <c r="AC49" s="1492">
        <f>'R1 FC'!AC8-'COMB A'!X42</f>
        <v>-12039.887780059598</v>
      </c>
      <c r="AD49" s="1492">
        <f>'R1 FC'!AD8-'COMB A'!Y42</f>
        <v>-12243.887780059598</v>
      </c>
      <c r="AE49" s="1492">
        <f>'R1 FC'!AE8-'COMB A'!Z42</f>
        <v>-12647.887780059598</v>
      </c>
      <c r="AF49" s="1492">
        <f>'R1 FC'!AF8-'COMB A'!AA42</f>
        <v>-9773.2620246559418</v>
      </c>
      <c r="AG49" s="1516">
        <f t="shared" si="26"/>
        <v>-7210461.2281855484</v>
      </c>
    </row>
    <row r="50" spans="2:34" s="206" customFormat="1" ht="12">
      <c r="B50" s="1518" t="s">
        <v>232</v>
      </c>
      <c r="C50" s="1491">
        <f>'R1 FC'!C9</f>
        <v>-37879.125589369905</v>
      </c>
      <c r="D50" s="1491">
        <f>'R1 FC'!D9</f>
        <v>-571.94869673148537</v>
      </c>
      <c r="E50" s="1491">
        <f>'R1 FC'!E9</f>
        <v>-9420.8028316306008</v>
      </c>
      <c r="F50" s="1491">
        <f>'R1 FC'!F9</f>
        <v>-816</v>
      </c>
      <c r="G50" s="1492">
        <f>IF('R1 FC'!G9-'COMB A'!B47&lt;0,'R1 FC'!G9-'COMB A'!B47,0)</f>
        <v>-264774.07995946426</v>
      </c>
      <c r="H50" s="1492">
        <f>IF('R1 FC'!H9-'COMB A'!C47&lt;0,'R1 FC'!H9-'COMB A'!C47,0)</f>
        <v>-5221610.1859909734</v>
      </c>
      <c r="I50" s="1492">
        <f>IF('R1 FC'!I9-'COMB A'!D47&lt;0,'R1 FC'!I9-'COMB A'!D47,0)</f>
        <v>-1023067.6764175253</v>
      </c>
      <c r="J50" s="1492">
        <f>IF('R1 FC'!J9-'COMB A'!E47&lt;0,'R1 FC'!J9-'COMB A'!E47,0)</f>
        <v>-2179670.1740695303</v>
      </c>
      <c r="K50" s="1492">
        <f>IF('R1 FC'!K9-'COMB A'!F47&lt;0,'R1 FC'!K9-'COMB A'!F47,0)</f>
        <v>-1229253.7539839451</v>
      </c>
      <c r="L50" s="1492">
        <f>IF('R1 FC'!L9-'COMB A'!G47&lt;0,'R1 FC'!L9-'COMB A'!G47,0)</f>
        <v>-348695.17449980474</v>
      </c>
      <c r="M50" s="1492">
        <f>IF('R1 FC'!M9-'COMB A'!H47&lt;0,'R1 FC'!M9-'COMB A'!H47,0)</f>
        <v>-660674.59375976166</v>
      </c>
      <c r="N50" s="1492">
        <f>IF('R1 FC'!N9-'COMB A'!I47&lt;0,'R1 FC'!N9-'COMB A'!I47,0)</f>
        <v>0</v>
      </c>
      <c r="O50" s="1492">
        <f>IF('R1 FC'!O9-'COMB A'!J47&lt;0,'R1 FC'!O9-'COMB A'!J47,0)</f>
        <v>0</v>
      </c>
      <c r="P50" s="1492">
        <f>IF('R1 FC'!P9-'COMB A'!K47&lt;0,'R1 FC'!P9-'COMB A'!K47,0)</f>
        <v>-21049</v>
      </c>
      <c r="Q50" s="1492">
        <f>IF('R1 FC'!Q9-'COMB A'!L47&lt;0,'R1 FC'!Q9-'COMB A'!L47,0)</f>
        <v>-2432373.5692312769</v>
      </c>
      <c r="R50" s="1492">
        <f>IF('R1 FC'!R9-'COMB A'!M47&lt;0,'R1 FC'!R9-'COMB A'!M47,0)</f>
        <v>-2564999.2744175866</v>
      </c>
      <c r="S50" s="1492">
        <f>IF('R1 FC'!S9-'COMB A'!N47&lt;0,'R1 FC'!S9-'COMB A'!N47,0)</f>
        <v>-1104656.0930212331</v>
      </c>
      <c r="T50" s="1492">
        <f>IF('R1 FC'!T9-'COMB A'!O47&lt;0,'R1 FC'!T9-'COMB A'!O47,0)</f>
        <v>-17185</v>
      </c>
      <c r="U50" s="1492">
        <f>IF('R1 FC'!U9-'COMB A'!P47&lt;0,'R1 FC'!U9-'COMB A'!P47,0)</f>
        <v>-17185</v>
      </c>
      <c r="V50" s="1492">
        <f>IF('R1 FC'!V9-'COMB A'!Q47&lt;0,'R1 FC'!V9-'COMB A'!Q47,0)</f>
        <v>-17185</v>
      </c>
      <c r="W50" s="1492">
        <f>IF('R1 FC'!W9-'COMB A'!R47&lt;0,'R1 FC'!W9-'COMB A'!R47,0)</f>
        <v>-21354</v>
      </c>
      <c r="X50" s="1492">
        <f>IF('R1 FC'!X9-'COMB A'!S47&lt;0,'R1 FC'!X9-'COMB A'!S47,0)</f>
        <v>-14541</v>
      </c>
      <c r="Y50" s="1492">
        <f>IF('R1 FC'!Y9-'COMB A'!T47&lt;0,'R1 FC'!Y9-'COMB A'!T47,0)</f>
        <v>-14541</v>
      </c>
      <c r="Z50" s="1492">
        <f>IF('R1 FC'!Z9-'COMB A'!U47&lt;0,'R1 FC'!Z9-'COMB A'!U47,0)</f>
        <v>-14541</v>
      </c>
      <c r="AA50" s="1492">
        <f>IF('R1 FC'!AA9-'COMB A'!V47&lt;0,'R1 FC'!AA9-'COMB A'!V47,0)</f>
        <v>-14541</v>
      </c>
      <c r="AB50" s="1492">
        <f>IF('R1 FC'!AB9-'COMB A'!W47&lt;0,'R1 FC'!AB9-'COMB A'!W47,0)</f>
        <v>-21354</v>
      </c>
      <c r="AC50" s="1492">
        <f>IF('R1 FC'!AC9-'COMB A'!X47&lt;0,'R1 FC'!AC9-'COMB A'!X47,0)</f>
        <v>-15151</v>
      </c>
      <c r="AD50" s="1492">
        <f>IF('R1 FC'!AD9-'COMB A'!Y47&lt;0,'R1 FC'!AD9-'COMB A'!Y47,0)</f>
        <v>-15761</v>
      </c>
      <c r="AE50" s="1492">
        <f>IF('R1 FC'!AE9-'COMB A'!Z47&lt;0,'R1 FC'!AE9-'COMB A'!Z47,0)</f>
        <v>-16575</v>
      </c>
      <c r="AF50" s="1492">
        <f>IF('R1 FC'!AF9-'COMB A'!AA47&lt;0,'R1 FC'!AF9-'COMB A'!AA47,0)</f>
        <v>-16612.120000000003</v>
      </c>
      <c r="AG50" s="1516">
        <f t="shared" si="26"/>
        <v>-17316037.572468836</v>
      </c>
    </row>
    <row r="51" spans="2:34" s="206" customFormat="1" ht="12">
      <c r="B51" s="1518" t="s">
        <v>233</v>
      </c>
      <c r="C51" s="1491">
        <f>'R1 FC'!C10</f>
        <v>-116954.72850141811</v>
      </c>
      <c r="D51" s="1491">
        <f>'R1 FC'!D10</f>
        <v>-15284.203558129915</v>
      </c>
      <c r="E51" s="1491">
        <f>'R1 FC'!E10</f>
        <v>-66314.391440752952</v>
      </c>
      <c r="F51" s="1491">
        <f>'R1 FC'!F10</f>
        <v>-33061.865972076979</v>
      </c>
      <c r="G51" s="1492">
        <f>'R1 FC'!G10-'COMB A'!B51</f>
        <v>-14858.356511769754</v>
      </c>
      <c r="H51" s="1492">
        <f>'R1 FC'!H10-'COMB A'!C51</f>
        <v>-49265.463294919617</v>
      </c>
      <c r="I51" s="1492">
        <f>'R1 FC'!I10-'COMB A'!D51</f>
        <v>-20273.918446439355</v>
      </c>
      <c r="J51" s="1492">
        <f>'R1 FC'!J10-'COMB A'!E51</f>
        <v>-65421.986159305168</v>
      </c>
      <c r="K51" s="1492">
        <f>'R1 FC'!K10-'COMB A'!F51</f>
        <v>-33061.865972076979</v>
      </c>
      <c r="L51" s="1492">
        <f>'R1 FC'!L10-'COMB A'!G51</f>
        <v>-33061.865972076979</v>
      </c>
      <c r="M51" s="1492">
        <f>'R1 FC'!M10-'COMB A'!H51</f>
        <v>-33061.865972076979</v>
      </c>
      <c r="N51" s="1492">
        <f>'R1 FC'!N10-'COMB A'!I51</f>
        <v>-33061.865972076979</v>
      </c>
      <c r="O51" s="1492">
        <f>'R1 FC'!O10-'COMB A'!J51</f>
        <v>-33061.865972076979</v>
      </c>
      <c r="P51" s="1492">
        <f>'R1 FC'!P10-'COMB A'!K51</f>
        <v>-33061.865972076979</v>
      </c>
      <c r="Q51" s="1492">
        <f>'R1 FC'!Q10-'COMB A'!L51</f>
        <v>-33061.865972076979</v>
      </c>
      <c r="R51" s="1492">
        <f>'R1 FC'!R10-'COMB A'!M51</f>
        <v>-33061.865972076979</v>
      </c>
      <c r="S51" s="1492">
        <f>'R1 FC'!S10-'COMB A'!N51</f>
        <v>-33061.865972076979</v>
      </c>
      <c r="T51" s="1492">
        <f>'R1 FC'!T10-'COMB A'!O51</f>
        <v>-33061.865972076979</v>
      </c>
      <c r="U51" s="1492">
        <f>'R1 FC'!U10-'COMB A'!P51</f>
        <v>-33061.865972076979</v>
      </c>
      <c r="V51" s="1492">
        <f>'R1 FC'!V10-'COMB A'!Q51</f>
        <v>-33061.865972076979</v>
      </c>
      <c r="W51" s="1492">
        <f>'R1 FC'!W10-'COMB A'!R51</f>
        <v>-33061.865972076979</v>
      </c>
      <c r="X51" s="1492">
        <f>'R1 FC'!X10-'COMB A'!S51</f>
        <v>-33061.865972076979</v>
      </c>
      <c r="Y51" s="1492">
        <f>'R1 FC'!Y10-'COMB A'!T51</f>
        <v>-33061.865972076979</v>
      </c>
      <c r="Z51" s="1492">
        <f>'R1 FC'!Z10-'COMB A'!U51</f>
        <v>-33061.865972076979</v>
      </c>
      <c r="AA51" s="1492">
        <f>'R1 FC'!AA10-'COMB A'!V51</f>
        <v>-33061.865972076979</v>
      </c>
      <c r="AB51" s="1492">
        <f>'R1 FC'!AB10-'COMB A'!W51</f>
        <v>-33061.865972076979</v>
      </c>
      <c r="AC51" s="1492">
        <f>'R1 FC'!AC10-'COMB A'!X51</f>
        <v>-33061.865972076979</v>
      </c>
      <c r="AD51" s="1492">
        <f>'R1 FC'!AD10-'COMB A'!Y51</f>
        <v>-33061.865972076979</v>
      </c>
      <c r="AE51" s="1492">
        <f>'R1 FC'!AE10-'COMB A'!Z51</f>
        <v>-33061.865972076979</v>
      </c>
      <c r="AF51" s="1492">
        <f>'R1 FC'!AF10-'COMB A'!AA51</f>
        <v>-33061.865972076979</v>
      </c>
      <c r="AG51" s="1516">
        <f t="shared" si="26"/>
        <v>-1108795.965270506</v>
      </c>
    </row>
    <row r="52" spans="2:34" s="206" customFormat="1" ht="12">
      <c r="B52" s="1486" t="s">
        <v>234</v>
      </c>
      <c r="C52" s="1487">
        <f>C53+C54</f>
        <v>0</v>
      </c>
      <c r="D52" s="1487">
        <f t="shared" ref="D52:AF52" si="29">D53+D54</f>
        <v>-216017.56612724392</v>
      </c>
      <c r="E52" s="1487">
        <f t="shared" si="29"/>
        <v>-224220.92328385104</v>
      </c>
      <c r="F52" s="1487">
        <f t="shared" si="29"/>
        <v>-262594.52327203582</v>
      </c>
      <c r="G52" s="1487">
        <f t="shared" si="29"/>
        <v>-278162.11614224466</v>
      </c>
      <c r="H52" s="1487">
        <f t="shared" si="29"/>
        <v>-344778.14231692231</v>
      </c>
      <c r="I52" s="1487">
        <f t="shared" si="29"/>
        <v>-237410.71126438107</v>
      </c>
      <c r="J52" s="1487">
        <f t="shared" si="29"/>
        <v>-417270.18559336232</v>
      </c>
      <c r="K52" s="1487">
        <f t="shared" si="29"/>
        <v>-397254.14492626063</v>
      </c>
      <c r="L52" s="1487">
        <f t="shared" si="29"/>
        <v>-386788.95430713543</v>
      </c>
      <c r="M52" s="1487">
        <f t="shared" si="29"/>
        <v>-420185.52697784221</v>
      </c>
      <c r="N52" s="1487">
        <f t="shared" si="29"/>
        <v>-494114.46459399001</v>
      </c>
      <c r="O52" s="1487">
        <f t="shared" si="29"/>
        <v>-513197.08345033694</v>
      </c>
      <c r="P52" s="1487">
        <f t="shared" si="29"/>
        <v>-514277.34811224235</v>
      </c>
      <c r="Q52" s="1487">
        <f t="shared" si="29"/>
        <v>-525185.29368314205</v>
      </c>
      <c r="R52" s="1487">
        <f t="shared" si="29"/>
        <v>-471495.00326869171</v>
      </c>
      <c r="S52" s="1487">
        <f t="shared" si="29"/>
        <v>-400161.31773808773</v>
      </c>
      <c r="T52" s="1487">
        <f t="shared" si="29"/>
        <v>-369522.29805152997</v>
      </c>
      <c r="U52" s="1487">
        <f t="shared" si="29"/>
        <v>-369175.57939084701</v>
      </c>
      <c r="V52" s="1487">
        <f t="shared" si="29"/>
        <v>-368554.49368168385</v>
      </c>
      <c r="W52" s="1487">
        <f t="shared" si="29"/>
        <v>-367992.59957456181</v>
      </c>
      <c r="X52" s="1487">
        <f t="shared" si="29"/>
        <v>-367073.27358040318</v>
      </c>
      <c r="Y52" s="1487">
        <f t="shared" si="29"/>
        <v>-365742.50348386052</v>
      </c>
      <c r="Z52" s="1487">
        <f t="shared" si="29"/>
        <v>-364037.42436922749</v>
      </c>
      <c r="AA52" s="1487">
        <f t="shared" si="29"/>
        <v>-361835.44023631263</v>
      </c>
      <c r="AB52" s="1487">
        <f t="shared" si="29"/>
        <v>-359207.50800295349</v>
      </c>
      <c r="AC52" s="1487">
        <f t="shared" si="29"/>
        <v>-354877.78226060444</v>
      </c>
      <c r="AD52" s="1487">
        <f t="shared" si="29"/>
        <v>-349397.17175437097</v>
      </c>
      <c r="AE52" s="1487">
        <f t="shared" si="29"/>
        <v>-340489.4611991875</v>
      </c>
      <c r="AF52" s="1517">
        <f t="shared" si="29"/>
        <v>-300201.20368571335</v>
      </c>
      <c r="AG52" s="1516">
        <f t="shared" si="26"/>
        <v>-10741220.044329029</v>
      </c>
    </row>
    <row r="53" spans="2:34" s="206" customFormat="1" ht="12">
      <c r="B53" s="1490" t="s">
        <v>235</v>
      </c>
      <c r="C53" s="1491">
        <f>C31</f>
        <v>0</v>
      </c>
      <c r="D53" s="1491">
        <f t="shared" ref="D53:AF54" si="30">D31</f>
        <v>-152483.50450532642</v>
      </c>
      <c r="E53" s="1491">
        <f t="shared" si="30"/>
        <v>-158515.38476753753</v>
      </c>
      <c r="F53" s="1491">
        <f t="shared" si="30"/>
        <v>-186731.26711179104</v>
      </c>
      <c r="G53" s="1491">
        <f t="shared" si="30"/>
        <v>-198178.02657517992</v>
      </c>
      <c r="H53" s="1491">
        <f t="shared" si="30"/>
        <v>-247160.39876244287</v>
      </c>
      <c r="I53" s="1491">
        <f t="shared" si="30"/>
        <v>-168213.75828263315</v>
      </c>
      <c r="J53" s="1491">
        <f t="shared" si="30"/>
        <v>-300463.37175982521</v>
      </c>
      <c r="K53" s="1491">
        <f t="shared" si="30"/>
        <v>-285745.69479872106</v>
      </c>
      <c r="L53" s="1491">
        <f t="shared" si="30"/>
        <v>-278050.70169642312</v>
      </c>
      <c r="M53" s="1491">
        <f t="shared" si="30"/>
        <v>-302607.00513076631</v>
      </c>
      <c r="N53" s="1491">
        <f t="shared" si="30"/>
        <v>-356966.51808381616</v>
      </c>
      <c r="O53" s="1491">
        <f t="shared" si="30"/>
        <v>-370997.85547818895</v>
      </c>
      <c r="P53" s="1491">
        <f t="shared" si="30"/>
        <v>-371792.16772958997</v>
      </c>
      <c r="Q53" s="1491">
        <f t="shared" si="30"/>
        <v>-379812.71594348684</v>
      </c>
      <c r="R53" s="1491">
        <f t="shared" si="30"/>
        <v>-340334.56122697919</v>
      </c>
      <c r="S53" s="1491">
        <f t="shared" si="30"/>
        <v>-287883.32186624099</v>
      </c>
      <c r="T53" s="1491">
        <f t="shared" si="30"/>
        <v>-265354.63092024263</v>
      </c>
      <c r="U53" s="1491">
        <f t="shared" si="30"/>
        <v>-265099.69072856399</v>
      </c>
      <c r="V53" s="1491">
        <f t="shared" si="30"/>
        <v>-264643.01006006164</v>
      </c>
      <c r="W53" s="1491">
        <f t="shared" si="30"/>
        <v>-264229.85262835427</v>
      </c>
      <c r="X53" s="1491">
        <f t="shared" si="30"/>
        <v>-263553.87763264938</v>
      </c>
      <c r="Y53" s="1491">
        <f t="shared" si="30"/>
        <v>-262575.37020872097</v>
      </c>
      <c r="Z53" s="1491">
        <f t="shared" si="30"/>
        <v>-261321.63556560845</v>
      </c>
      <c r="AA53" s="1491">
        <f t="shared" si="30"/>
        <v>-259702.529585524</v>
      </c>
      <c r="AB53" s="1491">
        <f t="shared" si="30"/>
        <v>-257770.22647275991</v>
      </c>
      <c r="AC53" s="1491">
        <f t="shared" si="30"/>
        <v>-254586.60460338561</v>
      </c>
      <c r="AD53" s="1491">
        <f t="shared" si="30"/>
        <v>-250556.74393703748</v>
      </c>
      <c r="AE53" s="1491">
        <f t="shared" si="30"/>
        <v>-244006.95676410844</v>
      </c>
      <c r="AF53" s="1491">
        <f t="shared" si="30"/>
        <v>-214383.23800420098</v>
      </c>
      <c r="AG53" s="1516">
        <f t="shared" si="26"/>
        <v>-7713720.6208301671</v>
      </c>
    </row>
    <row r="54" spans="2:34" s="206" customFormat="1" ht="12.75" thickBot="1">
      <c r="B54" s="1519" t="s">
        <v>236</v>
      </c>
      <c r="C54" s="1491">
        <f>C32</f>
        <v>0</v>
      </c>
      <c r="D54" s="1491">
        <f t="shared" si="30"/>
        <v>-63534.061621917506</v>
      </c>
      <c r="E54" s="1491">
        <f t="shared" si="30"/>
        <v>-65705.538516313507</v>
      </c>
      <c r="F54" s="1491">
        <f t="shared" si="30"/>
        <v>-75863.256160244768</v>
      </c>
      <c r="G54" s="1491">
        <f t="shared" si="30"/>
        <v>-79984.089567064773</v>
      </c>
      <c r="H54" s="1491">
        <f t="shared" si="30"/>
        <v>-97617.743554479428</v>
      </c>
      <c r="I54" s="1491">
        <f t="shared" si="30"/>
        <v>-69196.952981747934</v>
      </c>
      <c r="J54" s="1491">
        <f t="shared" si="30"/>
        <v>-116806.81383353707</v>
      </c>
      <c r="K54" s="1491">
        <f t="shared" si="30"/>
        <v>-111508.45012753957</v>
      </c>
      <c r="L54" s="1491">
        <f t="shared" si="30"/>
        <v>-108738.25261071231</v>
      </c>
      <c r="M54" s="1491">
        <f t="shared" si="30"/>
        <v>-117578.52184707587</v>
      </c>
      <c r="N54" s="1491">
        <f t="shared" si="30"/>
        <v>-137147.94651017382</v>
      </c>
      <c r="O54" s="1491">
        <f t="shared" si="30"/>
        <v>-142199.22797214802</v>
      </c>
      <c r="P54" s="1491">
        <f t="shared" si="30"/>
        <v>-142485.18038265238</v>
      </c>
      <c r="Q54" s="1491">
        <f t="shared" si="30"/>
        <v>-145372.57773965524</v>
      </c>
      <c r="R54" s="1491">
        <f t="shared" si="30"/>
        <v>-131160.44204171249</v>
      </c>
      <c r="S54" s="1491">
        <f t="shared" si="30"/>
        <v>-112277.99587184675</v>
      </c>
      <c r="T54" s="1491">
        <f t="shared" si="30"/>
        <v>-104167.66713128735</v>
      </c>
      <c r="U54" s="1491">
        <f t="shared" si="30"/>
        <v>-104075.88866228303</v>
      </c>
      <c r="V54" s="1491">
        <f t="shared" si="30"/>
        <v>-103911.48362162219</v>
      </c>
      <c r="W54" s="1491">
        <f t="shared" si="30"/>
        <v>-103762.74694620754</v>
      </c>
      <c r="X54" s="1491">
        <f t="shared" si="30"/>
        <v>-103519.39594775377</v>
      </c>
      <c r="Y54" s="1491">
        <f t="shared" si="30"/>
        <v>-103167.13327513954</v>
      </c>
      <c r="Z54" s="1491">
        <f t="shared" si="30"/>
        <v>-102715.78880361904</v>
      </c>
      <c r="AA54" s="1491">
        <f t="shared" si="30"/>
        <v>-102132.91065078863</v>
      </c>
      <c r="AB54" s="1491">
        <f t="shared" si="30"/>
        <v>-101437.28153019356</v>
      </c>
      <c r="AC54" s="1491">
        <f t="shared" si="30"/>
        <v>-100291.17765721881</v>
      </c>
      <c r="AD54" s="1491">
        <f t="shared" si="30"/>
        <v>-98840.42781733349</v>
      </c>
      <c r="AE54" s="1491">
        <f t="shared" si="30"/>
        <v>-96482.504435079041</v>
      </c>
      <c r="AF54" s="1491">
        <f t="shared" si="30"/>
        <v>-85817.965681512345</v>
      </c>
      <c r="AG54" s="1520">
        <f t="shared" si="26"/>
        <v>-3027499.4234988601</v>
      </c>
    </row>
    <row r="55" spans="2:34" s="206" customFormat="1" ht="12.75" thickBot="1">
      <c r="B55" s="1521" t="s">
        <v>237</v>
      </c>
      <c r="C55" s="1522">
        <f>C45+C47</f>
        <v>-218809.77007688157</v>
      </c>
      <c r="D55" s="1522">
        <f t="shared" ref="D55:AF55" si="31">D45+D47</f>
        <v>163700.12314337248</v>
      </c>
      <c r="E55" s="1522">
        <f t="shared" si="31"/>
        <v>235270.19609394518</v>
      </c>
      <c r="F55" s="1522">
        <f t="shared" si="31"/>
        <v>-770441.89174071245</v>
      </c>
      <c r="G55" s="1522">
        <f t="shared" si="31"/>
        <v>35225.26771889755</v>
      </c>
      <c r="H55" s="1522">
        <f t="shared" si="31"/>
        <v>-6646790.7927732971</v>
      </c>
      <c r="I55" s="1522">
        <f t="shared" si="31"/>
        <v>-174966.40389420348</v>
      </c>
      <c r="J55" s="1522">
        <f t="shared" si="31"/>
        <v>-1035087.0970688115</v>
      </c>
      <c r="K55" s="1522">
        <f t="shared" si="31"/>
        <v>-863699.98356015026</v>
      </c>
      <c r="L55" s="1522">
        <f t="shared" si="31"/>
        <v>443486.81382657122</v>
      </c>
      <c r="M55" s="1522">
        <f t="shared" si="31"/>
        <v>936632.0042149981</v>
      </c>
      <c r="N55" s="1522">
        <f t="shared" si="31"/>
        <v>1778616.3620398587</v>
      </c>
      <c r="O55" s="1522">
        <f t="shared" si="31"/>
        <v>1818288.9679694548</v>
      </c>
      <c r="P55" s="1522">
        <f t="shared" si="31"/>
        <v>1802121.5260632792</v>
      </c>
      <c r="Q55" s="1522">
        <f t="shared" si="31"/>
        <v>-583754.62377380114</v>
      </c>
      <c r="R55" s="1522">
        <f t="shared" si="31"/>
        <v>-653864.5692127971</v>
      </c>
      <c r="S55" s="1522">
        <f t="shared" si="31"/>
        <v>854501.12799761631</v>
      </c>
      <c r="T55" s="1522">
        <f t="shared" si="31"/>
        <v>1971001.8497501346</v>
      </c>
      <c r="U55" s="1522">
        <f t="shared" si="31"/>
        <v>1975587.0371234477</v>
      </c>
      <c r="V55" s="1522">
        <f t="shared" si="31"/>
        <v>1980117.6504997052</v>
      </c>
      <c r="W55" s="1522">
        <f t="shared" si="31"/>
        <v>1979641.7902552113</v>
      </c>
      <c r="X55" s="1522">
        <f t="shared" si="31"/>
        <v>1994855.9666834543</v>
      </c>
      <c r="Y55" s="1522">
        <f t="shared" si="31"/>
        <v>1999702.5513033003</v>
      </c>
      <c r="Z55" s="1522">
        <f t="shared" si="31"/>
        <v>2004883.9423815026</v>
      </c>
      <c r="AA55" s="1522">
        <f t="shared" si="31"/>
        <v>2010515.9615527692</v>
      </c>
      <c r="AB55" s="1522">
        <f t="shared" si="31"/>
        <v>2007947.4320854992</v>
      </c>
      <c r="AC55" s="1522">
        <f t="shared" si="31"/>
        <v>2025282.1087883853</v>
      </c>
      <c r="AD55" s="1522">
        <f t="shared" si="31"/>
        <v>2033913.5278799385</v>
      </c>
      <c r="AE55" s="1522">
        <f t="shared" si="31"/>
        <v>2045937.4666194741</v>
      </c>
      <c r="AF55" s="1523">
        <f t="shared" si="31"/>
        <v>2092300.3565975914</v>
      </c>
      <c r="AG55" s="1524">
        <f t="shared" si="26"/>
        <v>23242114.89848775</v>
      </c>
      <c r="AH55" s="207"/>
    </row>
    <row r="56" spans="2:34" s="206" customFormat="1" ht="12.75" thickBot="1">
      <c r="B56" s="1521" t="s">
        <v>238</v>
      </c>
      <c r="C56" s="1525">
        <f>IRR(C55:AF55)</f>
        <v>9.4247426462054085E-2</v>
      </c>
      <c r="D56" s="1526"/>
      <c r="E56" s="1526"/>
      <c r="F56" s="1526"/>
      <c r="G56" s="1526"/>
      <c r="H56" s="1526"/>
      <c r="I56" s="1526"/>
      <c r="J56" s="1526"/>
      <c r="K56" s="1526"/>
      <c r="L56" s="1526"/>
      <c r="M56" s="1526"/>
      <c r="N56" s="1526"/>
      <c r="O56" s="1526"/>
      <c r="P56" s="1526"/>
      <c r="Q56" s="1526"/>
      <c r="R56" s="1526"/>
      <c r="S56" s="1526"/>
      <c r="T56" s="1526"/>
      <c r="U56" s="1526"/>
      <c r="V56" s="1526"/>
      <c r="W56" s="1526"/>
      <c r="X56" s="1526"/>
      <c r="Y56" s="1526"/>
      <c r="Z56" s="1526"/>
      <c r="AA56" s="1526"/>
      <c r="AB56" s="1526"/>
      <c r="AC56" s="1526"/>
      <c r="AD56" s="1526"/>
      <c r="AE56" s="1526"/>
      <c r="AF56" s="1526"/>
      <c r="AG56" s="1493"/>
    </row>
    <row r="57" spans="2:34" s="1478" customFormat="1" ht="12.75" thickBot="1"/>
    <row r="58" spans="2:34" s="1478" customFormat="1" ht="12.75" thickBot="1">
      <c r="B58" s="1521" t="s">
        <v>714</v>
      </c>
      <c r="C58" s="1525">
        <v>0.1203</v>
      </c>
    </row>
    <row r="59" spans="2:34" s="1478" customFormat="1" ht="12.75" thickBot="1"/>
    <row r="60" spans="2:34" s="1478" customFormat="1" ht="12.75" thickBot="1">
      <c r="B60" s="1521" t="s">
        <v>659</v>
      </c>
      <c r="C60" s="1525">
        <f>C56-C58</f>
        <v>-2.6052573537945919E-2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7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EAAB0-C125-4F11-818B-F5BE6A635DE1}">
  <sheetPr>
    <tabColor rgb="FFFFC000"/>
  </sheetPr>
  <dimension ref="A2:AJ66"/>
  <sheetViews>
    <sheetView showGridLines="0" zoomScale="70" zoomScaleNormal="70" workbookViewId="0">
      <selection activeCell="AB45" sqref="AB45:AF55"/>
    </sheetView>
  </sheetViews>
  <sheetFormatPr defaultColWidth="11.5703125" defaultRowHeight="14.25"/>
  <cols>
    <col min="1" max="1" width="14.42578125" style="41" customWidth="1"/>
    <col min="2" max="2" width="48.85546875" style="41" customWidth="1"/>
    <col min="3" max="3" width="14.42578125" style="41" bestFit="1" customWidth="1"/>
    <col min="4" max="4" width="17" style="41" bestFit="1" customWidth="1"/>
    <col min="5" max="6" width="14.85546875" style="41" bestFit="1" customWidth="1"/>
    <col min="7" max="7" width="15.28515625" style="41" bestFit="1" customWidth="1"/>
    <col min="8" max="8" width="14.5703125" style="41" bestFit="1" customWidth="1"/>
    <col min="9" max="9" width="14.85546875" style="41" bestFit="1" customWidth="1"/>
    <col min="10" max="10" width="14.5703125" style="41" bestFit="1" customWidth="1"/>
    <col min="11" max="11" width="15" style="41" bestFit="1" customWidth="1"/>
    <col min="12" max="12" width="15.28515625" style="41" bestFit="1" customWidth="1"/>
    <col min="13" max="14" width="15" style="41" bestFit="1" customWidth="1"/>
    <col min="15" max="15" width="14.42578125" style="41" bestFit="1" customWidth="1"/>
    <col min="16" max="16" width="14.28515625" style="41" bestFit="1" customWidth="1"/>
    <col min="17" max="17" width="14.5703125" style="41" bestFit="1" customWidth="1"/>
    <col min="18" max="18" width="14.42578125" style="41" bestFit="1" customWidth="1"/>
    <col min="19" max="19" width="14.85546875" style="41" bestFit="1" customWidth="1"/>
    <col min="20" max="20" width="14.42578125" style="41" bestFit="1" customWidth="1"/>
    <col min="21" max="23" width="14.5703125" style="41" bestFit="1" customWidth="1"/>
    <col min="24" max="24" width="14.85546875" style="41" bestFit="1" customWidth="1"/>
    <col min="25" max="26" width="14.5703125" style="41" bestFit="1" customWidth="1"/>
    <col min="27" max="27" width="15" style="41" bestFit="1" customWidth="1"/>
    <col min="28" max="28" width="14.85546875" style="41" bestFit="1" customWidth="1"/>
    <col min="29" max="29" width="14.5703125" style="41" bestFit="1" customWidth="1"/>
    <col min="30" max="30" width="14.28515625" style="41" bestFit="1" customWidth="1"/>
    <col min="31" max="31" width="15.28515625" style="41" bestFit="1" customWidth="1"/>
    <col min="32" max="32" width="15" style="41" bestFit="1" customWidth="1"/>
    <col min="33" max="33" width="16.42578125" style="41" bestFit="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816</v>
      </c>
      <c r="D2" s="1238" t="s">
        <v>713</v>
      </c>
    </row>
    <row r="3" spans="1:33" ht="23.25">
      <c r="B3" s="1236" t="s">
        <v>828</v>
      </c>
      <c r="D3" s="1239">
        <v>0.13369266773710084</v>
      </c>
      <c r="H3" s="110"/>
    </row>
    <row r="5" spans="1:33">
      <c r="D5" s="1237">
        <f>C56</f>
        <v>0.12028007120405326</v>
      </c>
    </row>
    <row r="6" spans="1:33" s="1478" customFormat="1" ht="12">
      <c r="B6" s="1479" t="s">
        <v>884</v>
      </c>
      <c r="C6" s="1480"/>
      <c r="D6" s="1479"/>
      <c r="E6" s="1479"/>
      <c r="F6" s="1480"/>
      <c r="G6" s="1480"/>
      <c r="H6" s="1480"/>
      <c r="I6" s="1480"/>
      <c r="J6" s="1480"/>
      <c r="K6" s="1480"/>
      <c r="L6" s="1480"/>
      <c r="M6" s="1480"/>
      <c r="O6" s="1481"/>
      <c r="P6" s="1481"/>
      <c r="Q6" s="1481"/>
      <c r="R6" s="1480"/>
      <c r="S6" s="1480"/>
      <c r="T6" s="1480"/>
      <c r="U6" s="1480"/>
      <c r="V6" s="1480"/>
      <c r="W6" s="1480"/>
      <c r="X6" s="1480"/>
      <c r="Y6" s="1480"/>
      <c r="Z6" s="1480"/>
      <c r="AA6" s="1480"/>
      <c r="AB6" s="1480"/>
      <c r="AC6" s="1480"/>
      <c r="AD6" s="1480"/>
      <c r="AE6" s="1480"/>
      <c r="AF6" s="1480"/>
      <c r="AG6" s="1480"/>
    </row>
    <row r="7" spans="1:33" s="1478" customFormat="1" ht="16.149999999999999" customHeight="1" thickBot="1">
      <c r="G7" s="1482"/>
      <c r="L7" s="1482"/>
      <c r="Q7" s="1482"/>
      <c r="V7" s="1482"/>
      <c r="AG7" s="1482"/>
    </row>
    <row r="8" spans="1:33" s="1478" customFormat="1" ht="12">
      <c r="B8" s="1483" t="s">
        <v>172</v>
      </c>
      <c r="C8" s="1484" t="s">
        <v>173</v>
      </c>
      <c r="D8" s="1484" t="s">
        <v>174</v>
      </c>
      <c r="E8" s="1484" t="s">
        <v>259</v>
      </c>
      <c r="F8" s="1484" t="s">
        <v>175</v>
      </c>
      <c r="G8" s="1484" t="s">
        <v>176</v>
      </c>
      <c r="H8" s="1484" t="s">
        <v>177</v>
      </c>
      <c r="I8" s="1484" t="s">
        <v>178</v>
      </c>
      <c r="J8" s="1484" t="s">
        <v>179</v>
      </c>
      <c r="K8" s="1484" t="s">
        <v>180</v>
      </c>
      <c r="L8" s="1484" t="s">
        <v>181</v>
      </c>
      <c r="M8" s="1484" t="s">
        <v>182</v>
      </c>
      <c r="N8" s="1484" t="s">
        <v>183</v>
      </c>
      <c r="O8" s="1484" t="s">
        <v>184</v>
      </c>
      <c r="P8" s="1484" t="s">
        <v>185</v>
      </c>
      <c r="Q8" s="1484" t="s">
        <v>186</v>
      </c>
      <c r="R8" s="1484" t="s">
        <v>187</v>
      </c>
      <c r="S8" s="1484" t="s">
        <v>188</v>
      </c>
      <c r="T8" s="1484" t="s">
        <v>189</v>
      </c>
      <c r="U8" s="1484" t="s">
        <v>190</v>
      </c>
      <c r="V8" s="1484" t="s">
        <v>191</v>
      </c>
      <c r="W8" s="1484" t="s">
        <v>192</v>
      </c>
      <c r="X8" s="1484" t="s">
        <v>193</v>
      </c>
      <c r="Y8" s="1484" t="s">
        <v>194</v>
      </c>
      <c r="Z8" s="1484" t="s">
        <v>195</v>
      </c>
      <c r="AA8" s="1484" t="s">
        <v>196</v>
      </c>
      <c r="AB8" s="1484" t="s">
        <v>197</v>
      </c>
      <c r="AC8" s="1484" t="s">
        <v>198</v>
      </c>
      <c r="AD8" s="1484" t="s">
        <v>199</v>
      </c>
      <c r="AE8" s="1484" t="s">
        <v>200</v>
      </c>
      <c r="AF8" s="1484" t="s">
        <v>201</v>
      </c>
      <c r="AG8" s="1485" t="s">
        <v>0</v>
      </c>
    </row>
    <row r="9" spans="1:33" s="1480" customFormat="1" ht="12">
      <c r="B9" s="1486" t="s">
        <v>202</v>
      </c>
      <c r="C9" s="1487">
        <f>SUM(C10:C12)</f>
        <v>2302818.334183454</v>
      </c>
      <c r="D9" s="1487">
        <f t="shared" ref="D9:AF9" si="0">SUM(D10:D12)</f>
        <v>2589085.4613156808</v>
      </c>
      <c r="E9" s="1487">
        <f t="shared" si="0"/>
        <v>2818858.1047381544</v>
      </c>
      <c r="F9" s="1487">
        <f t="shared" si="0"/>
        <v>2920406.9946195232</v>
      </c>
      <c r="G9" s="1487">
        <f t="shared" si="0"/>
        <v>2997193.0318223308</v>
      </c>
      <c r="H9" s="1488">
        <f>'COMB A'!C14</f>
        <v>3282769.4842375312</v>
      </c>
      <c r="I9" s="1488">
        <f>'COMB A'!D14</f>
        <v>3304634.8278828482</v>
      </c>
      <c r="J9" s="1487">
        <f t="shared" si="0"/>
        <v>4008029.4952593418</v>
      </c>
      <c r="K9" s="1488">
        <f t="shared" si="0"/>
        <v>4568720.7474888368</v>
      </c>
      <c r="L9" s="1488">
        <f t="shared" si="0"/>
        <v>4714417.4138202677</v>
      </c>
      <c r="M9" s="1488">
        <f t="shared" si="0"/>
        <v>4771240.1018086849</v>
      </c>
      <c r="N9" s="1488">
        <f t="shared" si="0"/>
        <v>5037431.5685457503</v>
      </c>
      <c r="O9" s="1488">
        <f t="shared" si="0"/>
        <v>5340458.3586402759</v>
      </c>
      <c r="P9" s="1488">
        <f t="shared" si="0"/>
        <v>5356821.4413118511</v>
      </c>
      <c r="Q9" s="1488">
        <f t="shared" si="0"/>
        <v>5640929.2995061604</v>
      </c>
      <c r="R9" s="1488">
        <f t="shared" si="0"/>
        <v>5670639.4576370018</v>
      </c>
      <c r="S9" s="1488">
        <f t="shared" si="0"/>
        <v>5431652.0378921749</v>
      </c>
      <c r="T9" s="1488">
        <f t="shared" si="0"/>
        <v>5385278.1294525256</v>
      </c>
      <c r="U9" s="1488">
        <f t="shared" si="0"/>
        <v>5391614.1279066456</v>
      </c>
      <c r="V9" s="1488">
        <f t="shared" si="0"/>
        <v>5397922.4852462607</v>
      </c>
      <c r="W9" s="1488">
        <f t="shared" si="0"/>
        <v>5404892.0835457947</v>
      </c>
      <c r="X9" s="1488">
        <f t="shared" si="0"/>
        <v>5412467.629239304</v>
      </c>
      <c r="Y9" s="1488">
        <f t="shared" si="0"/>
        <v>5417536.4280026006</v>
      </c>
      <c r="Z9" s="1488">
        <f t="shared" si="0"/>
        <v>5423211.1741598751</v>
      </c>
      <c r="AA9" s="1488">
        <f t="shared" si="0"/>
        <v>5428279.9729231717</v>
      </c>
      <c r="AB9" s="1488">
        <f t="shared" si="0"/>
        <v>5435221.9187712725</v>
      </c>
      <c r="AC9" s="1488">
        <f t="shared" si="0"/>
        <v>5442163.8646193696</v>
      </c>
      <c r="AD9" s="1488">
        <f t="shared" si="0"/>
        <v>5448472.2106220564</v>
      </c>
      <c r="AE9" s="1488">
        <f t="shared" si="0"/>
        <v>5454808.2090761773</v>
      </c>
      <c r="AF9" s="1488">
        <f t="shared" si="0"/>
        <v>5459849.3553880416</v>
      </c>
      <c r="AG9" s="1489">
        <f t="shared" ref="AG9:AG17" si="1">SUM(C9:AF9)</f>
        <v>141257823.74966297</v>
      </c>
    </row>
    <row r="10" spans="1:33" s="1478" customFormat="1" ht="12">
      <c r="B10" s="1490" t="s">
        <v>203</v>
      </c>
      <c r="C10" s="1491">
        <f>'R1 DRE'!C5</f>
        <v>1523597.081238748</v>
      </c>
      <c r="D10" s="1491">
        <f>'R1 DRE'!D5</f>
        <v>1700315.1510136535</v>
      </c>
      <c r="E10" s="1491">
        <f>'R1 DRE'!E5</f>
        <v>1854061.9660526102</v>
      </c>
      <c r="F10" s="1491">
        <f>'R1 DRE'!F5</f>
        <v>1912815.2651806301</v>
      </c>
      <c r="G10" s="1491">
        <f>'R1 DRE'!G5</f>
        <v>1980000</v>
      </c>
      <c r="H10" s="1491"/>
      <c r="I10" s="1491"/>
      <c r="J10" s="1491">
        <f>'R1 DRE'!J5</f>
        <v>2245693.2442389107</v>
      </c>
      <c r="K10" s="1492">
        <f>(1+$D$3)*('R1 DRE'!K5+'COMB A'!F7)</f>
        <v>2538426.3811978754</v>
      </c>
      <c r="L10" s="1492">
        <f>(1+$D$3)*('R1 DRE'!L5+'COMB A'!G7)</f>
        <v>2568682.4517508098</v>
      </c>
      <c r="M10" s="1492">
        <f>(1+$D$3)*('R1 DRE'!M5+'COMB A'!H7)</f>
        <v>2571572.8513315329</v>
      </c>
      <c r="N10" s="1492">
        <f>(1+$D$3)*('R1 DRE'!N5+'COMB A'!I7)</f>
        <v>2576538.2520004264</v>
      </c>
      <c r="O10" s="1492">
        <f>(1+$D$3)*('R1 DRE'!O5+'COMB A'!J7)</f>
        <v>2575993.2659707884</v>
      </c>
      <c r="P10" s="1492">
        <f>(1+$D$3)*('R1 DRE'!P5+'COMB A'!K7)</f>
        <v>2579628.6660859906</v>
      </c>
      <c r="Q10" s="1492">
        <f>(1+$D$3)*('R1 DRE'!Q5+'COMB A'!L7)</f>
        <v>2583870.0135951727</v>
      </c>
      <c r="R10" s="1492">
        <f>(1+$D$3)*('R1 DRE'!R5+'COMB A'!M7)</f>
        <v>2587202.4637007741</v>
      </c>
      <c r="S10" s="1492">
        <f>(1+$D$3)*('R1 DRE'!S5+'COMB A'!N7)</f>
        <v>2590837.9111907552</v>
      </c>
      <c r="T10" s="1492">
        <f>(1+$D$3)*('R1 DRE'!T5+'COMB A'!O7)</f>
        <v>2593867.4112867578</v>
      </c>
      <c r="U10" s="1492">
        <f>(1+$D$3)*('R1 DRE'!U5+'COMB A'!P7)</f>
        <v>2596896.911382759</v>
      </c>
      <c r="V10" s="1492">
        <f>(1+$D$3)*('R1 DRE'!V5+'COMB A'!Q7)</f>
        <v>2600229.4202000671</v>
      </c>
      <c r="W10" s="1492">
        <f>(1+$D$3)*('R1 DRE'!W5+'COMB A'!R7)</f>
        <v>2603561.8703056704</v>
      </c>
      <c r="X10" s="1492">
        <f>(1+$D$3)*('R1 DRE'!X5+'COMB A'!S7)</f>
        <v>2607500.2678052499</v>
      </c>
      <c r="Y10" s="1492">
        <f>(1+$D$3)*('R1 DRE'!Y5+'COMB A'!T7)</f>
        <v>2609923.867882052</v>
      </c>
      <c r="Z10" s="1492">
        <f>(1+$D$3)*('R1 DRE'!Z5+'COMB A'!U7)</f>
        <v>2612953.415352833</v>
      </c>
      <c r="AA10" s="1492">
        <f>(1+$D$3)*('R1 DRE'!AA5+'COMB A'!V7)</f>
        <v>2615377.0154296346</v>
      </c>
      <c r="AB10" s="1492">
        <f>(1+$D$3)*('R1 DRE'!AB5+'COMB A'!W7)</f>
        <v>2619012.4629196152</v>
      </c>
      <c r="AC10" s="1492">
        <f>(1+$D$3)*('R1 DRE'!AC5+'COMB A'!X7)</f>
        <v>2622647.9104095958</v>
      </c>
      <c r="AD10" s="1492">
        <f>(1+$D$3)*('R1 DRE'!AD5+'COMB A'!Y7)</f>
        <v>2625980.4078899766</v>
      </c>
      <c r="AE10" s="1492">
        <f>(1+$D$3)*('R1 DRE'!AE5+'COMB A'!Z7)</f>
        <v>2629009.9079859788</v>
      </c>
      <c r="AF10" s="1492">
        <f>(1+$D$3)*('R1 DRE'!AF5+'COMB A'!AA7)</f>
        <v>2631736.5054471595</v>
      </c>
      <c r="AG10" s="1489">
        <f t="shared" si="1"/>
        <v>68357932.338846013</v>
      </c>
    </row>
    <row r="11" spans="1:33" s="1478" customFormat="1" ht="12">
      <c r="B11" s="1490" t="s">
        <v>204</v>
      </c>
      <c r="C11" s="1491">
        <f>'R1 DRE'!C6</f>
        <v>755927.22474067716</v>
      </c>
      <c r="D11" s="1491">
        <f>'R1 DRE'!D6</f>
        <v>864024.61729416624</v>
      </c>
      <c r="E11" s="1491">
        <f>'R1 DRE'!E6</f>
        <v>921110.0796396106</v>
      </c>
      <c r="F11" s="1491">
        <f>'R1 DRE'!F6</f>
        <v>945261.79093005392</v>
      </c>
      <c r="G11" s="1491">
        <f>'R1 DRE'!G6</f>
        <v>987517.85328943643</v>
      </c>
      <c r="H11" s="1491"/>
      <c r="I11" s="1491"/>
      <c r="J11" s="1491">
        <f>'R1 DRE'!J6</f>
        <v>1722652.7906713283</v>
      </c>
      <c r="K11" s="1492">
        <f>(1+$D$3)*('R1 DRE'!K6+'COMB A'!F10)</f>
        <v>1984568.388373866</v>
      </c>
      <c r="L11" s="1492">
        <f>(1+$D$3)*('R1 DRE'!L6+'COMB A'!G10)</f>
        <v>2098944.5368145341</v>
      </c>
      <c r="M11" s="1492">
        <f>(1+$D$3)*('R1 DRE'!M6+'COMB A'!H10)</f>
        <v>2150671.524665657</v>
      </c>
      <c r="N11" s="1492">
        <f>(1+$D$3)*('R1 DRE'!N6+'COMB A'!I10)</f>
        <v>2408551.5095331557</v>
      </c>
      <c r="O11" s="1492">
        <f>(1+$D$3)*('R1 DRE'!O6+'COMB A'!J10)</f>
        <v>2712095.8698031544</v>
      </c>
      <c r="P11" s="1492">
        <f>(1+$D$3)*('R1 DRE'!P6+'COMB A'!K10)</f>
        <v>2724748.2731699739</v>
      </c>
      <c r="Q11" s="1492">
        <f>(1+$D$3)*('R1 DRE'!Q6+'COMB A'!L10)</f>
        <v>3004539.5046655466</v>
      </c>
      <c r="R11" s="1492">
        <f>(1+$D$3)*('R1 DRE'!R6+'COMB A'!M10)</f>
        <v>3030848.2067670296</v>
      </c>
      <c r="S11" s="1492">
        <f>(1+$D$3)*('R1 DRE'!S6+'COMB A'!N10)</f>
        <v>2788162.6068742592</v>
      </c>
      <c r="T11" s="1492">
        <f>(1+$D$3)*('R1 DRE'!T6+'COMB A'!O10)</f>
        <v>2738696.4656806467</v>
      </c>
      <c r="U11" s="1492">
        <f>(1+$D$3)*('R1 DRE'!U6+'COMB A'!P10)</f>
        <v>2741940.231380803</v>
      </c>
      <c r="V11" s="1492">
        <f>(1+$D$3)*('R1 DRE'!V6+'COMB A'!Q10)</f>
        <v>2744859.6205109446</v>
      </c>
      <c r="W11" s="1492">
        <f>(1+$D$3)*('R1 DRE'!W6+'COMB A'!R10)</f>
        <v>2748427.762781118</v>
      </c>
      <c r="X11" s="1492">
        <f>(1+$D$3)*('R1 DRE'!X6+'COMB A'!S10)</f>
        <v>2751995.9050512896</v>
      </c>
      <c r="Y11" s="1492">
        <f>(1+$D$3)*('R1 DRE'!Y6+'COMB A'!T10)</f>
        <v>2754590.917611415</v>
      </c>
      <c r="Z11" s="1492">
        <f>(1+$D$3)*('R1 DRE'!Z6+'COMB A'!U10)</f>
        <v>2757185.93017154</v>
      </c>
      <c r="AA11" s="1492">
        <f>(1+$D$3)*('R1 DRE'!AA6+'COMB A'!V10)</f>
        <v>2759780.942731665</v>
      </c>
      <c r="AB11" s="1492">
        <f>(1+$D$3)*('R1 DRE'!AB6+'COMB A'!W10)</f>
        <v>2763024.7084318227</v>
      </c>
      <c r="AC11" s="1492">
        <f>(1+$D$3)*('R1 DRE'!AC6+'COMB A'!X10)</f>
        <v>2766268.4741319781</v>
      </c>
      <c r="AD11" s="1492">
        <f>(1+$D$3)*('R1 DRE'!AD6+'COMB A'!Y10)</f>
        <v>2769187.8632621192</v>
      </c>
      <c r="AE11" s="1492">
        <f>(1+$D$3)*('R1 DRE'!AE6+'COMB A'!Z10)</f>
        <v>2772431.6289622765</v>
      </c>
      <c r="AF11" s="1492">
        <f>(1+$D$3)*('R1 DRE'!AF6+'COMB A'!AA10)</f>
        <v>2774702.2649523863</v>
      </c>
      <c r="AG11" s="1489">
        <f t="shared" si="1"/>
        <v>64942717.492892452</v>
      </c>
    </row>
    <row r="12" spans="1:33" s="1478" customFormat="1" ht="12">
      <c r="B12" s="1490" t="s">
        <v>205</v>
      </c>
      <c r="C12" s="1491">
        <f>'R1 DRE'!C7</f>
        <v>23294.028204029146</v>
      </c>
      <c r="D12" s="1491">
        <f>'R1 DRE'!D7</f>
        <v>24745.693007860991</v>
      </c>
      <c r="E12" s="1491">
        <f>'R1 DRE'!E7</f>
        <v>43686.059045933551</v>
      </c>
      <c r="F12" s="1491">
        <f>'R1 DRE'!F7</f>
        <v>62329.938508839361</v>
      </c>
      <c r="G12" s="1491">
        <f>'R1 DRE'!G7</f>
        <v>29675.178532894366</v>
      </c>
      <c r="H12" s="1491"/>
      <c r="I12" s="1491"/>
      <c r="J12" s="1491">
        <f>'R1 DRE'!J7</f>
        <v>39683.460349102395</v>
      </c>
      <c r="K12" s="1492">
        <f>(1+$D$3)*'R1 DRE'!K7</f>
        <v>45725.977917095763</v>
      </c>
      <c r="L12" s="1492">
        <f>(1+$D$3)*'R1 DRE'!L7</f>
        <v>46790.425254922957</v>
      </c>
      <c r="M12" s="1492">
        <f>(1+$D$3)*'R1 DRE'!M7</f>
        <v>48995.725811495096</v>
      </c>
      <c r="N12" s="1492">
        <f>(1+$D$3)*'R1 DRE'!N7</f>
        <v>52341.807012167345</v>
      </c>
      <c r="O12" s="1492">
        <f>(1+$D$3)*'R1 DRE'!O7</f>
        <v>52369.222866333039</v>
      </c>
      <c r="P12" s="1492">
        <f>(1+$D$3)*'R1 DRE'!P7</f>
        <v>52444.502055886951</v>
      </c>
      <c r="Q12" s="1492">
        <f>(1+$D$3)*'R1 DRE'!Q7</f>
        <v>52519.78124544087</v>
      </c>
      <c r="R12" s="1492">
        <f>(1+$D$3)*'R1 DRE'!R7</f>
        <v>52588.787169198593</v>
      </c>
      <c r="S12" s="1492">
        <f>(1+$D$3)*'R1 DRE'!S7</f>
        <v>52651.519827160184</v>
      </c>
      <c r="T12" s="1492">
        <f>(1+$D$3)*'R1 DRE'!T7</f>
        <v>52714.252485121775</v>
      </c>
      <c r="U12" s="1492">
        <f>(1+$D$3)*'R1 DRE'!U7</f>
        <v>52776.985143083344</v>
      </c>
      <c r="V12" s="1492">
        <f>(1+$D$3)*'R1 DRE'!V7</f>
        <v>52833.444535248789</v>
      </c>
      <c r="W12" s="1492">
        <f>(1+$D$3)*'R1 DRE'!W7</f>
        <v>52902.450459006555</v>
      </c>
      <c r="X12" s="1492">
        <f>(1+$D$3)*'R1 DRE'!X7</f>
        <v>52971.456382764278</v>
      </c>
      <c r="Y12" s="1492">
        <f>(1+$D$3)*'R1 DRE'!Y7</f>
        <v>53021.642509133562</v>
      </c>
      <c r="Z12" s="1492">
        <f>(1+$D$3)*'R1 DRE'!Z7</f>
        <v>53071.828635502832</v>
      </c>
      <c r="AA12" s="1492">
        <f>(1+$D$3)*'R1 DRE'!AA7</f>
        <v>53122.014761872102</v>
      </c>
      <c r="AB12" s="1492">
        <f>(1+$D$3)*'R1 DRE'!AB7</f>
        <v>53184.747419833686</v>
      </c>
      <c r="AC12" s="1492">
        <f>(1+$D$3)*'R1 DRE'!AC7</f>
        <v>53247.480077795255</v>
      </c>
      <c r="AD12" s="1492">
        <f>(1+$D$3)*'R1 DRE'!AD7</f>
        <v>53303.939469960693</v>
      </c>
      <c r="AE12" s="1492">
        <f>(1+$D$3)*'R1 DRE'!AE7</f>
        <v>53366.672127922298</v>
      </c>
      <c r="AF12" s="1492">
        <f>(1+$D$3)*'R1 DRE'!AF7</f>
        <v>53410.584988495415</v>
      </c>
      <c r="AG12" s="1489">
        <f t="shared" si="1"/>
        <v>1369769.6058041011</v>
      </c>
    </row>
    <row r="13" spans="1:33" s="1480" customFormat="1" ht="12">
      <c r="B13" s="1486" t="s">
        <v>206</v>
      </c>
      <c r="C13" s="1487">
        <f>-SUM(C14:C15)</f>
        <v>-179421.96504071998</v>
      </c>
      <c r="D13" s="1487">
        <f t="shared" ref="D13:AF13" si="2">-SUM(D14:D15)</f>
        <v>-234617.19486967311</v>
      </c>
      <c r="E13" s="1487">
        <f t="shared" si="2"/>
        <v>-255067.11447188459</v>
      </c>
      <c r="F13" s="1487">
        <f t="shared" si="2"/>
        <v>-266470.53804765607</v>
      </c>
      <c r="G13" s="1487">
        <f t="shared" si="2"/>
        <v>-277240.35544356558</v>
      </c>
      <c r="H13" s="1487">
        <f t="shared" si="2"/>
        <v>-303656.17729197163</v>
      </c>
      <c r="I13" s="1487">
        <f t="shared" si="2"/>
        <v>-305678.72157916345</v>
      </c>
      <c r="J13" s="1487">
        <f t="shared" si="2"/>
        <v>-370742.7283114891</v>
      </c>
      <c r="K13" s="1487">
        <f t="shared" si="2"/>
        <v>-422606.66914271738</v>
      </c>
      <c r="L13" s="1487">
        <f t="shared" si="2"/>
        <v>-436083.61077837477</v>
      </c>
      <c r="M13" s="1487">
        <f t="shared" si="2"/>
        <v>-441339.70941730333</v>
      </c>
      <c r="N13" s="1487">
        <f t="shared" si="2"/>
        <v>-465962.42009048193</v>
      </c>
      <c r="O13" s="1487">
        <f t="shared" si="2"/>
        <v>-493992.39817422547</v>
      </c>
      <c r="P13" s="1487">
        <f t="shared" si="2"/>
        <v>-495505.98332134623</v>
      </c>
      <c r="Q13" s="1487">
        <f t="shared" si="2"/>
        <v>-521785.96020431985</v>
      </c>
      <c r="R13" s="1487">
        <f t="shared" si="2"/>
        <v>-524534.1498314226</v>
      </c>
      <c r="S13" s="1487">
        <f t="shared" si="2"/>
        <v>-502427.81350502616</v>
      </c>
      <c r="T13" s="1487">
        <f t="shared" si="2"/>
        <v>-498138.22697435861</v>
      </c>
      <c r="U13" s="1487">
        <f t="shared" si="2"/>
        <v>-498724.30683136469</v>
      </c>
      <c r="V13" s="1487">
        <f t="shared" si="2"/>
        <v>-499307.82988527906</v>
      </c>
      <c r="W13" s="1487">
        <f t="shared" si="2"/>
        <v>-499952.51772798598</v>
      </c>
      <c r="X13" s="1487">
        <f t="shared" si="2"/>
        <v>-500653.25570463564</v>
      </c>
      <c r="Y13" s="1487">
        <f t="shared" si="2"/>
        <v>-501122.11959024059</v>
      </c>
      <c r="Z13" s="1487">
        <f t="shared" si="2"/>
        <v>-501647.03360978846</v>
      </c>
      <c r="AA13" s="1487">
        <f t="shared" si="2"/>
        <v>-502115.89749539335</v>
      </c>
      <c r="AB13" s="1487">
        <f t="shared" si="2"/>
        <v>-502758.0274863427</v>
      </c>
      <c r="AC13" s="1487">
        <f t="shared" si="2"/>
        <v>-503400.15747729171</v>
      </c>
      <c r="AD13" s="1487">
        <f t="shared" si="2"/>
        <v>-503983.67948254023</v>
      </c>
      <c r="AE13" s="1487">
        <f t="shared" si="2"/>
        <v>-504569.75933954638</v>
      </c>
      <c r="AF13" s="1487">
        <f t="shared" si="2"/>
        <v>-505036.06537339382</v>
      </c>
      <c r="AG13" s="1489">
        <f t="shared" si="1"/>
        <v>-13018542.386499505</v>
      </c>
    </row>
    <row r="14" spans="1:33" s="1478" customFormat="1" ht="12">
      <c r="B14" s="1490" t="s">
        <v>207</v>
      </c>
      <c r="C14" s="1491">
        <v>147448.94630089999</v>
      </c>
      <c r="D14" s="1491">
        <v>192742.64791063301</v>
      </c>
      <c r="E14" s="1491">
        <v>209568.66704207199</v>
      </c>
      <c r="F14" s="1491">
        <v>218937.955418909</v>
      </c>
      <c r="G14" s="1491">
        <f t="shared" ref="G14:AF14" si="3">0.076*G9</f>
        <v>227786.67041849715</v>
      </c>
      <c r="H14" s="1491">
        <f t="shared" si="3"/>
        <v>249490.48080205236</v>
      </c>
      <c r="I14" s="1491">
        <f t="shared" si="3"/>
        <v>251152.24691909645</v>
      </c>
      <c r="J14" s="1491">
        <f t="shared" si="3"/>
        <v>304610.24163970997</v>
      </c>
      <c r="K14" s="1491">
        <f t="shared" si="3"/>
        <v>347222.77680915158</v>
      </c>
      <c r="L14" s="1491">
        <f t="shared" si="3"/>
        <v>358295.72345034033</v>
      </c>
      <c r="M14" s="1491">
        <f t="shared" si="3"/>
        <v>362614.24773746001</v>
      </c>
      <c r="N14" s="1491">
        <f t="shared" si="3"/>
        <v>382844.79920947703</v>
      </c>
      <c r="O14" s="1491">
        <f t="shared" si="3"/>
        <v>405874.83525666094</v>
      </c>
      <c r="P14" s="1491">
        <f t="shared" si="3"/>
        <v>407118.42953970068</v>
      </c>
      <c r="Q14" s="1491">
        <f t="shared" si="3"/>
        <v>428710.62676246819</v>
      </c>
      <c r="R14" s="1491">
        <f t="shared" si="3"/>
        <v>430968.59878041211</v>
      </c>
      <c r="S14" s="1491">
        <f t="shared" si="3"/>
        <v>412805.55487980531</v>
      </c>
      <c r="T14" s="1491">
        <f t="shared" si="3"/>
        <v>409281.13783839194</v>
      </c>
      <c r="U14" s="1491">
        <f t="shared" si="3"/>
        <v>409762.67372090503</v>
      </c>
      <c r="V14" s="1491">
        <f t="shared" si="3"/>
        <v>410242.10887871578</v>
      </c>
      <c r="W14" s="1491">
        <f t="shared" si="3"/>
        <v>410771.79834948038</v>
      </c>
      <c r="X14" s="1491">
        <f t="shared" si="3"/>
        <v>411347.5398221871</v>
      </c>
      <c r="Y14" s="1491">
        <f t="shared" si="3"/>
        <v>411732.76852819766</v>
      </c>
      <c r="Z14" s="1491">
        <f t="shared" si="3"/>
        <v>412164.04923615052</v>
      </c>
      <c r="AA14" s="1491">
        <f t="shared" si="3"/>
        <v>412549.27794216102</v>
      </c>
      <c r="AB14" s="1491">
        <f t="shared" si="3"/>
        <v>413076.8658266167</v>
      </c>
      <c r="AC14" s="1491">
        <f t="shared" si="3"/>
        <v>413604.4537110721</v>
      </c>
      <c r="AD14" s="1491">
        <f t="shared" si="3"/>
        <v>414083.88800727628</v>
      </c>
      <c r="AE14" s="1491">
        <f t="shared" si="3"/>
        <v>414565.42388978944</v>
      </c>
      <c r="AF14" s="1491">
        <f t="shared" si="3"/>
        <v>414948.55100949114</v>
      </c>
      <c r="AG14" s="1489">
        <f t="shared" si="1"/>
        <v>10696323.985637778</v>
      </c>
    </row>
    <row r="15" spans="1:33" s="1478" customFormat="1" ht="12">
      <c r="B15" s="1490" t="s">
        <v>208</v>
      </c>
      <c r="C15" s="1491">
        <v>31973.01873982</v>
      </c>
      <c r="D15" s="1491">
        <v>41874.546959040097</v>
      </c>
      <c r="E15" s="1491">
        <v>45498.447429812601</v>
      </c>
      <c r="F15" s="1491">
        <v>47532.582628747099</v>
      </c>
      <c r="G15" s="1491">
        <f t="shared" ref="G15:AF15" si="4">0.0165*G9</f>
        <v>49453.685025068458</v>
      </c>
      <c r="H15" s="1491">
        <f t="shared" si="4"/>
        <v>54165.696489919268</v>
      </c>
      <c r="I15" s="1491">
        <f t="shared" si="4"/>
        <v>54526.474660066997</v>
      </c>
      <c r="J15" s="1491">
        <f t="shared" si="4"/>
        <v>66132.486671779145</v>
      </c>
      <c r="K15" s="1491">
        <f t="shared" si="4"/>
        <v>75383.892333565804</v>
      </c>
      <c r="L15" s="1491">
        <f t="shared" si="4"/>
        <v>77787.887328034427</v>
      </c>
      <c r="M15" s="1491">
        <f t="shared" si="4"/>
        <v>78725.461679843298</v>
      </c>
      <c r="N15" s="1491">
        <f t="shared" si="4"/>
        <v>83117.620881004885</v>
      </c>
      <c r="O15" s="1491">
        <f t="shared" si="4"/>
        <v>88117.562917564559</v>
      </c>
      <c r="P15" s="1491">
        <f t="shared" si="4"/>
        <v>88387.553781645547</v>
      </c>
      <c r="Q15" s="1491">
        <f t="shared" si="4"/>
        <v>93075.333441851646</v>
      </c>
      <c r="R15" s="1491">
        <f t="shared" si="4"/>
        <v>93565.551051010538</v>
      </c>
      <c r="S15" s="1491">
        <f t="shared" si="4"/>
        <v>89622.258625220886</v>
      </c>
      <c r="T15" s="1491">
        <f t="shared" si="4"/>
        <v>88857.089135966671</v>
      </c>
      <c r="U15" s="1491">
        <f t="shared" si="4"/>
        <v>88961.633110459661</v>
      </c>
      <c r="V15" s="1491">
        <f t="shared" si="4"/>
        <v>89065.721006563312</v>
      </c>
      <c r="W15" s="1491">
        <f t="shared" si="4"/>
        <v>89180.719378505615</v>
      </c>
      <c r="X15" s="1491">
        <f t="shared" si="4"/>
        <v>89305.715882448523</v>
      </c>
      <c r="Y15" s="1491">
        <f t="shared" si="4"/>
        <v>89389.351062042915</v>
      </c>
      <c r="Z15" s="1491">
        <f t="shared" si="4"/>
        <v>89482.984373637941</v>
      </c>
      <c r="AA15" s="1491">
        <f t="shared" si="4"/>
        <v>89566.619553232333</v>
      </c>
      <c r="AB15" s="1491">
        <f t="shared" si="4"/>
        <v>89681.161659726</v>
      </c>
      <c r="AC15" s="1491">
        <f t="shared" si="4"/>
        <v>89795.703766219609</v>
      </c>
      <c r="AD15" s="1491">
        <f t="shared" si="4"/>
        <v>89899.791475263934</v>
      </c>
      <c r="AE15" s="1491">
        <f t="shared" si="4"/>
        <v>90004.335449756923</v>
      </c>
      <c r="AF15" s="1491">
        <f t="shared" si="4"/>
        <v>90087.514363902694</v>
      </c>
      <c r="AG15" s="1489">
        <f t="shared" si="1"/>
        <v>2322218.4008617215</v>
      </c>
    </row>
    <row r="16" spans="1:33" s="1480" customFormat="1" ht="12">
      <c r="A16" s="1478"/>
      <c r="B16" s="1486" t="s">
        <v>209</v>
      </c>
      <c r="C16" s="1487">
        <v>-240325.14992063027</v>
      </c>
      <c r="D16" s="1487">
        <v>-5731.8357714316808</v>
      </c>
      <c r="E16" s="1487">
        <v>44055.680904777721</v>
      </c>
      <c r="F16" s="1487">
        <v>19240.19274912728</v>
      </c>
      <c r="G16" s="1487">
        <f>-('15 R1 ARREC'!F9-'15 R1 ARREC'!F8)</f>
        <v>24596.90771402698</v>
      </c>
      <c r="H16" s="1487">
        <f>-('15 R1 ARREC'!F10-'15 R1 ARREC'!F9)</f>
        <v>14808.40985695133</v>
      </c>
      <c r="I16" s="1487">
        <f>-('15 R1 ARREC'!F11-'15 R1 ARREC'!F10)</f>
        <v>-20393.922206970863</v>
      </c>
      <c r="J16" s="1487">
        <f>-('15 R1 ARREC'!F12-'15 R1 ARREC'!F11)</f>
        <v>-14984.380503607448</v>
      </c>
      <c r="K16" s="1487">
        <f>-('15 R1 ARREC'!F13-'15 R1 ARREC'!F12)</f>
        <v>-3283.5229906593449</v>
      </c>
      <c r="L16" s="1487">
        <f>-('15 R1 ARREC'!F14-'15 R1 ARREC'!F13)</f>
        <v>-4741.5487539111637</v>
      </c>
      <c r="M16" s="1487">
        <f>-('15 R1 ARREC'!F15-'15 R1 ARREC'!F14)</f>
        <v>-9823.4452137006447</v>
      </c>
      <c r="N16" s="1487">
        <f>-('15 R1 ARREC'!F16-'15 R1 ARREC'!F15)</f>
        <v>-14905.018391910009</v>
      </c>
      <c r="O16" s="1487">
        <f>-('15 R1 ARREC'!F17-'15 R1 ARREC'!F16)</f>
        <v>-122.12310044560581</v>
      </c>
      <c r="P16" s="1487">
        <f>-('15 R1 ARREC'!F18-'15 R1 ARREC'!F17)</f>
        <v>-335.32889297604561</v>
      </c>
      <c r="Q16" s="1487">
        <f>-('15 R1 ARREC'!F19-'15 R1 ARREC'!F18)</f>
        <v>-335.32889297604561</v>
      </c>
      <c r="R16" s="1487">
        <f>-('15 R1 ARREC'!F20-'15 R1 ARREC'!F19)</f>
        <v>-307.38481856044382</v>
      </c>
      <c r="S16" s="1487">
        <f>-('15 R1 ARREC'!F21-'15 R1 ARREC'!F20)</f>
        <v>-279.44074414670467</v>
      </c>
      <c r="T16" s="1487">
        <f>-('15 R1 ARREC'!F22-'15 R1 ARREC'!F21)</f>
        <v>-279.44074414670467</v>
      </c>
      <c r="U16" s="1487">
        <f>-('15 R1 ARREC'!F23-'15 R1 ARREC'!F22)</f>
        <v>-279.44074414670467</v>
      </c>
      <c r="V16" s="1487">
        <f>-('15 R1 ARREC'!F24-'15 R1 ARREC'!F23)</f>
        <v>-251.49666973203421</v>
      </c>
      <c r="W16" s="1487">
        <f>-('15 R1 ARREC'!F25-'15 R1 ARREC'!F24)</f>
        <v>-307.38481856137514</v>
      </c>
      <c r="X16" s="1487">
        <f>-('15 R1 ARREC'!F26-'15 R1 ARREC'!F25)</f>
        <v>-307.38481856137514</v>
      </c>
      <c r="Y16" s="1487">
        <f>-('15 R1 ARREC'!F27-'15 R1 ARREC'!F26)</f>
        <v>-223.55259531736374</v>
      </c>
      <c r="Z16" s="1487">
        <f>-('15 R1 ARREC'!F28-'15 R1 ARREC'!F27)</f>
        <v>-223.55259531736374</v>
      </c>
      <c r="AA16" s="1487">
        <f>-('15 R1 ARREC'!F29-'15 R1 ARREC'!F28)</f>
        <v>-223.55259531736374</v>
      </c>
      <c r="AB16" s="1487">
        <f>-('15 R1 ARREC'!F30-'15 R1 ARREC'!F29)</f>
        <v>-279.44074414670467</v>
      </c>
      <c r="AC16" s="1487">
        <f>-('15 R1 ARREC'!F31-'15 R1 ARREC'!F30)</f>
        <v>-279.44074414577335</v>
      </c>
      <c r="AD16" s="1487">
        <f>-('15 R1 ARREC'!F32-'15 R1 ARREC'!F31)</f>
        <v>-251.49666973203421</v>
      </c>
      <c r="AE16" s="1487">
        <f>-('15 R1 ARREC'!F33-'15 R1 ARREC'!F32)</f>
        <v>-279.44074414670467</v>
      </c>
      <c r="AF16" s="1487">
        <f>-('15 R1 ARREC'!F34-'15 R1 ARREC'!F33)</f>
        <v>-195.60852090269327</v>
      </c>
      <c r="AG16" s="1489">
        <f t="shared" si="1"/>
        <v>-216248.47198121715</v>
      </c>
    </row>
    <row r="17" spans="1:36" s="1480" customFormat="1" ht="12">
      <c r="B17" s="1486" t="s">
        <v>210</v>
      </c>
      <c r="C17" s="1487">
        <f>C9+C13+C16</f>
        <v>1883071.2192221037</v>
      </c>
      <c r="D17" s="1487">
        <f t="shared" ref="D17:AF17" si="5">D9+D13+D16</f>
        <v>2348736.4306745757</v>
      </c>
      <c r="E17" s="1487">
        <f t="shared" si="5"/>
        <v>2607846.6711710477</v>
      </c>
      <c r="F17" s="1487">
        <f t="shared" si="5"/>
        <v>2673176.6493209945</v>
      </c>
      <c r="G17" s="1487">
        <f t="shared" si="5"/>
        <v>2744549.5840927921</v>
      </c>
      <c r="H17" s="1487">
        <f t="shared" si="5"/>
        <v>2993921.7168025109</v>
      </c>
      <c r="I17" s="1487">
        <f t="shared" si="5"/>
        <v>2978562.184096714</v>
      </c>
      <c r="J17" s="1487">
        <f t="shared" si="5"/>
        <v>3622302.386444245</v>
      </c>
      <c r="K17" s="1487">
        <f t="shared" si="5"/>
        <v>4142830.5553554599</v>
      </c>
      <c r="L17" s="1487">
        <f t="shared" si="5"/>
        <v>4273592.2542879824</v>
      </c>
      <c r="M17" s="1487">
        <f t="shared" si="5"/>
        <v>4320076.9471776811</v>
      </c>
      <c r="N17" s="1487">
        <f t="shared" si="5"/>
        <v>4556564.1300633587</v>
      </c>
      <c r="O17" s="1487">
        <f t="shared" si="5"/>
        <v>4846343.8373656049</v>
      </c>
      <c r="P17" s="1487">
        <f t="shared" si="5"/>
        <v>4860980.1290975288</v>
      </c>
      <c r="Q17" s="1487">
        <f t="shared" si="5"/>
        <v>5118808.0104088644</v>
      </c>
      <c r="R17" s="1487">
        <f t="shared" si="5"/>
        <v>5145797.9229870187</v>
      </c>
      <c r="S17" s="1487">
        <f t="shared" si="5"/>
        <v>4928944.7836430017</v>
      </c>
      <c r="T17" s="1487">
        <f t="shared" si="5"/>
        <v>4886860.4617340202</v>
      </c>
      <c r="U17" s="1487">
        <f t="shared" si="5"/>
        <v>4892610.3803311344</v>
      </c>
      <c r="V17" s="1487">
        <f t="shared" si="5"/>
        <v>4898363.1586912498</v>
      </c>
      <c r="W17" s="1487">
        <f t="shared" si="5"/>
        <v>4904632.1809992474</v>
      </c>
      <c r="X17" s="1487">
        <f t="shared" si="5"/>
        <v>4911506.9887161069</v>
      </c>
      <c r="Y17" s="1487">
        <f t="shared" si="5"/>
        <v>4916190.7558170427</v>
      </c>
      <c r="Z17" s="1487">
        <f t="shared" si="5"/>
        <v>4921340.5879547689</v>
      </c>
      <c r="AA17" s="1487">
        <f t="shared" si="5"/>
        <v>4925940.5228324607</v>
      </c>
      <c r="AB17" s="1487">
        <f t="shared" si="5"/>
        <v>4932184.4505407829</v>
      </c>
      <c r="AC17" s="1487">
        <f t="shared" si="5"/>
        <v>4938484.2663979325</v>
      </c>
      <c r="AD17" s="1487">
        <f t="shared" si="5"/>
        <v>4944237.0344697842</v>
      </c>
      <c r="AE17" s="1487">
        <f t="shared" si="5"/>
        <v>4949959.0089924838</v>
      </c>
      <c r="AF17" s="1487">
        <f t="shared" si="5"/>
        <v>4954617.6814937452</v>
      </c>
      <c r="AG17" s="1489">
        <f t="shared" si="1"/>
        <v>128023032.89118226</v>
      </c>
    </row>
    <row r="18" spans="1:36" s="1480" customFormat="1" ht="12">
      <c r="B18" s="1486" t="s">
        <v>211</v>
      </c>
      <c r="C18" s="1487">
        <f>C19+C20</f>
        <v>-462068.86326204147</v>
      </c>
      <c r="D18" s="1487">
        <f t="shared" ref="D18:AF18" si="6">D19+D20</f>
        <v>-369565.70052795502</v>
      </c>
      <c r="E18" s="1487">
        <f t="shared" si="6"/>
        <v>-372990.80023137957</v>
      </c>
      <c r="F18" s="1487">
        <f t="shared" si="6"/>
        <v>-365825.26800000004</v>
      </c>
      <c r="G18" s="1488">
        <f t="shared" si="6"/>
        <v>-364530.62316929037</v>
      </c>
      <c r="H18" s="1488">
        <f t="shared" si="6"/>
        <v>-386664.99739602057</v>
      </c>
      <c r="I18" s="1488">
        <f t="shared" si="6"/>
        <v>-368051.52738592168</v>
      </c>
      <c r="J18" s="1488">
        <f t="shared" si="6"/>
        <v>-369563.79094887548</v>
      </c>
      <c r="K18" s="1488">
        <f t="shared" si="6"/>
        <v>-367951.56257447001</v>
      </c>
      <c r="L18" s="1488">
        <f t="shared" si="6"/>
        <v>-361080.62255699548</v>
      </c>
      <c r="M18" s="1488">
        <f t="shared" si="6"/>
        <v>-338564.43</v>
      </c>
      <c r="N18" s="1488">
        <f t="shared" si="6"/>
        <v>-328799.36070234847</v>
      </c>
      <c r="O18" s="1488">
        <f t="shared" si="6"/>
        <v>-367996.2932617488</v>
      </c>
      <c r="P18" s="1488">
        <f t="shared" si="6"/>
        <v>-369236.58954566193</v>
      </c>
      <c r="Q18" s="1488">
        <f t="shared" si="6"/>
        <v>-406963.06751965231</v>
      </c>
      <c r="R18" s="1488">
        <f t="shared" si="6"/>
        <v>-410127.63</v>
      </c>
      <c r="S18" s="1488">
        <f t="shared" si="6"/>
        <v>-376721.64594447549</v>
      </c>
      <c r="T18" s="1488">
        <f t="shared" si="6"/>
        <v>-369578.97800359351</v>
      </c>
      <c r="U18" s="1488">
        <f t="shared" si="6"/>
        <v>-369616.78886980715</v>
      </c>
      <c r="V18" s="1488">
        <f t="shared" si="6"/>
        <v>-369739.61956597812</v>
      </c>
      <c r="W18" s="1488">
        <f t="shared" si="6"/>
        <v>-369771.99</v>
      </c>
      <c r="X18" s="1488">
        <f t="shared" si="6"/>
        <v>-369912.30421609641</v>
      </c>
      <c r="Y18" s="1488">
        <f t="shared" si="6"/>
        <v>-369944.75064760714</v>
      </c>
      <c r="Z18" s="1488">
        <f t="shared" si="6"/>
        <v>-370066.2210033462</v>
      </c>
      <c r="AA18" s="1488">
        <f t="shared" si="6"/>
        <v>-370101.03385767958</v>
      </c>
      <c r="AB18" s="1488">
        <f t="shared" si="6"/>
        <v>-370272.15399999998</v>
      </c>
      <c r="AC18" s="1488">
        <f t="shared" si="6"/>
        <v>-370359.20762754028</v>
      </c>
      <c r="AD18" s="1488">
        <f t="shared" si="6"/>
        <v>-370484.43987865513</v>
      </c>
      <c r="AE18" s="1488">
        <f t="shared" si="6"/>
        <v>-370529.43092086643</v>
      </c>
      <c r="AF18" s="1488">
        <f t="shared" si="6"/>
        <v>-370656.85991323733</v>
      </c>
      <c r="AG18" s="1489">
        <f t="shared" ref="AG18:AG25" si="7">SUM(C18:AF18)</f>
        <v>-11197736.551531244</v>
      </c>
      <c r="AJ18" s="1493"/>
    </row>
    <row r="19" spans="1:36" s="1480" customFormat="1" ht="12">
      <c r="B19" s="1494" t="s">
        <v>212</v>
      </c>
      <c r="C19" s="1491">
        <f>'R1 DRE'!C14</f>
        <v>-222919.5</v>
      </c>
      <c r="D19" s="1491">
        <f>'R1 DRE'!D14</f>
        <v>-222919.5</v>
      </c>
      <c r="E19" s="1491">
        <f>'R1 DRE'!E14</f>
        <v>-222919.5</v>
      </c>
      <c r="F19" s="1491">
        <f>'R1 DRE'!F14</f>
        <v>-222919.5</v>
      </c>
      <c r="G19" s="1492">
        <f>'R1 DRE'!G14-'COMB A'!B16</f>
        <v>-222919.5</v>
      </c>
      <c r="H19" s="1492">
        <f>'R1 DRE'!H14-'COMB A'!C16</f>
        <v>-222919.5</v>
      </c>
      <c r="I19" s="1492">
        <f>'R1 DRE'!I14-'COMB A'!D16</f>
        <v>-222919.5</v>
      </c>
      <c r="J19" s="1492">
        <f>'R1 DRE'!J14-'COMB A'!E16</f>
        <v>-222919.5</v>
      </c>
      <c r="K19" s="1492">
        <f>'R1 DRE'!K14-'COMB A'!F16</f>
        <v>-218767.89</v>
      </c>
      <c r="L19" s="1492">
        <f>'R1 DRE'!L14-'COMB A'!G16</f>
        <v>-222109.93</v>
      </c>
      <c r="M19" s="1492">
        <f>'R1 DRE'!M14-'COMB A'!H16</f>
        <v>-208229.97</v>
      </c>
      <c r="N19" s="1492">
        <f>'R1 DRE'!N14-'COMB A'!I16</f>
        <v>-202227.11</v>
      </c>
      <c r="O19" s="1492">
        <f>'R1 DRE'!O14-'COMB A'!J16</f>
        <v>-226266.76</v>
      </c>
      <c r="P19" s="1492">
        <f>'R1 DRE'!P14-'COMB A'!K16</f>
        <v>-226999.66</v>
      </c>
      <c r="Q19" s="1492">
        <f>'R1 DRE'!Q14-'COMB A'!L16</f>
        <v>-250136.31</v>
      </c>
      <c r="R19" s="1492">
        <f>'R1 DRE'!R14-'COMB A'!M16</f>
        <v>-252038.91</v>
      </c>
      <c r="S19" s="1492">
        <f>'R1 DRE'!S14-'COMB A'!N16</f>
        <v>-231516.56</v>
      </c>
      <c r="T19" s="1492">
        <f>'R1 DRE'!T14-'COMB A'!O16</f>
        <v>-227106.56</v>
      </c>
      <c r="U19" s="1492">
        <f>'R1 DRE'!U14-'COMB A'!P16</f>
        <v>-227106.56</v>
      </c>
      <c r="V19" s="1492">
        <f>'R1 DRE'!V14-'COMB A'!Q16</f>
        <v>-227160</v>
      </c>
      <c r="W19" s="1492">
        <f>'R1 DRE'!W14-'COMB A'!R16</f>
        <v>-227160</v>
      </c>
      <c r="X19" s="1492">
        <f>'R1 DRE'!X14-'COMB A'!S16</f>
        <v>-227213.45</v>
      </c>
      <c r="Y19" s="1492">
        <f>'R1 DRE'!Y14-'COMB A'!T16</f>
        <v>-227213.45</v>
      </c>
      <c r="Z19" s="1492">
        <f>'R1 DRE'!Z14-'COMB A'!U16</f>
        <v>-227266.9</v>
      </c>
      <c r="AA19" s="1492">
        <f>'R1 DRE'!AA14-'COMB A'!V16</f>
        <v>-227266.9</v>
      </c>
      <c r="AB19" s="1492">
        <f>'R1 DRE'!AB14-'COMB A'!W16</f>
        <v>-227320.35</v>
      </c>
      <c r="AC19" s="1492">
        <f>'R1 DRE'!AC14-'COMB A'!X16</f>
        <v>-227373.8</v>
      </c>
      <c r="AD19" s="1492">
        <f>'R1 DRE'!AD14-'COMB A'!Y16</f>
        <v>-227427.25</v>
      </c>
      <c r="AE19" s="1492">
        <f>'R1 DRE'!AE14-'COMB A'!Z16</f>
        <v>-227427.25</v>
      </c>
      <c r="AF19" s="1492">
        <f>'R1 DRE'!AF14-'COMB A'!AA16</f>
        <v>-227480.7</v>
      </c>
      <c r="AG19" s="1495">
        <f t="shared" si="7"/>
        <v>-6776172.2700000014</v>
      </c>
    </row>
    <row r="20" spans="1:36" s="1480" customFormat="1" ht="12">
      <c r="B20" s="1494" t="s">
        <v>213</v>
      </c>
      <c r="C20" s="1491">
        <f>'R1 DRE'!C15</f>
        <v>-239149.36326204147</v>
      </c>
      <c r="D20" s="1491">
        <f>'R1 DRE'!D15</f>
        <v>-146646.20052795502</v>
      </c>
      <c r="E20" s="1491">
        <f>'R1 DRE'!E15</f>
        <v>-150071.30023137954</v>
      </c>
      <c r="F20" s="1491">
        <f>'R1 DRE'!F15</f>
        <v>-142905.76800000001</v>
      </c>
      <c r="G20" s="1492">
        <f>'R1 DRE'!G15-'COMB A'!B20</f>
        <v>-141611.1231692904</v>
      </c>
      <c r="H20" s="1492">
        <f>'R1 DRE'!H15-'COMB A'!C20</f>
        <v>-163745.49739602054</v>
      </c>
      <c r="I20" s="1492">
        <f>'R1 DRE'!I15-'COMB A'!D20</f>
        <v>-145132.02738592165</v>
      </c>
      <c r="J20" s="1492">
        <f>'R1 DRE'!J15-'COMB A'!E20</f>
        <v>-146644.29094887545</v>
      </c>
      <c r="K20" s="1492">
        <f>'R1 DRE'!K15-'COMB A'!F20</f>
        <v>-149183.67257446999</v>
      </c>
      <c r="L20" s="1492">
        <f>'R1 DRE'!L15-'COMB A'!G20</f>
        <v>-138970.69255699546</v>
      </c>
      <c r="M20" s="1492">
        <f>'R1 DRE'!M15-'COMB A'!H20</f>
        <v>-130334.45999999999</v>
      </c>
      <c r="N20" s="1492">
        <f>'R1 DRE'!N15-'COMB A'!I20</f>
        <v>-126572.25070234848</v>
      </c>
      <c r="O20" s="1492">
        <f>'R1 DRE'!O15-'COMB A'!J20</f>
        <v>-141729.53326174879</v>
      </c>
      <c r="P20" s="1492">
        <f>'R1 DRE'!P15-'COMB A'!K20</f>
        <v>-142236.92954566196</v>
      </c>
      <c r="Q20" s="1492">
        <f>'R1 DRE'!Q15-'COMB A'!L20</f>
        <v>-156826.75751965231</v>
      </c>
      <c r="R20" s="1492">
        <f>'R1 DRE'!R15-'COMB A'!M20</f>
        <v>-158088.72</v>
      </c>
      <c r="S20" s="1492">
        <f>'R1 DRE'!S15-'COMB A'!N20</f>
        <v>-145205.08594447549</v>
      </c>
      <c r="T20" s="1492">
        <f>'R1 DRE'!T15-'COMB A'!O20</f>
        <v>-142472.41800359354</v>
      </c>
      <c r="U20" s="1492">
        <f>'R1 DRE'!U15-'COMB A'!P20</f>
        <v>-142510.22886980715</v>
      </c>
      <c r="V20" s="1492">
        <f>'R1 DRE'!V15-'COMB A'!Q20</f>
        <v>-142579.61956597812</v>
      </c>
      <c r="W20" s="1492">
        <f>'R1 DRE'!W15-'COMB A'!R20</f>
        <v>-142611.99000000002</v>
      </c>
      <c r="X20" s="1492">
        <f>'R1 DRE'!X15-'COMB A'!S20</f>
        <v>-142698.85421609643</v>
      </c>
      <c r="Y20" s="1492">
        <f>'R1 DRE'!Y15-'COMB A'!T20</f>
        <v>-142731.30064760716</v>
      </c>
      <c r="Z20" s="1492">
        <f>'R1 DRE'!Z15-'COMB A'!U20</f>
        <v>-142799.32100334621</v>
      </c>
      <c r="AA20" s="1492">
        <f>'R1 DRE'!AA15-'COMB A'!V20</f>
        <v>-142834.13385767961</v>
      </c>
      <c r="AB20" s="1492">
        <f>'R1 DRE'!AB15-'COMB A'!W20</f>
        <v>-142951.804</v>
      </c>
      <c r="AC20" s="1492">
        <f>'R1 DRE'!AC15-'COMB A'!X20</f>
        <v>-142985.40762754029</v>
      </c>
      <c r="AD20" s="1492">
        <f>'R1 DRE'!AD15-'COMB A'!Y20</f>
        <v>-143057.18987865516</v>
      </c>
      <c r="AE20" s="1492">
        <f>'R1 DRE'!AE15-'COMB A'!Z20</f>
        <v>-143102.18092086641</v>
      </c>
      <c r="AF20" s="1492">
        <f>'R1 DRE'!AF15-'COMB A'!AA20</f>
        <v>-143176.15991323732</v>
      </c>
      <c r="AG20" s="1495">
        <f t="shared" si="7"/>
        <v>-4421564.2815312445</v>
      </c>
    </row>
    <row r="21" spans="1:36" s="1478" customFormat="1" ht="12">
      <c r="B21" s="1486" t="s">
        <v>214</v>
      </c>
      <c r="C21" s="1487">
        <f>C22+C23+C24+C25</f>
        <v>-1057719.184271723</v>
      </c>
      <c r="D21" s="1487">
        <f t="shared" ref="D21:AF21" si="8">D22+D23+D24+D25</f>
        <v>-1230326.5123160521</v>
      </c>
      <c r="E21" s="1487">
        <f t="shared" si="8"/>
        <v>-1446948.7737891045</v>
      </c>
      <c r="F21" s="1487">
        <f t="shared" si="8"/>
        <v>-1394729.7694170631</v>
      </c>
      <c r="G21" s="1488">
        <f t="shared" si="8"/>
        <v>-1374152.6783216291</v>
      </c>
      <c r="H21" s="1488">
        <f t="shared" si="8"/>
        <v>-1384199.6702778477</v>
      </c>
      <c r="I21" s="1488">
        <f t="shared" si="8"/>
        <v>-1390396.1300398759</v>
      </c>
      <c r="J21" s="1488">
        <f t="shared" si="8"/>
        <v>-1450720.9396265445</v>
      </c>
      <c r="K21" s="1488">
        <f t="shared" si="8"/>
        <v>-1433467.1921045994</v>
      </c>
      <c r="L21" s="1488">
        <f t="shared" si="8"/>
        <v>-1476156.9306254983</v>
      </c>
      <c r="M21" s="1488">
        <f t="shared" si="8"/>
        <v>-1386514.319507018</v>
      </c>
      <c r="N21" s="1488">
        <f t="shared" si="8"/>
        <v>-1348510.4579848277</v>
      </c>
      <c r="O21" s="1488">
        <f t="shared" si="8"/>
        <v>-1506621.7823148426</v>
      </c>
      <c r="P21" s="1488">
        <f t="shared" si="8"/>
        <v>-1512240.3766448579</v>
      </c>
      <c r="Q21" s="1488">
        <f t="shared" si="8"/>
        <v>-1664443.5009748728</v>
      </c>
      <c r="R21" s="1488">
        <f t="shared" si="8"/>
        <v>-1677568.7931138072</v>
      </c>
      <c r="S21" s="1488">
        <f t="shared" si="8"/>
        <v>-1543965.2695547708</v>
      </c>
      <c r="T21" s="1488">
        <f t="shared" si="8"/>
        <v>-1515781.480234656</v>
      </c>
      <c r="U21" s="1488">
        <f t="shared" si="8"/>
        <v>-1516551.690914541</v>
      </c>
      <c r="V21" s="1488">
        <f t="shared" si="8"/>
        <v>-1517571.6115944264</v>
      </c>
      <c r="W21" s="1488">
        <f t="shared" si="8"/>
        <v>-1518377.52608854</v>
      </c>
      <c r="X21" s="1488">
        <f t="shared" si="8"/>
        <v>-1519331.1251495846</v>
      </c>
      <c r="Y21" s="1488">
        <f t="shared" si="8"/>
        <v>-1519903.4694638834</v>
      </c>
      <c r="Z21" s="1488">
        <f t="shared" si="8"/>
        <v>-1520825.5037781829</v>
      </c>
      <c r="AA21" s="1488">
        <f t="shared" si="8"/>
        <v>-1521397.8480924817</v>
      </c>
      <c r="AB21" s="1488">
        <f t="shared" si="8"/>
        <v>-1522541.6956280614</v>
      </c>
      <c r="AC21" s="1488">
        <f t="shared" si="8"/>
        <v>-1523519.8057253375</v>
      </c>
      <c r="AD21" s="1488">
        <f t="shared" si="8"/>
        <v>-1524482.0349024269</v>
      </c>
      <c r="AE21" s="1488">
        <f t="shared" si="8"/>
        <v>-1525121.5015805515</v>
      </c>
      <c r="AF21" s="1488">
        <f t="shared" si="8"/>
        <v>-1525855.5265488047</v>
      </c>
      <c r="AG21" s="1489">
        <f t="shared" si="7"/>
        <v>-44049943.100586407</v>
      </c>
    </row>
    <row r="22" spans="1:36" s="1478" customFormat="1" ht="12">
      <c r="B22" s="1494" t="s">
        <v>215</v>
      </c>
      <c r="C22" s="1491">
        <f>'R1 DRE'!C17</f>
        <v>-550936.15119900031</v>
      </c>
      <c r="D22" s="1491">
        <f>'R1 DRE'!D17</f>
        <v>-520720.01266633545</v>
      </c>
      <c r="E22" s="1491">
        <f>'R1 DRE'!E17</f>
        <v>-477268.91245393129</v>
      </c>
      <c r="F22" s="1491">
        <f>'R1 DRE'!F17</f>
        <v>-344396.7516912701</v>
      </c>
      <c r="G22" s="1492">
        <f>'R1 DRE'!G17-'COMB A'!B24</f>
        <v>-455487.66739033093</v>
      </c>
      <c r="H22" s="1492">
        <f>'R1 DRE'!H17-'COMB A'!C24</f>
        <v>-454207.58910337416</v>
      </c>
      <c r="I22" s="1492">
        <f>'R1 DRE'!I17-'COMB A'!D24</f>
        <v>-448131.92873404676</v>
      </c>
      <c r="J22" s="1492">
        <f>'R1 DRE'!J17-'COMB A'!E24</f>
        <v>-477332.3326502862</v>
      </c>
      <c r="K22" s="1492">
        <f>'R1 DRE'!K17-'COMB A'!F24</f>
        <v>-475868.91123234358</v>
      </c>
      <c r="L22" s="1492">
        <f>'R1 DRE'!L17-'COMB A'!G24</f>
        <v>-489225.7154241883</v>
      </c>
      <c r="M22" s="1492">
        <f>'R1 DRE'!M17-'COMB A'!H24</f>
        <v>-459469.52923834376</v>
      </c>
      <c r="N22" s="1492">
        <f>'R1 DRE'!N17-'COMB A'!I24</f>
        <v>-446988.02145287185</v>
      </c>
      <c r="O22" s="1492">
        <f>'R1 DRE'!O17-'COMB A'!J24</f>
        <v>-500581.66906057863</v>
      </c>
      <c r="P22" s="1492">
        <f>'R1 DRE'!P17-'COMB A'!K24</f>
        <v>-502900.47666828526</v>
      </c>
      <c r="Q22" s="1492">
        <f>'R1 DRE'!Q17-'COMB A'!L24</f>
        <v>-554507.53427599196</v>
      </c>
      <c r="R22" s="1492">
        <f>'R1 DRE'!R17-'COMB A'!M24</f>
        <v>-559273.86969530524</v>
      </c>
      <c r="S22" s="1492">
        <f>'R1 DRE'!S17-'COMB A'!N24</f>
        <v>-514700.65896263462</v>
      </c>
      <c r="T22" s="1492">
        <f>'R1 DRE'!T17-'COMB A'!O24</f>
        <v>-505573.69996725256</v>
      </c>
      <c r="U22" s="1492">
        <f>'R1 DRE'!U17-'COMB A'!P24</f>
        <v>-506148.74097187043</v>
      </c>
      <c r="V22" s="1492">
        <f>'R1 DRE'!V17-'COMB A'!Q24</f>
        <v>-506841.37197648844</v>
      </c>
      <c r="W22" s="1492">
        <f>'R1 DRE'!W17-'COMB A'!R24</f>
        <v>-507532.90642223664</v>
      </c>
      <c r="X22" s="1492">
        <f>'R1 DRE'!X17-'COMB A'!S24</f>
        <v>-508168.49812676472</v>
      </c>
      <c r="Y22" s="1492">
        <f>'R1 DRE'!Y17-'COMB A'!T24</f>
        <v>-508659.56490318937</v>
      </c>
      <c r="Z22" s="1492">
        <f>'R1 DRE'!Z17-'COMB A'!U24</f>
        <v>-509268.21167961392</v>
      </c>
      <c r="AA22" s="1492">
        <f>'R1 DRE'!AA17-'COMB A'!V24</f>
        <v>-509759.27845603845</v>
      </c>
      <c r="AB22" s="1492">
        <f>'R1 DRE'!AB17-'COMB A'!W24</f>
        <v>-510558.34162796102</v>
      </c>
      <c r="AC22" s="1492">
        <f>'R1 DRE'!AC17-'COMB A'!X24</f>
        <v>-511214.98256780364</v>
      </c>
      <c r="AD22" s="1492">
        <f>'R1 DRE'!AD17-'COMB A'!Y24</f>
        <v>-511858.11491803057</v>
      </c>
      <c r="AE22" s="1492">
        <f>'R1 DRE'!AE17-'COMB A'!Z24</f>
        <v>-512406.78625950683</v>
      </c>
      <c r="AF22" s="1492">
        <f>'R1 DRE'!AF17-'COMB A'!AA24</f>
        <v>-512853.96914780862</v>
      </c>
      <c r="AG22" s="1495">
        <f t="shared" si="7"/>
        <v>-14852842.198923685</v>
      </c>
      <c r="AI22" s="1496"/>
    </row>
    <row r="23" spans="1:36" s="1478" customFormat="1" ht="12">
      <c r="B23" s="1494" t="s">
        <v>216</v>
      </c>
      <c r="C23" s="1491">
        <f>'R1 DRE'!C18</f>
        <v>-17403.0139314964</v>
      </c>
      <c r="D23" s="1491">
        <f>'R1 DRE'!D18</f>
        <v>-16416.846413093408</v>
      </c>
      <c r="E23" s="1491">
        <f>'R1 DRE'!E18</f>
        <v>-15048.679461448424</v>
      </c>
      <c r="F23" s="1491">
        <f>'R1 DRE'!F18</f>
        <v>-14145.078118748261</v>
      </c>
      <c r="G23" s="1492">
        <f>'R1 DRE'!G18-'COMB A'!B29</f>
        <v>-14599.065768930037</v>
      </c>
      <c r="H23" s="1492">
        <f>'R1 DRE'!H18-'COMB A'!C29</f>
        <v>-25388.155749727612</v>
      </c>
      <c r="I23" s="1492">
        <f>'R1 DRE'!I18-'COMB A'!D29</f>
        <v>-37464.35237651589</v>
      </c>
      <c r="J23" s="1492">
        <f>'R1 DRE'!J18-'COMB A'!E29</f>
        <v>-48407.242113114808</v>
      </c>
      <c r="K23" s="1492">
        <f>'R1 DRE'!K18-'COMB A'!F29</f>
        <v>-34977.776253067263</v>
      </c>
      <c r="L23" s="1492">
        <f>'R1 DRE'!L18-'COMB A'!G29</f>
        <v>-35444.052255394665</v>
      </c>
      <c r="M23" s="1492">
        <f>'R1 DRE'!M18-'COMB A'!H29</f>
        <v>-34564.035172996446</v>
      </c>
      <c r="N23" s="1492">
        <f>'R1 DRE'!N18-'COMB A'!I29</f>
        <v>-34518.78764681211</v>
      </c>
      <c r="O23" s="1492">
        <f>'R1 DRE'!O18-'COMB A'!J29</f>
        <v>-36631.438886081654</v>
      </c>
      <c r="P23" s="1492">
        <f>'R1 DRE'!P18-'COMB A'!K29</f>
        <v>-36746.360125351202</v>
      </c>
      <c r="Q23" s="1492">
        <f>'R1 DRE'!Q18-'COMB A'!L29</f>
        <v>-38781.60136462075</v>
      </c>
      <c r="R23" s="1492">
        <f>'R1 DRE'!R18-'COMB A'!M29</f>
        <v>-38986.303434356836</v>
      </c>
      <c r="S23" s="1492">
        <f>'R1 DRE'!S18-'COMB A'!N29</f>
        <v>-37269.641737817845</v>
      </c>
      <c r="T23" s="1492">
        <f>'R1 DRE'!T18-'COMB A'!O29</f>
        <v>-36934.040041278859</v>
      </c>
      <c r="U23" s="1492">
        <f>'R1 DRE'!U18-'COMB A'!P29</f>
        <v>-36976.438344739872</v>
      </c>
      <c r="V23" s="1492">
        <f>'R1 DRE'!V18-'COMB A'!Q29</f>
        <v>-37023.416648200888</v>
      </c>
      <c r="W23" s="1492">
        <f>'R1 DRE'!W18-'COMB A'!R29</f>
        <v>-37075.58931353435</v>
      </c>
      <c r="X23" s="1492">
        <f>'R1 DRE'!X18-'COMB A'!S29</f>
        <v>-37116.378143058078</v>
      </c>
      <c r="Y23" s="1492">
        <f>'R1 DRE'!Y18-'COMB A'!T29</f>
        <v>-37152.596972581807</v>
      </c>
      <c r="Z23" s="1492">
        <f>'R1 DRE'!Z18-'COMB A'!U29</f>
        <v>-37193.385802105535</v>
      </c>
      <c r="AA23" s="1492">
        <f>'R1 DRE'!AA18-'COMB A'!V29</f>
        <v>-37229.604631629263</v>
      </c>
      <c r="AB23" s="1492">
        <f>'R1 DRE'!AB18-'COMB A'!W29</f>
        <v>-37286.357299443749</v>
      </c>
      <c r="AC23" s="1492">
        <f>'R1 DRE'!AC18-'COMB A'!X29</f>
        <v>-37328.912920484843</v>
      </c>
      <c r="AD23" s="1492">
        <f>'R1 DRE'!AD18-'COMB A'!Y29</f>
        <v>-37372.377657312652</v>
      </c>
      <c r="AE23" s="1492">
        <f>'R1 DRE'!AE18-'COMB A'!Z29</f>
        <v>-37413.019179438917</v>
      </c>
      <c r="AF23" s="1492">
        <f>'R1 DRE'!AF18-'COMB A'!AA29</f>
        <v>-37439.672066103114</v>
      </c>
      <c r="AG23" s="1495">
        <f t="shared" si="7"/>
        <v>-1000334.2198294854</v>
      </c>
      <c r="AI23" s="1496"/>
    </row>
    <row r="24" spans="1:36" s="1478" customFormat="1" ht="12">
      <c r="B24" s="1494" t="s">
        <v>217</v>
      </c>
      <c r="C24" s="1491">
        <f>'R1 DRE'!C19</f>
        <v>-245634.84</v>
      </c>
      <c r="D24" s="1491">
        <f>'R1 DRE'!D19</f>
        <v>-450330.54</v>
      </c>
      <c r="E24" s="1491">
        <f>'R1 DRE'!E19</f>
        <v>-655026.24</v>
      </c>
      <c r="F24" s="1491">
        <f>'R1 DRE'!F19</f>
        <v>-736904.52</v>
      </c>
      <c r="G24" s="1492">
        <f>'R1 DRE'!G19-'COMB A'!B34</f>
        <v>-553251.9</v>
      </c>
      <c r="H24" s="1492">
        <f>'R1 DRE'!H19-'COMB A'!C34</f>
        <v>-553251.9</v>
      </c>
      <c r="I24" s="1492">
        <f>'R1 DRE'!I19-'COMB A'!D34</f>
        <v>-553251.9</v>
      </c>
      <c r="J24" s="1492">
        <f>'R1 DRE'!J19-'COMB A'!E34</f>
        <v>-553251.9</v>
      </c>
      <c r="K24" s="1492">
        <f>'R1 DRE'!K19-'COMB A'!F34</f>
        <v>-543057.96000000008</v>
      </c>
      <c r="L24" s="1492">
        <f>'R1 DRE'!L19-'COMB A'!G34</f>
        <v>-551276.99</v>
      </c>
      <c r="M24" s="1492">
        <f>'R1 DRE'!M19-'COMB A'!H34</f>
        <v>-517179.10000000003</v>
      </c>
      <c r="N24" s="1492">
        <f>'R1 DRE'!N19-'COMB A'!I34</f>
        <v>-502436.37</v>
      </c>
      <c r="O24" s="1492">
        <f>'R1 DRE'!O19-'COMB A'!J34</f>
        <v>-561505.22</v>
      </c>
      <c r="P24" s="1492">
        <f>'R1 DRE'!P19-'COMB A'!K34</f>
        <v>-563306.06000000006</v>
      </c>
      <c r="Q24" s="1492">
        <f>'R1 DRE'!Q19-'COMB A'!L34</f>
        <v>-620156.12</v>
      </c>
      <c r="R24" s="1492">
        <f>'R1 DRE'!R19-'COMB A'!M34</f>
        <v>-624831.08000000007</v>
      </c>
      <c r="S24" s="1492">
        <f>'R1 DRE'!S19-'COMB A'!N34</f>
        <v>-574404.73</v>
      </c>
      <c r="T24" s="1492">
        <f>'R1 DRE'!T19-'COMB A'!O34</f>
        <v>-563568.73</v>
      </c>
      <c r="U24" s="1492">
        <f>'R1 DRE'!U19-'COMB A'!P34</f>
        <v>-563568.73</v>
      </c>
      <c r="V24" s="1492">
        <f>'R1 DRE'!V19-'COMB A'!Q34</f>
        <v>-563700.06000000006</v>
      </c>
      <c r="W24" s="1492">
        <f>'R1 DRE'!W19-'COMB A'!R34</f>
        <v>-563700.06000000006</v>
      </c>
      <c r="X24" s="1492">
        <f>'R1 DRE'!X19-'COMB A'!S34</f>
        <v>-563831.39</v>
      </c>
      <c r="Y24" s="1492">
        <f>'R1 DRE'!Y19-'COMB A'!T34</f>
        <v>-563831.39</v>
      </c>
      <c r="Z24" s="1492">
        <f>'R1 DRE'!Z19-'COMB A'!U34</f>
        <v>-563962.72</v>
      </c>
      <c r="AA24" s="1492">
        <f>'R1 DRE'!AA19-'COMB A'!V34</f>
        <v>-563962.72</v>
      </c>
      <c r="AB24" s="1492">
        <f>'R1 DRE'!AB19-'COMB A'!W34</f>
        <v>-564094.06000000006</v>
      </c>
      <c r="AC24" s="1492">
        <f>'R1 DRE'!AC19-'COMB A'!X34</f>
        <v>-564225.39</v>
      </c>
      <c r="AD24" s="1492">
        <f>'R1 DRE'!AD19-'COMB A'!Y34</f>
        <v>-564356.72</v>
      </c>
      <c r="AE24" s="1492">
        <f>'R1 DRE'!AE19-'COMB A'!Z34</f>
        <v>-564356.72</v>
      </c>
      <c r="AF24" s="1492">
        <f>'R1 DRE'!AF19-'COMB A'!AA34</f>
        <v>-564488.05000000005</v>
      </c>
      <c r="AG24" s="1495">
        <f t="shared" si="7"/>
        <v>-16690704.110000009</v>
      </c>
      <c r="AI24" s="1496"/>
    </row>
    <row r="25" spans="1:36" s="1478" customFormat="1" ht="12">
      <c r="B25" s="1494" t="s">
        <v>218</v>
      </c>
      <c r="C25" s="1491">
        <f>'R1 DRE'!C20</f>
        <v>-243745.17914122643</v>
      </c>
      <c r="D25" s="1491">
        <f>'R1 DRE'!D20</f>
        <v>-242859.11323662326</v>
      </c>
      <c r="E25" s="1491">
        <f>'R1 DRE'!E20</f>
        <v>-299604.94187372486</v>
      </c>
      <c r="F25" s="1491">
        <f>'R1 DRE'!F20</f>
        <v>-299283.41960704466</v>
      </c>
      <c r="G25" s="1492">
        <f>'R1 DRE'!G20-'COMB A'!B38</f>
        <v>-350814.0451623681</v>
      </c>
      <c r="H25" s="1492">
        <f>'R1 DRE'!H20-'COMB A'!C38</f>
        <v>-351352.02542474587</v>
      </c>
      <c r="I25" s="1492">
        <f>'R1 DRE'!I20-'COMB A'!D38</f>
        <v>-351547.9489293131</v>
      </c>
      <c r="J25" s="1492">
        <f>'R1 DRE'!J20-'COMB A'!E38</f>
        <v>-371729.4648631434</v>
      </c>
      <c r="K25" s="1492">
        <f>'R1 DRE'!K20-'COMB A'!F38</f>
        <v>-379562.54461918876</v>
      </c>
      <c r="L25" s="1492">
        <f>'R1 DRE'!L20-'COMB A'!G38</f>
        <v>-400210.17294591531</v>
      </c>
      <c r="M25" s="1492">
        <f>'R1 DRE'!M20-'COMB A'!H38</f>
        <v>-375301.65509567771</v>
      </c>
      <c r="N25" s="1492">
        <f>'R1 DRE'!N20-'COMB A'!I38</f>
        <v>-364567.27888514387</v>
      </c>
      <c r="O25" s="1492">
        <f>'R1 DRE'!O20-'COMB A'!J38</f>
        <v>-407903.45436818257</v>
      </c>
      <c r="P25" s="1492">
        <f>'R1 DRE'!P20-'COMB A'!K38</f>
        <v>-409287.47985122137</v>
      </c>
      <c r="Q25" s="1492">
        <f>'R1 DRE'!Q20-'COMB A'!L38</f>
        <v>-450998.24533426022</v>
      </c>
      <c r="R25" s="1492">
        <f>'R1 DRE'!R20-'COMB A'!M38</f>
        <v>-454477.53998414532</v>
      </c>
      <c r="S25" s="1492">
        <f>'R1 DRE'!S20-'COMB A'!N38</f>
        <v>-417590.23885431845</v>
      </c>
      <c r="T25" s="1492">
        <f>'R1 DRE'!T20-'COMB A'!O38</f>
        <v>-409705.01022612466</v>
      </c>
      <c r="U25" s="1492">
        <f>'R1 DRE'!U20-'COMB A'!P38</f>
        <v>-409857.78159793071</v>
      </c>
      <c r="V25" s="1492">
        <f>'R1 DRE'!V20-'COMB A'!Q38</f>
        <v>-410006.76296973688</v>
      </c>
      <c r="W25" s="1492">
        <f>'R1 DRE'!W20-'COMB A'!R38</f>
        <v>-410068.97035276901</v>
      </c>
      <c r="X25" s="1492">
        <f>'R1 DRE'!X20-'COMB A'!S38</f>
        <v>-410214.85887976171</v>
      </c>
      <c r="Y25" s="1492">
        <f>'R1 DRE'!Y20-'COMB A'!T38</f>
        <v>-410259.91758811247</v>
      </c>
      <c r="Z25" s="1492">
        <f>'R1 DRE'!Z20-'COMB A'!U38</f>
        <v>-410401.18629646336</v>
      </c>
      <c r="AA25" s="1492">
        <f>'R1 DRE'!AA20-'COMB A'!V38</f>
        <v>-410446.24500481394</v>
      </c>
      <c r="AB25" s="1492">
        <f>'R1 DRE'!AB20-'COMB A'!W38</f>
        <v>-410602.93670065649</v>
      </c>
      <c r="AC25" s="1492">
        <f>'R1 DRE'!AC20-'COMB A'!X38</f>
        <v>-410750.52023704909</v>
      </c>
      <c r="AD25" s="1492">
        <f>'R1 DRE'!AD20-'COMB A'!Y38</f>
        <v>-410894.82232708368</v>
      </c>
      <c r="AE25" s="1492">
        <f>'R1 DRE'!AE20-'COMB A'!Z38</f>
        <v>-410944.97614160576</v>
      </c>
      <c r="AF25" s="1492">
        <f>'R1 DRE'!AF20-'COMB A'!AA38</f>
        <v>-411073.83533489279</v>
      </c>
      <c r="AG25" s="1495">
        <f t="shared" si="7"/>
        <v>-11506062.571833245</v>
      </c>
      <c r="AI25" s="1496"/>
    </row>
    <row r="26" spans="1:36" s="1478" customFormat="1" ht="12">
      <c r="A26" s="1480"/>
      <c r="B26" s="1486" t="s">
        <v>219</v>
      </c>
      <c r="C26" s="1487">
        <f>-C17*0.01</f>
        <v>-18830.712192221039</v>
      </c>
      <c r="D26" s="1487">
        <f t="shared" ref="D26:F26" si="9">-D17*0.01</f>
        <v>-23487.364306745756</v>
      </c>
      <c r="E26" s="1487">
        <f t="shared" si="9"/>
        <v>-26078.466711710476</v>
      </c>
      <c r="F26" s="1487">
        <f t="shared" si="9"/>
        <v>-26731.766493209947</v>
      </c>
      <c r="G26" s="1487">
        <f>-G17*0.0075</f>
        <v>-20584.12188069594</v>
      </c>
      <c r="H26" s="1487">
        <f>-H17*0.005</f>
        <v>-14969.608584012554</v>
      </c>
      <c r="I26" s="1487">
        <f t="shared" ref="I26:AF26" si="10">-I17*0.005</f>
        <v>-14892.810920483571</v>
      </c>
      <c r="J26" s="1487">
        <f t="shared" si="10"/>
        <v>-18111.511932221227</v>
      </c>
      <c r="K26" s="1487">
        <f t="shared" si="10"/>
        <v>-20714.1527767773</v>
      </c>
      <c r="L26" s="1487">
        <f t="shared" si="10"/>
        <v>-21367.961271439912</v>
      </c>
      <c r="M26" s="1487">
        <f t="shared" si="10"/>
        <v>-21600.384735888405</v>
      </c>
      <c r="N26" s="1487">
        <f t="shared" si="10"/>
        <v>-22782.820650316793</v>
      </c>
      <c r="O26" s="1487">
        <f t="shared" si="10"/>
        <v>-24231.719186828024</v>
      </c>
      <c r="P26" s="1487">
        <f t="shared" si="10"/>
        <v>-24304.900645487643</v>
      </c>
      <c r="Q26" s="1487">
        <f t="shared" si="10"/>
        <v>-25594.040052044322</v>
      </c>
      <c r="R26" s="1487">
        <f t="shared" si="10"/>
        <v>-25728.989614935093</v>
      </c>
      <c r="S26" s="1487">
        <f t="shared" si="10"/>
        <v>-24644.723918215008</v>
      </c>
      <c r="T26" s="1487">
        <f t="shared" si="10"/>
        <v>-24434.3023086701</v>
      </c>
      <c r="U26" s="1487">
        <f t="shared" si="10"/>
        <v>-24463.051901655672</v>
      </c>
      <c r="V26" s="1487">
        <f t="shared" si="10"/>
        <v>-24491.815793456248</v>
      </c>
      <c r="W26" s="1487">
        <f t="shared" si="10"/>
        <v>-24523.160904996239</v>
      </c>
      <c r="X26" s="1487">
        <f t="shared" si="10"/>
        <v>-24557.534943580536</v>
      </c>
      <c r="Y26" s="1487">
        <f t="shared" si="10"/>
        <v>-24580.953779085216</v>
      </c>
      <c r="Z26" s="1487">
        <f t="shared" si="10"/>
        <v>-24606.702939773844</v>
      </c>
      <c r="AA26" s="1487">
        <f t="shared" si="10"/>
        <v>-24629.702614162303</v>
      </c>
      <c r="AB26" s="1487">
        <f t="shared" si="10"/>
        <v>-24660.922252703916</v>
      </c>
      <c r="AC26" s="1487">
        <f t="shared" si="10"/>
        <v>-24692.421331989663</v>
      </c>
      <c r="AD26" s="1487">
        <f t="shared" si="10"/>
        <v>-24721.185172348924</v>
      </c>
      <c r="AE26" s="1487">
        <f t="shared" si="10"/>
        <v>-24749.795044962419</v>
      </c>
      <c r="AF26" s="1487">
        <f t="shared" si="10"/>
        <v>-24773.088407468727</v>
      </c>
      <c r="AG26" s="1489">
        <f>SUM(C26:AF26)</f>
        <v>-694540.69326808688</v>
      </c>
      <c r="AI26" s="1497"/>
    </row>
    <row r="27" spans="1:36" s="1480" customFormat="1" ht="12">
      <c r="B27" s="1486" t="s">
        <v>220</v>
      </c>
      <c r="C27" s="1487">
        <f>C17+C18+C21+C26</f>
        <v>344452.45949611819</v>
      </c>
      <c r="D27" s="1487">
        <f t="shared" ref="D27:AF27" si="11">D17+D18+D21+D26</f>
        <v>725356.85352382285</v>
      </c>
      <c r="E27" s="1487">
        <f t="shared" si="11"/>
        <v>761828.63043885329</v>
      </c>
      <c r="F27" s="1487">
        <f t="shared" si="11"/>
        <v>885889.84541072126</v>
      </c>
      <c r="G27" s="1487">
        <f t="shared" si="11"/>
        <v>985282.16072117677</v>
      </c>
      <c r="H27" s="1487">
        <f t="shared" si="11"/>
        <v>1208087.4405446299</v>
      </c>
      <c r="I27" s="1487">
        <f t="shared" si="11"/>
        <v>1205221.7157504328</v>
      </c>
      <c r="J27" s="1487">
        <f t="shared" si="11"/>
        <v>1783906.1439366036</v>
      </c>
      <c r="K27" s="1487">
        <f t="shared" si="11"/>
        <v>2320697.6478996133</v>
      </c>
      <c r="L27" s="1487">
        <f t="shared" si="11"/>
        <v>2414986.7398340488</v>
      </c>
      <c r="M27" s="1487">
        <f t="shared" si="11"/>
        <v>2573397.8129347744</v>
      </c>
      <c r="N27" s="1487">
        <f t="shared" si="11"/>
        <v>2856471.4907258656</v>
      </c>
      <c r="O27" s="1487">
        <f t="shared" si="11"/>
        <v>2947494.0426021856</v>
      </c>
      <c r="P27" s="1487">
        <f t="shared" si="11"/>
        <v>2955198.2622615215</v>
      </c>
      <c r="Q27" s="1487">
        <f t="shared" si="11"/>
        <v>3021807.4018622944</v>
      </c>
      <c r="R27" s="1487">
        <f t="shared" si="11"/>
        <v>3032372.5102582765</v>
      </c>
      <c r="S27" s="1487">
        <f t="shared" si="11"/>
        <v>2983613.144225541</v>
      </c>
      <c r="T27" s="1487">
        <f t="shared" si="11"/>
        <v>2977065.7011871007</v>
      </c>
      <c r="U27" s="1487">
        <f t="shared" si="11"/>
        <v>2981978.8486451302</v>
      </c>
      <c r="V27" s="1487">
        <f t="shared" si="11"/>
        <v>2986560.1117373896</v>
      </c>
      <c r="W27" s="1487">
        <f t="shared" si="11"/>
        <v>2991959.5040057111</v>
      </c>
      <c r="X27" s="1487">
        <f t="shared" si="11"/>
        <v>2997706.0244068457</v>
      </c>
      <c r="Y27" s="1487">
        <f t="shared" si="11"/>
        <v>3001761.5819264669</v>
      </c>
      <c r="Z27" s="1487">
        <f t="shared" si="11"/>
        <v>3005842.160233466</v>
      </c>
      <c r="AA27" s="1487">
        <f t="shared" si="11"/>
        <v>3009811.9382681372</v>
      </c>
      <c r="AB27" s="1487">
        <f t="shared" si="11"/>
        <v>3014709.6786600174</v>
      </c>
      <c r="AC27" s="1487">
        <f t="shared" si="11"/>
        <v>3019912.831713065</v>
      </c>
      <c r="AD27" s="1487">
        <f t="shared" si="11"/>
        <v>3024549.3745163539</v>
      </c>
      <c r="AE27" s="1487">
        <f t="shared" si="11"/>
        <v>3029558.2814461039</v>
      </c>
      <c r="AF27" s="1487">
        <f t="shared" si="11"/>
        <v>3033332.2066242346</v>
      </c>
      <c r="AG27" s="1489">
        <f t="shared" ref="AG27:AG33" si="12">SUM(C27:AF27)</f>
        <v>72080812.545796514</v>
      </c>
    </row>
    <row r="28" spans="1:36" s="1498" customFormat="1" ht="12">
      <c r="B28" s="1499" t="s">
        <v>221</v>
      </c>
      <c r="C28" s="1488">
        <f t="array" ref="C28:AF28">-TRANSPOSE('COMB A DEPR'!AH10:AH39)</f>
        <v>0</v>
      </c>
      <c r="D28" s="1488">
        <v>-19422.835502517231</v>
      </c>
      <c r="E28" s="1488">
        <v>-31767.091368703179</v>
      </c>
      <c r="F28" s="1488">
        <v>-42964.776963557146</v>
      </c>
      <c r="G28" s="1488">
        <v>-96570.054420457061</v>
      </c>
      <c r="H28" s="1488">
        <v>-123445.84549485844</v>
      </c>
      <c r="I28" s="1488">
        <v>-436366.68261990027</v>
      </c>
      <c r="J28" s="1488">
        <v>-486052.65689730266</v>
      </c>
      <c r="K28" s="1488">
        <v>-595221.88668875955</v>
      </c>
      <c r="L28" s="1488">
        <v>-704776.67261816585</v>
      </c>
      <c r="M28" s="1488">
        <v>-758911.85818167345</v>
      </c>
      <c r="N28" s="1488">
        <v>-796202.50805072067</v>
      </c>
      <c r="O28" s="1488">
        <v>-798832.38325917267</v>
      </c>
      <c r="P28" s="1488">
        <v>-801616.95700929838</v>
      </c>
      <c r="Q28" s="1488">
        <v>-805891.12911880692</v>
      </c>
      <c r="R28" s="1488">
        <v>-971205.21731770108</v>
      </c>
      <c r="S28" s="1488">
        <v>-1157699.0050441099</v>
      </c>
      <c r="T28" s="1488">
        <v>-1246204.3778728307</v>
      </c>
      <c r="U28" s="1488">
        <v>-1251462.6073521755</v>
      </c>
      <c r="V28" s="1488">
        <v>-1257198.8576932789</v>
      </c>
      <c r="W28" s="1488">
        <v>-1263508.7330684925</v>
      </c>
      <c r="X28" s="1488">
        <v>-1271152.4834853965</v>
      </c>
      <c r="Y28" s="1488">
        <v>-1278582.3277044136</v>
      </c>
      <c r="Z28" s="1488">
        <v>-1287073.578240433</v>
      </c>
      <c r="AA28" s="1488">
        <v>-1296980.0371991224</v>
      </c>
      <c r="AB28" s="1488">
        <v>-1308867.7879495497</v>
      </c>
      <c r="AC28" s="1488">
        <v>-1326066.2263875839</v>
      </c>
      <c r="AD28" s="1488">
        <v>-1346150.4776382961</v>
      </c>
      <c r="AE28" s="1488">
        <v>-1376683.8545143644</v>
      </c>
      <c r="AF28" s="1488">
        <v>-1498415.8562632338</v>
      </c>
      <c r="AG28" s="1500">
        <f t="shared" si="12"/>
        <v>-25635294.765924875</v>
      </c>
    </row>
    <row r="29" spans="1:36" s="1478" customFormat="1" ht="12">
      <c r="B29" s="1486" t="s">
        <v>222</v>
      </c>
      <c r="C29" s="1487">
        <f>C27+C28</f>
        <v>344452.45949611819</v>
      </c>
      <c r="D29" s="1487">
        <f t="shared" ref="D29:AF29" si="13">D27+D28</f>
        <v>705934.01802130567</v>
      </c>
      <c r="E29" s="1487">
        <f t="shared" si="13"/>
        <v>730061.53907015012</v>
      </c>
      <c r="F29" s="1487">
        <f t="shared" si="13"/>
        <v>842925.06844716414</v>
      </c>
      <c r="G29" s="1487">
        <f t="shared" si="13"/>
        <v>888712.10630071966</v>
      </c>
      <c r="H29" s="1487">
        <f t="shared" si="13"/>
        <v>1084641.5950497715</v>
      </c>
      <c r="I29" s="1487">
        <f t="shared" si="13"/>
        <v>768855.0331305326</v>
      </c>
      <c r="J29" s="1487">
        <f t="shared" si="13"/>
        <v>1297853.4870393008</v>
      </c>
      <c r="K29" s="1487">
        <f t="shared" si="13"/>
        <v>1725475.7612108537</v>
      </c>
      <c r="L29" s="1487">
        <f t="shared" si="13"/>
        <v>1710210.0672158829</v>
      </c>
      <c r="M29" s="1487">
        <f t="shared" si="13"/>
        <v>1814485.9547531009</v>
      </c>
      <c r="N29" s="1487">
        <f t="shared" si="13"/>
        <v>2060268.9826751449</v>
      </c>
      <c r="O29" s="1487">
        <f t="shared" si="13"/>
        <v>2148661.6593430131</v>
      </c>
      <c r="P29" s="1487">
        <f t="shared" si="13"/>
        <v>2153581.3052522233</v>
      </c>
      <c r="Q29" s="1487">
        <f t="shared" si="13"/>
        <v>2215916.2727434877</v>
      </c>
      <c r="R29" s="1487">
        <f t="shared" si="13"/>
        <v>2061167.2929405754</v>
      </c>
      <c r="S29" s="1487">
        <f t="shared" si="13"/>
        <v>1825914.1391814312</v>
      </c>
      <c r="T29" s="1487">
        <f t="shared" si="13"/>
        <v>1730861.32331427</v>
      </c>
      <c r="U29" s="1487">
        <f t="shared" si="13"/>
        <v>1730516.2412929547</v>
      </c>
      <c r="V29" s="1487">
        <f t="shared" si="13"/>
        <v>1729361.2540441107</v>
      </c>
      <c r="W29" s="1487">
        <f t="shared" si="13"/>
        <v>1728450.7709372186</v>
      </c>
      <c r="X29" s="1487">
        <f t="shared" si="13"/>
        <v>1726553.5409214492</v>
      </c>
      <c r="Y29" s="1487">
        <f t="shared" si="13"/>
        <v>1723179.2542220533</v>
      </c>
      <c r="Z29" s="1487">
        <f t="shared" si="13"/>
        <v>1718768.5819930329</v>
      </c>
      <c r="AA29" s="1487">
        <f t="shared" si="13"/>
        <v>1712831.9010690148</v>
      </c>
      <c r="AB29" s="1487">
        <f t="shared" si="13"/>
        <v>1705841.8907104677</v>
      </c>
      <c r="AC29" s="1487">
        <f t="shared" si="13"/>
        <v>1693846.6053254812</v>
      </c>
      <c r="AD29" s="1487">
        <f t="shared" si="13"/>
        <v>1678398.8968780579</v>
      </c>
      <c r="AE29" s="1487">
        <f t="shared" si="13"/>
        <v>1652874.4269317396</v>
      </c>
      <c r="AF29" s="1487">
        <f t="shared" si="13"/>
        <v>1534916.3503610007</v>
      </c>
      <c r="AG29" s="1489">
        <f t="shared" si="12"/>
        <v>46445517.779871628</v>
      </c>
    </row>
    <row r="30" spans="1:36" s="1478" customFormat="1" ht="12">
      <c r="B30" s="1486" t="s">
        <v>223</v>
      </c>
      <c r="C30" s="1487">
        <f>C31+C32</f>
        <v>0</v>
      </c>
      <c r="D30" s="1487">
        <f t="shared" ref="D30:AF30" si="14">D31+D32</f>
        <v>-216017.56612724392</v>
      </c>
      <c r="E30" s="1487">
        <f t="shared" si="14"/>
        <v>-224220.92328385104</v>
      </c>
      <c r="F30" s="1487">
        <f t="shared" si="14"/>
        <v>-262594.52327203582</v>
      </c>
      <c r="G30" s="1487">
        <f t="shared" si="14"/>
        <v>-278162.11614224466</v>
      </c>
      <c r="H30" s="1487">
        <f t="shared" si="14"/>
        <v>-344778.14231692231</v>
      </c>
      <c r="I30" s="1487">
        <f t="shared" si="14"/>
        <v>-237410.71126438107</v>
      </c>
      <c r="J30" s="1487">
        <f t="shared" si="14"/>
        <v>-417270.18559336232</v>
      </c>
      <c r="K30" s="1487">
        <f t="shared" si="14"/>
        <v>-562661.75881169026</v>
      </c>
      <c r="L30" s="1487">
        <f t="shared" si="14"/>
        <v>-557471.42285340012</v>
      </c>
      <c r="M30" s="1487">
        <f t="shared" si="14"/>
        <v>-592925.22461605433</v>
      </c>
      <c r="N30" s="1487">
        <f t="shared" si="14"/>
        <v>-676491.45410954929</v>
      </c>
      <c r="O30" s="1487">
        <f t="shared" si="14"/>
        <v>-706544.96417662443</v>
      </c>
      <c r="P30" s="1487">
        <f t="shared" si="14"/>
        <v>-708217.64378575585</v>
      </c>
      <c r="Q30" s="1487">
        <f t="shared" si="14"/>
        <v>-729411.5327327858</v>
      </c>
      <c r="R30" s="1487">
        <f t="shared" si="14"/>
        <v>-676796.87959979568</v>
      </c>
      <c r="S30" s="1487">
        <f t="shared" si="14"/>
        <v>-596810.80732168653</v>
      </c>
      <c r="T30" s="1487">
        <f t="shared" si="14"/>
        <v>-564492.84992685181</v>
      </c>
      <c r="U30" s="1487">
        <f t="shared" si="14"/>
        <v>-564375.52203960461</v>
      </c>
      <c r="V30" s="1487">
        <f t="shared" si="14"/>
        <v>-563982.82637499762</v>
      </c>
      <c r="W30" s="1487">
        <f t="shared" si="14"/>
        <v>-563673.26211865433</v>
      </c>
      <c r="X30" s="1487">
        <f t="shared" si="14"/>
        <v>-563028.20391329273</v>
      </c>
      <c r="Y30" s="1487">
        <f t="shared" si="14"/>
        <v>-561880.94643549807</v>
      </c>
      <c r="Z30" s="1487">
        <f t="shared" si="14"/>
        <v>-560381.31787763117</v>
      </c>
      <c r="AA30" s="1487">
        <f t="shared" si="14"/>
        <v>-558362.84636346507</v>
      </c>
      <c r="AB30" s="1487">
        <f t="shared" si="14"/>
        <v>-555986.242841559</v>
      </c>
      <c r="AC30" s="1487">
        <f t="shared" si="14"/>
        <v>-551907.84581066365</v>
      </c>
      <c r="AD30" s="1487">
        <f t="shared" si="14"/>
        <v>-546655.62493853969</v>
      </c>
      <c r="AE30" s="1487">
        <f t="shared" si="14"/>
        <v>-537977.30515679147</v>
      </c>
      <c r="AF30" s="1487">
        <f t="shared" si="14"/>
        <v>-497871.55912274029</v>
      </c>
      <c r="AG30" s="1489">
        <f t="shared" si="12"/>
        <v>-14978362.208927672</v>
      </c>
    </row>
    <row r="31" spans="1:36" s="1480" customFormat="1" ht="12">
      <c r="B31" s="1494" t="s">
        <v>224</v>
      </c>
      <c r="C31" s="1491"/>
      <c r="D31" s="1491">
        <f t="shared" ref="D31:AF31" si="15">-((D29*0.15)+((D29-240000)*0.1))</f>
        <v>-152483.50450532642</v>
      </c>
      <c r="E31" s="1491">
        <f t="shared" si="15"/>
        <v>-158515.38476753753</v>
      </c>
      <c r="F31" s="1491">
        <f t="shared" si="15"/>
        <v>-186731.26711179104</v>
      </c>
      <c r="G31" s="1491">
        <f t="shared" si="15"/>
        <v>-198178.02657517992</v>
      </c>
      <c r="H31" s="1491">
        <f t="shared" si="15"/>
        <v>-247160.39876244287</v>
      </c>
      <c r="I31" s="1491">
        <f t="shared" si="15"/>
        <v>-168213.75828263315</v>
      </c>
      <c r="J31" s="1491">
        <f t="shared" si="15"/>
        <v>-300463.37175982521</v>
      </c>
      <c r="K31" s="1491">
        <f t="shared" si="15"/>
        <v>-407368.94030271342</v>
      </c>
      <c r="L31" s="1491">
        <f t="shared" si="15"/>
        <v>-403552.51680397068</v>
      </c>
      <c r="M31" s="1491">
        <f t="shared" si="15"/>
        <v>-429621.48868827522</v>
      </c>
      <c r="N31" s="1491">
        <f t="shared" si="15"/>
        <v>-491067.24566878623</v>
      </c>
      <c r="O31" s="1491">
        <f t="shared" si="15"/>
        <v>-513165.41483575327</v>
      </c>
      <c r="P31" s="1491">
        <f t="shared" si="15"/>
        <v>-514395.32631305582</v>
      </c>
      <c r="Q31" s="1491">
        <f t="shared" si="15"/>
        <v>-529979.06818587193</v>
      </c>
      <c r="R31" s="1491">
        <f t="shared" si="15"/>
        <v>-491291.82323514391</v>
      </c>
      <c r="S31" s="1491">
        <f t="shared" si="15"/>
        <v>-432478.53479535779</v>
      </c>
      <c r="T31" s="1491">
        <f t="shared" si="15"/>
        <v>-408715.3308285675</v>
      </c>
      <c r="U31" s="1491">
        <f t="shared" si="15"/>
        <v>-408629.06032323866</v>
      </c>
      <c r="V31" s="1491">
        <f t="shared" si="15"/>
        <v>-408340.31351102766</v>
      </c>
      <c r="W31" s="1491">
        <f t="shared" si="15"/>
        <v>-408112.69273430464</v>
      </c>
      <c r="X31" s="1491">
        <f t="shared" si="15"/>
        <v>-407638.3852303623</v>
      </c>
      <c r="Y31" s="1491">
        <f t="shared" si="15"/>
        <v>-406794.81355551328</v>
      </c>
      <c r="Z31" s="1491">
        <f t="shared" si="15"/>
        <v>-405692.14549825824</v>
      </c>
      <c r="AA31" s="1491">
        <f t="shared" si="15"/>
        <v>-404207.9752672537</v>
      </c>
      <c r="AB31" s="1491">
        <f t="shared" si="15"/>
        <v>-402460.47267761693</v>
      </c>
      <c r="AC31" s="1491">
        <f t="shared" si="15"/>
        <v>-399461.65133137029</v>
      </c>
      <c r="AD31" s="1491">
        <f t="shared" si="15"/>
        <v>-395599.72421951446</v>
      </c>
      <c r="AE31" s="1491">
        <f t="shared" si="15"/>
        <v>-389218.60673293489</v>
      </c>
      <c r="AF31" s="1491">
        <f t="shared" si="15"/>
        <v>-359729.08759025019</v>
      </c>
      <c r="AG31" s="1489">
        <f t="shared" si="12"/>
        <v>-10829266.330093879</v>
      </c>
    </row>
    <row r="32" spans="1:36" s="1480" customFormat="1" ht="12">
      <c r="B32" s="1494" t="s">
        <v>225</v>
      </c>
      <c r="C32" s="1491"/>
      <c r="D32" s="1491">
        <f t="shared" ref="D32:AF32" si="16">-(D29*0.09)</f>
        <v>-63534.061621917506</v>
      </c>
      <c r="E32" s="1491">
        <f t="shared" si="16"/>
        <v>-65705.538516313507</v>
      </c>
      <c r="F32" s="1491">
        <f t="shared" si="16"/>
        <v>-75863.256160244768</v>
      </c>
      <c r="G32" s="1491">
        <f t="shared" si="16"/>
        <v>-79984.089567064773</v>
      </c>
      <c r="H32" s="1491">
        <f t="shared" si="16"/>
        <v>-97617.743554479428</v>
      </c>
      <c r="I32" s="1491">
        <f t="shared" si="16"/>
        <v>-69196.952981747934</v>
      </c>
      <c r="J32" s="1491">
        <f t="shared" si="16"/>
        <v>-116806.81383353707</v>
      </c>
      <c r="K32" s="1491">
        <f t="shared" si="16"/>
        <v>-155292.81850897684</v>
      </c>
      <c r="L32" s="1491">
        <f t="shared" si="16"/>
        <v>-153918.90604942947</v>
      </c>
      <c r="M32" s="1491">
        <f t="shared" si="16"/>
        <v>-163303.73592777908</v>
      </c>
      <c r="N32" s="1491">
        <f t="shared" si="16"/>
        <v>-185424.20844076303</v>
      </c>
      <c r="O32" s="1491">
        <f t="shared" si="16"/>
        <v>-193379.54934087116</v>
      </c>
      <c r="P32" s="1491">
        <f t="shared" si="16"/>
        <v>-193822.31747270009</v>
      </c>
      <c r="Q32" s="1491">
        <f t="shared" si="16"/>
        <v>-199432.46454691389</v>
      </c>
      <c r="R32" s="1491">
        <f t="shared" si="16"/>
        <v>-185505.05636465177</v>
      </c>
      <c r="S32" s="1491">
        <f t="shared" si="16"/>
        <v>-164332.2725263288</v>
      </c>
      <c r="T32" s="1491">
        <f t="shared" si="16"/>
        <v>-155777.51909828431</v>
      </c>
      <c r="U32" s="1491">
        <f t="shared" si="16"/>
        <v>-155746.46171636591</v>
      </c>
      <c r="V32" s="1491">
        <f t="shared" si="16"/>
        <v>-155642.51286396995</v>
      </c>
      <c r="W32" s="1491">
        <f t="shared" si="16"/>
        <v>-155560.56938434966</v>
      </c>
      <c r="X32" s="1491">
        <f t="shared" si="16"/>
        <v>-155389.81868293043</v>
      </c>
      <c r="Y32" s="1491">
        <f t="shared" si="16"/>
        <v>-155086.1328799848</v>
      </c>
      <c r="Z32" s="1491">
        <f t="shared" si="16"/>
        <v>-154689.17237937296</v>
      </c>
      <c r="AA32" s="1491">
        <f t="shared" si="16"/>
        <v>-154154.87109621134</v>
      </c>
      <c r="AB32" s="1491">
        <f t="shared" si="16"/>
        <v>-153525.7701639421</v>
      </c>
      <c r="AC32" s="1491">
        <f t="shared" si="16"/>
        <v>-152446.19447929331</v>
      </c>
      <c r="AD32" s="1491">
        <f t="shared" si="16"/>
        <v>-151055.9007190252</v>
      </c>
      <c r="AE32" s="1491">
        <f t="shared" si="16"/>
        <v>-148758.69842385655</v>
      </c>
      <c r="AF32" s="1491">
        <f t="shared" si="16"/>
        <v>-138142.47153249008</v>
      </c>
      <c r="AG32" s="1489">
        <f t="shared" si="12"/>
        <v>-4149095.8788337959</v>
      </c>
    </row>
    <row r="33" spans="2:34" s="1480" customFormat="1" ht="12.75" thickBot="1">
      <c r="B33" s="1501" t="s">
        <v>226</v>
      </c>
      <c r="C33" s="1502">
        <f>C29+C30</f>
        <v>344452.45949611819</v>
      </c>
      <c r="D33" s="1502">
        <f t="shared" ref="D33:AF33" si="17">D29+D30</f>
        <v>489916.45189406176</v>
      </c>
      <c r="E33" s="1502">
        <f t="shared" si="17"/>
        <v>505840.61578629911</v>
      </c>
      <c r="F33" s="1502">
        <f t="shared" si="17"/>
        <v>580330.54517512838</v>
      </c>
      <c r="G33" s="1502">
        <f t="shared" si="17"/>
        <v>610549.990158475</v>
      </c>
      <c r="H33" s="1502">
        <f t="shared" si="17"/>
        <v>739863.45273284917</v>
      </c>
      <c r="I33" s="1502">
        <f t="shared" si="17"/>
        <v>531444.32186615153</v>
      </c>
      <c r="J33" s="1502">
        <f t="shared" si="17"/>
        <v>880583.30144593853</v>
      </c>
      <c r="K33" s="1502">
        <f t="shared" si="17"/>
        <v>1162814.0023991633</v>
      </c>
      <c r="L33" s="1502">
        <f t="shared" si="17"/>
        <v>1152738.6443624827</v>
      </c>
      <c r="M33" s="1502">
        <f t="shared" si="17"/>
        <v>1221560.7301370464</v>
      </c>
      <c r="N33" s="1502">
        <f t="shared" si="17"/>
        <v>1383777.5285655956</v>
      </c>
      <c r="O33" s="1502">
        <f t="shared" si="17"/>
        <v>1442116.6951663885</v>
      </c>
      <c r="P33" s="1502">
        <f t="shared" si="17"/>
        <v>1445363.6614664674</v>
      </c>
      <c r="Q33" s="1502">
        <f t="shared" si="17"/>
        <v>1486504.7400107021</v>
      </c>
      <c r="R33" s="1502">
        <f t="shared" si="17"/>
        <v>1384370.4133407797</v>
      </c>
      <c r="S33" s="1502">
        <f t="shared" si="17"/>
        <v>1229103.3318597446</v>
      </c>
      <c r="T33" s="1502">
        <f t="shared" si="17"/>
        <v>1166368.4733874183</v>
      </c>
      <c r="U33" s="1502">
        <f t="shared" si="17"/>
        <v>1166140.71925335</v>
      </c>
      <c r="V33" s="1502">
        <f t="shared" si="17"/>
        <v>1165378.427669113</v>
      </c>
      <c r="W33" s="1502">
        <f t="shared" si="17"/>
        <v>1164777.5088185642</v>
      </c>
      <c r="X33" s="1502">
        <f t="shared" si="17"/>
        <v>1163525.3370081563</v>
      </c>
      <c r="Y33" s="1502">
        <f t="shared" si="17"/>
        <v>1161298.3077865553</v>
      </c>
      <c r="Z33" s="1502">
        <f t="shared" si="17"/>
        <v>1158387.2641154018</v>
      </c>
      <c r="AA33" s="1502">
        <f t="shared" si="17"/>
        <v>1154469.0547055497</v>
      </c>
      <c r="AB33" s="1502">
        <f t="shared" si="17"/>
        <v>1149855.6478689087</v>
      </c>
      <c r="AC33" s="1502">
        <f t="shared" si="17"/>
        <v>1141938.7595148175</v>
      </c>
      <c r="AD33" s="1502">
        <f t="shared" si="17"/>
        <v>1131743.2719395182</v>
      </c>
      <c r="AE33" s="1502">
        <f t="shared" si="17"/>
        <v>1114897.1217749482</v>
      </c>
      <c r="AF33" s="1502">
        <f t="shared" si="17"/>
        <v>1037044.7912382605</v>
      </c>
      <c r="AG33" s="1503">
        <f t="shared" si="12"/>
        <v>31467155.570943948</v>
      </c>
      <c r="AH33" s="1493"/>
    </row>
    <row r="34" spans="2:34" s="1478" customFormat="1" ht="12"/>
    <row r="35" spans="2:34" s="1504" customFormat="1" ht="12" hidden="1">
      <c r="C35" s="1504">
        <f>C29*0.15</f>
        <v>51667.868924417729</v>
      </c>
      <c r="D35" s="1504">
        <f t="shared" ref="D35:AF35" si="18">D29*0.15</f>
        <v>105890.10270319585</v>
      </c>
      <c r="E35" s="1504">
        <f t="shared" si="18"/>
        <v>109509.23086052251</v>
      </c>
      <c r="F35" s="1504">
        <f t="shared" si="18"/>
        <v>126438.76026707461</v>
      </c>
      <c r="G35" s="1504">
        <f t="shared" si="18"/>
        <v>133306.81594510796</v>
      </c>
      <c r="H35" s="1504">
        <f t="shared" si="18"/>
        <v>162696.23925746573</v>
      </c>
      <c r="I35" s="1504">
        <f t="shared" si="18"/>
        <v>115328.25496957988</v>
      </c>
      <c r="J35" s="1504">
        <f t="shared" si="18"/>
        <v>194678.02305589512</v>
      </c>
      <c r="K35" s="1504">
        <f t="shared" si="18"/>
        <v>258821.36418162804</v>
      </c>
      <c r="L35" s="1504">
        <f t="shared" si="18"/>
        <v>256531.51008238242</v>
      </c>
      <c r="M35" s="1504">
        <f t="shared" si="18"/>
        <v>272172.89321296511</v>
      </c>
      <c r="N35" s="1504">
        <f t="shared" si="18"/>
        <v>309040.34740127175</v>
      </c>
      <c r="O35" s="1504">
        <f t="shared" si="18"/>
        <v>322299.24890145194</v>
      </c>
      <c r="P35" s="1504">
        <f t="shared" si="18"/>
        <v>323037.19578783348</v>
      </c>
      <c r="Q35" s="1504">
        <f t="shared" si="18"/>
        <v>332387.44091152312</v>
      </c>
      <c r="R35" s="1504">
        <f t="shared" si="18"/>
        <v>309175.09394108632</v>
      </c>
      <c r="S35" s="1504">
        <f t="shared" si="18"/>
        <v>273887.12087721465</v>
      </c>
      <c r="T35" s="1504">
        <f t="shared" si="18"/>
        <v>259629.19849714049</v>
      </c>
      <c r="U35" s="1504">
        <f t="shared" si="18"/>
        <v>259577.4361939432</v>
      </c>
      <c r="V35" s="1504">
        <f t="shared" si="18"/>
        <v>259404.18810661658</v>
      </c>
      <c r="W35" s="1504">
        <f t="shared" si="18"/>
        <v>259267.61564058278</v>
      </c>
      <c r="X35" s="1504">
        <f t="shared" si="18"/>
        <v>258983.03113821737</v>
      </c>
      <c r="Y35" s="1504">
        <f t="shared" si="18"/>
        <v>258476.88813330798</v>
      </c>
      <c r="Z35" s="1504">
        <f t="shared" si="18"/>
        <v>257815.28729895494</v>
      </c>
      <c r="AA35" s="1504">
        <f t="shared" si="18"/>
        <v>256924.78516035221</v>
      </c>
      <c r="AB35" s="1504">
        <f t="shared" si="18"/>
        <v>255876.28360657016</v>
      </c>
      <c r="AC35" s="1504">
        <f t="shared" si="18"/>
        <v>254076.99079882217</v>
      </c>
      <c r="AD35" s="1504">
        <f t="shared" si="18"/>
        <v>251759.83453170868</v>
      </c>
      <c r="AE35" s="1504">
        <f t="shared" si="18"/>
        <v>247931.16403976092</v>
      </c>
      <c r="AF35" s="1504">
        <f t="shared" si="18"/>
        <v>230237.45255415011</v>
      </c>
    </row>
    <row r="36" spans="2:34" s="1504" customFormat="1" ht="12" hidden="1">
      <c r="C36" s="1504">
        <f>(C29-240000)*0.1</f>
        <v>10445.245949611819</v>
      </c>
      <c r="D36" s="1504">
        <f t="shared" ref="D36:AF36" si="19">(D29-240000)*0.1</f>
        <v>46593.401802130567</v>
      </c>
      <c r="E36" s="1504">
        <f t="shared" si="19"/>
        <v>49006.153907015017</v>
      </c>
      <c r="F36" s="1504">
        <f t="shared" si="19"/>
        <v>60292.506844716416</v>
      </c>
      <c r="G36" s="1504">
        <f t="shared" si="19"/>
        <v>64871.210630071968</v>
      </c>
      <c r="H36" s="1504">
        <f t="shared" si="19"/>
        <v>84464.159504977157</v>
      </c>
      <c r="I36" s="1504">
        <f t="shared" si="19"/>
        <v>52885.503313053261</v>
      </c>
      <c r="J36" s="1504">
        <f t="shared" si="19"/>
        <v>105785.3487039301</v>
      </c>
      <c r="K36" s="1504">
        <f t="shared" si="19"/>
        <v>148547.57612108538</v>
      </c>
      <c r="L36" s="1504">
        <f t="shared" si="19"/>
        <v>147021.00672158829</v>
      </c>
      <c r="M36" s="1504">
        <f t="shared" si="19"/>
        <v>157448.59547531011</v>
      </c>
      <c r="N36" s="1504">
        <f t="shared" si="19"/>
        <v>182026.89826751451</v>
      </c>
      <c r="O36" s="1504">
        <f t="shared" si="19"/>
        <v>190866.16593430133</v>
      </c>
      <c r="P36" s="1504">
        <f t="shared" si="19"/>
        <v>191358.13052522234</v>
      </c>
      <c r="Q36" s="1504">
        <f t="shared" si="19"/>
        <v>197591.62727434878</v>
      </c>
      <c r="R36" s="1504">
        <f t="shared" si="19"/>
        <v>182116.72929405756</v>
      </c>
      <c r="S36" s="1504">
        <f t="shared" si="19"/>
        <v>158591.41391814314</v>
      </c>
      <c r="T36" s="1504">
        <f t="shared" si="19"/>
        <v>149086.13233142701</v>
      </c>
      <c r="U36" s="1504">
        <f t="shared" si="19"/>
        <v>149051.62412929547</v>
      </c>
      <c r="V36" s="1504">
        <f t="shared" si="19"/>
        <v>148936.12540441108</v>
      </c>
      <c r="W36" s="1504">
        <f t="shared" si="19"/>
        <v>148845.07709372186</v>
      </c>
      <c r="X36" s="1504">
        <f t="shared" si="19"/>
        <v>148655.35409214493</v>
      </c>
      <c r="Y36" s="1504">
        <f t="shared" si="19"/>
        <v>148317.92542220533</v>
      </c>
      <c r="Z36" s="1504">
        <f t="shared" si="19"/>
        <v>147876.8581993033</v>
      </c>
      <c r="AA36" s="1504">
        <f t="shared" si="19"/>
        <v>147283.19010690149</v>
      </c>
      <c r="AB36" s="1504">
        <f t="shared" si="19"/>
        <v>146584.18907104677</v>
      </c>
      <c r="AC36" s="1504">
        <f t="shared" si="19"/>
        <v>145384.66053254812</v>
      </c>
      <c r="AD36" s="1504">
        <f t="shared" si="19"/>
        <v>143839.88968780579</v>
      </c>
      <c r="AE36" s="1504">
        <f t="shared" si="19"/>
        <v>141287.44269317397</v>
      </c>
      <c r="AF36" s="1504">
        <f t="shared" si="19"/>
        <v>129491.63503610008</v>
      </c>
    </row>
    <row r="37" spans="2:34" s="1504" customFormat="1" ht="12" hidden="1">
      <c r="C37" s="1504">
        <f>C35+C36</f>
        <v>62113.114874029547</v>
      </c>
      <c r="D37" s="1504">
        <f t="shared" ref="D37:AF37" si="20">D35+D36</f>
        <v>152483.50450532642</v>
      </c>
      <c r="E37" s="1504">
        <f t="shared" si="20"/>
        <v>158515.38476753753</v>
      </c>
      <c r="F37" s="1504">
        <f t="shared" si="20"/>
        <v>186731.26711179104</v>
      </c>
      <c r="G37" s="1504">
        <f t="shared" si="20"/>
        <v>198178.02657517992</v>
      </c>
      <c r="H37" s="1504">
        <f t="shared" si="20"/>
        <v>247160.39876244287</v>
      </c>
      <c r="I37" s="1504">
        <f t="shared" si="20"/>
        <v>168213.75828263315</v>
      </c>
      <c r="J37" s="1504">
        <f t="shared" si="20"/>
        <v>300463.37175982521</v>
      </c>
      <c r="K37" s="1504">
        <f t="shared" si="20"/>
        <v>407368.94030271342</v>
      </c>
      <c r="L37" s="1504">
        <f t="shared" si="20"/>
        <v>403552.51680397068</v>
      </c>
      <c r="M37" s="1504">
        <f t="shared" si="20"/>
        <v>429621.48868827522</v>
      </c>
      <c r="N37" s="1504">
        <f t="shared" si="20"/>
        <v>491067.24566878623</v>
      </c>
      <c r="O37" s="1504">
        <f t="shared" si="20"/>
        <v>513165.41483575327</v>
      </c>
      <c r="P37" s="1504">
        <f t="shared" si="20"/>
        <v>514395.32631305582</v>
      </c>
      <c r="Q37" s="1504">
        <f t="shared" si="20"/>
        <v>529979.06818587193</v>
      </c>
      <c r="R37" s="1504">
        <f t="shared" si="20"/>
        <v>491291.82323514391</v>
      </c>
      <c r="S37" s="1504">
        <f t="shared" si="20"/>
        <v>432478.53479535779</v>
      </c>
      <c r="T37" s="1504">
        <f t="shared" si="20"/>
        <v>408715.3308285675</v>
      </c>
      <c r="U37" s="1504">
        <f t="shared" si="20"/>
        <v>408629.06032323866</v>
      </c>
      <c r="V37" s="1504">
        <f t="shared" si="20"/>
        <v>408340.31351102766</v>
      </c>
      <c r="W37" s="1504">
        <f t="shared" si="20"/>
        <v>408112.69273430464</v>
      </c>
      <c r="X37" s="1504">
        <f t="shared" si="20"/>
        <v>407638.3852303623</v>
      </c>
      <c r="Y37" s="1504">
        <f t="shared" si="20"/>
        <v>406794.81355551328</v>
      </c>
      <c r="Z37" s="1504">
        <f t="shared" si="20"/>
        <v>405692.14549825824</v>
      </c>
      <c r="AA37" s="1504">
        <f t="shared" si="20"/>
        <v>404207.9752672537</v>
      </c>
      <c r="AB37" s="1504">
        <f t="shared" si="20"/>
        <v>402460.47267761693</v>
      </c>
      <c r="AC37" s="1504">
        <f t="shared" si="20"/>
        <v>399461.65133137029</v>
      </c>
      <c r="AD37" s="1504">
        <f t="shared" si="20"/>
        <v>395599.72421951446</v>
      </c>
      <c r="AE37" s="1504">
        <f t="shared" si="20"/>
        <v>389218.60673293489</v>
      </c>
      <c r="AF37" s="1504">
        <f t="shared" si="20"/>
        <v>359729.08759025019</v>
      </c>
    </row>
    <row r="38" spans="2:34" s="1478" customFormat="1" ht="12" hidden="1"/>
    <row r="39" spans="2:34" s="1478" customFormat="1" ht="12" hidden="1">
      <c r="B39" s="1478" t="str">
        <f>IF(SUM(C39:AF39)&gt;=1,"CHECK","OK")</f>
        <v>OK</v>
      </c>
      <c r="C39" s="1478">
        <f t="shared" ref="C39:AF39" si="21">IF(C29&lt;=240000,1,0)</f>
        <v>0</v>
      </c>
      <c r="D39" s="1478">
        <f t="shared" si="21"/>
        <v>0</v>
      </c>
      <c r="E39" s="1478">
        <f t="shared" si="21"/>
        <v>0</v>
      </c>
      <c r="F39" s="1478">
        <f t="shared" si="21"/>
        <v>0</v>
      </c>
      <c r="G39" s="1478">
        <f t="shared" si="21"/>
        <v>0</v>
      </c>
      <c r="H39" s="1478">
        <f t="shared" si="21"/>
        <v>0</v>
      </c>
      <c r="I39" s="1478">
        <f t="shared" si="21"/>
        <v>0</v>
      </c>
      <c r="J39" s="1478">
        <f t="shared" si="21"/>
        <v>0</v>
      </c>
      <c r="K39" s="1478">
        <f t="shared" si="21"/>
        <v>0</v>
      </c>
      <c r="L39" s="1478">
        <f t="shared" si="21"/>
        <v>0</v>
      </c>
      <c r="M39" s="1478">
        <f t="shared" si="21"/>
        <v>0</v>
      </c>
      <c r="N39" s="1478">
        <f t="shared" si="21"/>
        <v>0</v>
      </c>
      <c r="O39" s="1478">
        <f t="shared" si="21"/>
        <v>0</v>
      </c>
      <c r="P39" s="1478">
        <f t="shared" si="21"/>
        <v>0</v>
      </c>
      <c r="Q39" s="1478">
        <f t="shared" si="21"/>
        <v>0</v>
      </c>
      <c r="R39" s="1478">
        <f t="shared" si="21"/>
        <v>0</v>
      </c>
      <c r="S39" s="1478">
        <f t="shared" si="21"/>
        <v>0</v>
      </c>
      <c r="T39" s="1478">
        <f t="shared" si="21"/>
        <v>0</v>
      </c>
      <c r="U39" s="1478">
        <f t="shared" si="21"/>
        <v>0</v>
      </c>
      <c r="V39" s="1478">
        <f t="shared" si="21"/>
        <v>0</v>
      </c>
      <c r="W39" s="1478">
        <f t="shared" si="21"/>
        <v>0</v>
      </c>
      <c r="X39" s="1478">
        <f t="shared" si="21"/>
        <v>0</v>
      </c>
      <c r="Y39" s="1478">
        <f t="shared" si="21"/>
        <v>0</v>
      </c>
      <c r="Z39" s="1478">
        <f t="shared" si="21"/>
        <v>0</v>
      </c>
      <c r="AA39" s="1478">
        <f t="shared" si="21"/>
        <v>0</v>
      </c>
      <c r="AB39" s="1478">
        <f t="shared" si="21"/>
        <v>0</v>
      </c>
      <c r="AC39" s="1478">
        <f t="shared" si="21"/>
        <v>0</v>
      </c>
      <c r="AD39" s="1478">
        <f t="shared" si="21"/>
        <v>0</v>
      </c>
      <c r="AE39" s="1478">
        <f t="shared" si="21"/>
        <v>0</v>
      </c>
      <c r="AF39" s="1478">
        <f t="shared" si="21"/>
        <v>0</v>
      </c>
    </row>
    <row r="40" spans="2:34" s="1478" customFormat="1" ht="12" hidden="1">
      <c r="C40" s="1505"/>
      <c r="D40" s="1505"/>
      <c r="E40" s="1505"/>
      <c r="F40" s="1505"/>
      <c r="G40" s="1505"/>
      <c r="H40" s="1505"/>
      <c r="I40" s="1505"/>
      <c r="J40" s="1505"/>
      <c r="K40" s="1505"/>
      <c r="L40" s="1505"/>
      <c r="M40" s="1505"/>
      <c r="N40" s="1505"/>
      <c r="O40" s="1505"/>
      <c r="P40" s="1505"/>
      <c r="Q40" s="1505"/>
      <c r="R40" s="1505"/>
      <c r="S40" s="1505"/>
      <c r="T40" s="1505"/>
      <c r="U40" s="1505"/>
      <c r="V40" s="1505"/>
      <c r="W40" s="1505"/>
      <c r="X40" s="1505"/>
      <c r="Y40" s="1505"/>
      <c r="Z40" s="1505"/>
      <c r="AA40" s="1505"/>
      <c r="AB40" s="1505"/>
      <c r="AC40" s="1505"/>
      <c r="AD40" s="1505"/>
      <c r="AE40" s="1505"/>
      <c r="AF40" s="1505"/>
      <c r="AG40" s="1505"/>
    </row>
    <row r="41" spans="2:34" s="1478" customFormat="1" ht="12" hidden="1"/>
    <row r="42" spans="2:34" s="206" customFormat="1" ht="12">
      <c r="B42" s="1479" t="s">
        <v>883</v>
      </c>
      <c r="C42" s="1480"/>
      <c r="D42" s="1480"/>
      <c r="E42" s="1480"/>
      <c r="F42" s="1480"/>
      <c r="G42" s="1480"/>
      <c r="H42" s="1480"/>
      <c r="I42" s="1480"/>
      <c r="J42" s="1480"/>
      <c r="K42" s="1480"/>
      <c r="L42" s="1480"/>
      <c r="M42" s="1480"/>
      <c r="N42" s="1506"/>
      <c r="O42" s="1506"/>
      <c r="P42" s="1506"/>
      <c r="Q42" s="1507"/>
      <c r="R42" s="1480"/>
      <c r="S42" s="1480"/>
      <c r="T42" s="1480"/>
      <c r="U42" s="1480"/>
      <c r="V42" s="1480"/>
      <c r="W42" s="1480"/>
      <c r="X42" s="1480"/>
      <c r="Y42" s="1480"/>
      <c r="Z42" s="1480"/>
      <c r="AA42" s="1480"/>
      <c r="AB42" s="1480"/>
      <c r="AC42" s="1584"/>
      <c r="AD42" s="1584"/>
      <c r="AE42" s="1584"/>
      <c r="AF42" s="1584"/>
      <c r="AG42" s="1584"/>
    </row>
    <row r="43" spans="2:34" s="206" customFormat="1" ht="12.75" thickBot="1">
      <c r="B43" s="1478"/>
      <c r="C43" s="1478"/>
      <c r="D43" s="1478"/>
      <c r="E43" s="1478"/>
      <c r="F43" s="1478"/>
      <c r="G43" s="1482"/>
      <c r="H43" s="1478"/>
      <c r="I43" s="1478"/>
      <c r="J43" s="1478"/>
      <c r="K43" s="1478"/>
      <c r="L43" s="1482"/>
      <c r="N43" s="1478"/>
      <c r="O43" s="1482"/>
      <c r="P43" s="1482"/>
      <c r="Q43" s="1482"/>
      <c r="R43" s="1482"/>
      <c r="S43" s="1478"/>
      <c r="T43" s="1478"/>
      <c r="U43" s="1478"/>
      <c r="V43" s="1482"/>
      <c r="W43" s="1482"/>
      <c r="X43" s="1482"/>
      <c r="Y43" s="1482"/>
      <c r="Z43" s="1482"/>
      <c r="AA43" s="1482"/>
      <c r="AB43" s="1482"/>
      <c r="AC43" s="1482"/>
      <c r="AD43" s="1482"/>
      <c r="AE43" s="1482"/>
      <c r="AF43" s="1482"/>
      <c r="AG43" s="1482"/>
    </row>
    <row r="44" spans="2:34" s="206" customFormat="1" ht="12.75" thickBot="1">
      <c r="B44" s="1508" t="s">
        <v>172</v>
      </c>
      <c r="C44" s="1509" t="s">
        <v>173</v>
      </c>
      <c r="D44" s="1509" t="s">
        <v>174</v>
      </c>
      <c r="E44" s="1509" t="s">
        <v>259</v>
      </c>
      <c r="F44" s="1509" t="s">
        <v>175</v>
      </c>
      <c r="G44" s="1509" t="s">
        <v>176</v>
      </c>
      <c r="H44" s="1509" t="s">
        <v>177</v>
      </c>
      <c r="I44" s="1509" t="s">
        <v>178</v>
      </c>
      <c r="J44" s="1509" t="s">
        <v>179</v>
      </c>
      <c r="K44" s="1509" t="s">
        <v>180</v>
      </c>
      <c r="L44" s="1509" t="s">
        <v>181</v>
      </c>
      <c r="M44" s="1509" t="s">
        <v>182</v>
      </c>
      <c r="N44" s="1509" t="s">
        <v>183</v>
      </c>
      <c r="O44" s="1509" t="s">
        <v>184</v>
      </c>
      <c r="P44" s="1509" t="s">
        <v>185</v>
      </c>
      <c r="Q44" s="1509" t="s">
        <v>186</v>
      </c>
      <c r="R44" s="1509" t="s">
        <v>187</v>
      </c>
      <c r="S44" s="1509" t="s">
        <v>188</v>
      </c>
      <c r="T44" s="1509" t="s">
        <v>189</v>
      </c>
      <c r="U44" s="1509" t="s">
        <v>190</v>
      </c>
      <c r="V44" s="1509" t="s">
        <v>191</v>
      </c>
      <c r="W44" s="1509" t="s">
        <v>192</v>
      </c>
      <c r="X44" s="1509" t="s">
        <v>193</v>
      </c>
      <c r="Y44" s="1509" t="s">
        <v>194</v>
      </c>
      <c r="Z44" s="1509" t="s">
        <v>195</v>
      </c>
      <c r="AA44" s="1509" t="s">
        <v>196</v>
      </c>
      <c r="AB44" s="1509" t="s">
        <v>197</v>
      </c>
      <c r="AC44" s="1509" t="s">
        <v>198</v>
      </c>
      <c r="AD44" s="1509" t="s">
        <v>199</v>
      </c>
      <c r="AE44" s="1509" t="s">
        <v>200</v>
      </c>
      <c r="AF44" s="1510" t="s">
        <v>201</v>
      </c>
      <c r="AG44" s="1511" t="s">
        <v>0</v>
      </c>
    </row>
    <row r="45" spans="2:34" s="205" customFormat="1" ht="12">
      <c r="B45" s="1512" t="s">
        <v>227</v>
      </c>
      <c r="C45" s="1513">
        <f>C27</f>
        <v>344452.45949611819</v>
      </c>
      <c r="D45" s="1513">
        <f t="shared" ref="D45:AF45" si="22">D27</f>
        <v>725356.85352382285</v>
      </c>
      <c r="E45" s="1513">
        <f t="shared" si="22"/>
        <v>761828.63043885329</v>
      </c>
      <c r="F45" s="1513">
        <f t="shared" si="22"/>
        <v>885889.84541072126</v>
      </c>
      <c r="G45" s="1513">
        <f t="shared" si="22"/>
        <v>985282.16072117677</v>
      </c>
      <c r="H45" s="1513">
        <f t="shared" si="22"/>
        <v>1208087.4405446299</v>
      </c>
      <c r="I45" s="1513">
        <f t="shared" si="22"/>
        <v>1205221.7157504328</v>
      </c>
      <c r="J45" s="1513">
        <f t="shared" si="22"/>
        <v>1783906.1439366036</v>
      </c>
      <c r="K45" s="1513">
        <f t="shared" si="22"/>
        <v>2320697.6478996133</v>
      </c>
      <c r="L45" s="1513">
        <f t="shared" si="22"/>
        <v>2414986.7398340488</v>
      </c>
      <c r="M45" s="1513">
        <f t="shared" si="22"/>
        <v>2573397.8129347744</v>
      </c>
      <c r="N45" s="1513">
        <f t="shared" si="22"/>
        <v>2856471.4907258656</v>
      </c>
      <c r="O45" s="1513">
        <f t="shared" si="22"/>
        <v>2947494.0426021856</v>
      </c>
      <c r="P45" s="1513">
        <f t="shared" si="22"/>
        <v>2955198.2622615215</v>
      </c>
      <c r="Q45" s="1513">
        <f t="shared" si="22"/>
        <v>3021807.4018622944</v>
      </c>
      <c r="R45" s="1513">
        <f t="shared" si="22"/>
        <v>3032372.5102582765</v>
      </c>
      <c r="S45" s="1513">
        <f t="shared" si="22"/>
        <v>2983613.144225541</v>
      </c>
      <c r="T45" s="1513">
        <f t="shared" si="22"/>
        <v>2977065.7011871007</v>
      </c>
      <c r="U45" s="1513">
        <f t="shared" si="22"/>
        <v>2981978.8486451302</v>
      </c>
      <c r="V45" s="1513">
        <f t="shared" si="22"/>
        <v>2986560.1117373896</v>
      </c>
      <c r="W45" s="1513">
        <f t="shared" si="22"/>
        <v>2991959.5040057111</v>
      </c>
      <c r="X45" s="1513">
        <f t="shared" si="22"/>
        <v>2997706.0244068457</v>
      </c>
      <c r="Y45" s="1513">
        <f t="shared" si="22"/>
        <v>3001761.5819264669</v>
      </c>
      <c r="Z45" s="1513">
        <f t="shared" si="22"/>
        <v>3005842.160233466</v>
      </c>
      <c r="AA45" s="1513">
        <f t="shared" si="22"/>
        <v>3009811.9382681372</v>
      </c>
      <c r="AB45" s="1513">
        <f t="shared" si="22"/>
        <v>3014709.6786600174</v>
      </c>
      <c r="AC45" s="1513">
        <f t="shared" si="22"/>
        <v>3019912.831713065</v>
      </c>
      <c r="AD45" s="1513">
        <f t="shared" si="22"/>
        <v>3024549.3745163539</v>
      </c>
      <c r="AE45" s="1513">
        <f t="shared" si="22"/>
        <v>3029558.2814461039</v>
      </c>
      <c r="AF45" s="1513">
        <f t="shared" si="22"/>
        <v>3033332.2066242346</v>
      </c>
      <c r="AG45" s="1514">
        <f>SUM(C45:AF45)</f>
        <v>72080812.545796514</v>
      </c>
    </row>
    <row r="46" spans="2:34" s="206" customFormat="1" ht="12">
      <c r="B46" s="1490" t="s">
        <v>228</v>
      </c>
      <c r="C46" s="1491"/>
      <c r="D46" s="1491"/>
      <c r="E46" s="1491"/>
      <c r="F46" s="1491"/>
      <c r="G46" s="1491"/>
      <c r="H46" s="1491"/>
      <c r="I46" s="1491"/>
      <c r="J46" s="1491"/>
      <c r="K46" s="1491"/>
      <c r="L46" s="1491"/>
      <c r="M46" s="1491"/>
      <c r="N46" s="1491"/>
      <c r="O46" s="1491"/>
      <c r="P46" s="1491"/>
      <c r="Q46" s="1491"/>
      <c r="R46" s="1491"/>
      <c r="S46" s="1491"/>
      <c r="T46" s="1491"/>
      <c r="U46" s="1491"/>
      <c r="V46" s="1491"/>
      <c r="W46" s="1491"/>
      <c r="X46" s="1491"/>
      <c r="Y46" s="1491"/>
      <c r="Z46" s="1491"/>
      <c r="AA46" s="1491"/>
      <c r="AB46" s="1491"/>
      <c r="AC46" s="1491"/>
      <c r="AD46" s="1491"/>
      <c r="AE46" s="1491"/>
      <c r="AF46" s="1515"/>
      <c r="AG46" s="1516">
        <f t="shared" ref="AG46:AG55" si="23">SUM(C46:AF46)</f>
        <v>0</v>
      </c>
    </row>
    <row r="47" spans="2:34" s="205" customFormat="1" ht="12">
      <c r="B47" s="1486" t="s">
        <v>229</v>
      </c>
      <c r="C47" s="1487">
        <f t="shared" ref="C47:AF47" si="24">C48+C52</f>
        <v>-563262.22957299976</v>
      </c>
      <c r="D47" s="1487">
        <f t="shared" si="24"/>
        <v>-561656.73038045038</v>
      </c>
      <c r="E47" s="1487">
        <f t="shared" si="24"/>
        <v>-526558.43434490811</v>
      </c>
      <c r="F47" s="1487">
        <f t="shared" si="24"/>
        <v>-1656331.7371514337</v>
      </c>
      <c r="G47" s="1487">
        <f t="shared" si="24"/>
        <v>-950056.89300227922</v>
      </c>
      <c r="H47" s="1487">
        <f t="shared" si="24"/>
        <v>-7854878.2333179265</v>
      </c>
      <c r="I47" s="1487">
        <f t="shared" si="24"/>
        <v>-1380188.1196446363</v>
      </c>
      <c r="J47" s="1487">
        <f t="shared" si="24"/>
        <v>-2818993.2410054151</v>
      </c>
      <c r="K47" s="1487">
        <f t="shared" si="24"/>
        <v>-2863312.2633292237</v>
      </c>
      <c r="L47" s="1487">
        <f t="shared" si="24"/>
        <v>-1640175.1341235517</v>
      </c>
      <c r="M47" s="1487">
        <f t="shared" si="24"/>
        <v>-1301447.5721279527</v>
      </c>
      <c r="N47" s="1487">
        <f t="shared" si="24"/>
        <v>-723829.20786168589</v>
      </c>
      <c r="O47" s="1487">
        <f t="shared" si="24"/>
        <v>-753882.71792876103</v>
      </c>
      <c r="P47" s="1487">
        <f t="shared" si="24"/>
        <v>-776604.39753789245</v>
      </c>
      <c r="Q47" s="1487">
        <f t="shared" si="24"/>
        <v>-3209122.8557161991</v>
      </c>
      <c r="R47" s="1487">
        <f t="shared" si="24"/>
        <v>-3287709.9077695189</v>
      </c>
      <c r="S47" s="1487">
        <f t="shared" si="24"/>
        <v>-1747380.6540950562</v>
      </c>
      <c r="T47" s="1487">
        <f t="shared" si="24"/>
        <v>-627591.60367898841</v>
      </c>
      <c r="U47" s="1487">
        <f t="shared" si="24"/>
        <v>-627474.27579174121</v>
      </c>
      <c r="V47" s="1487">
        <f t="shared" si="24"/>
        <v>-627081.58012713422</v>
      </c>
      <c r="W47" s="1487">
        <f t="shared" si="24"/>
        <v>-632467.01587079093</v>
      </c>
      <c r="X47" s="1487">
        <f t="shared" si="24"/>
        <v>-622466.95766542933</v>
      </c>
      <c r="Y47" s="1487">
        <f t="shared" si="24"/>
        <v>-621319.70018763468</v>
      </c>
      <c r="Z47" s="1487">
        <f t="shared" si="24"/>
        <v>-619820.07162976777</v>
      </c>
      <c r="AA47" s="1487">
        <f t="shared" si="24"/>
        <v>-617801.60011560167</v>
      </c>
      <c r="AB47" s="1487">
        <f t="shared" si="24"/>
        <v>-624779.9965936956</v>
      </c>
      <c r="AC47" s="1487">
        <f t="shared" si="24"/>
        <v>-612160.59956280026</v>
      </c>
      <c r="AD47" s="1487">
        <f t="shared" si="24"/>
        <v>-607722.3786906763</v>
      </c>
      <c r="AE47" s="1487">
        <f t="shared" si="24"/>
        <v>-600262.05890892807</v>
      </c>
      <c r="AF47" s="1517">
        <f t="shared" si="24"/>
        <v>-557318.80711947323</v>
      </c>
      <c r="AG47" s="1516">
        <f t="shared" si="23"/>
        <v>-40613656.974852555</v>
      </c>
    </row>
    <row r="48" spans="2:34" s="206" customFormat="1" ht="12">
      <c r="B48" s="1486" t="s">
        <v>230</v>
      </c>
      <c r="C48" s="1487">
        <f t="shared" ref="C48:AF48" si="25">SUM(C49:C51)</f>
        <v>-563262.22957299976</v>
      </c>
      <c r="D48" s="1487">
        <f t="shared" si="25"/>
        <v>-345639.16425320646</v>
      </c>
      <c r="E48" s="1487">
        <f t="shared" si="25"/>
        <v>-302337.51106105704</v>
      </c>
      <c r="F48" s="1487">
        <f t="shared" si="25"/>
        <v>-1393737.2138793978</v>
      </c>
      <c r="G48" s="1487">
        <f t="shared" si="25"/>
        <v>-671894.77686003456</v>
      </c>
      <c r="H48" s="1487">
        <f t="shared" si="25"/>
        <v>-7510100.091001004</v>
      </c>
      <c r="I48" s="1487">
        <f t="shared" si="25"/>
        <v>-1142777.4083802553</v>
      </c>
      <c r="J48" s="1487">
        <f t="shared" si="25"/>
        <v>-2401723.0554120527</v>
      </c>
      <c r="K48" s="1487">
        <f t="shared" si="25"/>
        <v>-2300650.5045175334</v>
      </c>
      <c r="L48" s="1487">
        <f t="shared" si="25"/>
        <v>-1082703.7112701517</v>
      </c>
      <c r="M48" s="1487">
        <f t="shared" si="25"/>
        <v>-708522.34751189826</v>
      </c>
      <c r="N48" s="1487">
        <f t="shared" si="25"/>
        <v>-47337.753752136574</v>
      </c>
      <c r="O48" s="1487">
        <f t="shared" si="25"/>
        <v>-47337.753752136574</v>
      </c>
      <c r="P48" s="1487">
        <f t="shared" si="25"/>
        <v>-68386.753752136574</v>
      </c>
      <c r="Q48" s="1487">
        <f t="shared" si="25"/>
        <v>-2479711.3229834135</v>
      </c>
      <c r="R48" s="1487">
        <f t="shared" si="25"/>
        <v>-2610913.0281697232</v>
      </c>
      <c r="S48" s="1487">
        <f t="shared" si="25"/>
        <v>-1150569.8467733697</v>
      </c>
      <c r="T48" s="1487">
        <f t="shared" si="25"/>
        <v>-63098.753752136574</v>
      </c>
      <c r="U48" s="1487">
        <f t="shared" si="25"/>
        <v>-63098.753752136574</v>
      </c>
      <c r="V48" s="1487">
        <f t="shared" si="25"/>
        <v>-63098.753752136574</v>
      </c>
      <c r="W48" s="1487">
        <f t="shared" si="25"/>
        <v>-68793.753752136574</v>
      </c>
      <c r="X48" s="1487">
        <f t="shared" si="25"/>
        <v>-59438.753752136574</v>
      </c>
      <c r="Y48" s="1487">
        <f t="shared" si="25"/>
        <v>-59438.753752136574</v>
      </c>
      <c r="Z48" s="1487">
        <f t="shared" si="25"/>
        <v>-59438.753752136574</v>
      </c>
      <c r="AA48" s="1487">
        <f t="shared" si="25"/>
        <v>-59438.753752136574</v>
      </c>
      <c r="AB48" s="1487">
        <f t="shared" si="25"/>
        <v>-68793.753752136574</v>
      </c>
      <c r="AC48" s="1487">
        <f t="shared" si="25"/>
        <v>-60252.753752136574</v>
      </c>
      <c r="AD48" s="1487">
        <f t="shared" si="25"/>
        <v>-61066.753752136574</v>
      </c>
      <c r="AE48" s="1487">
        <f t="shared" si="25"/>
        <v>-62284.753752136574</v>
      </c>
      <c r="AF48" s="1487">
        <f t="shared" si="25"/>
        <v>-59447.247996732927</v>
      </c>
      <c r="AG48" s="1516">
        <f t="shared" si="23"/>
        <v>-25635294.765924856</v>
      </c>
      <c r="AH48" s="207"/>
    </row>
    <row r="49" spans="2:34" s="206" customFormat="1" ht="12">
      <c r="B49" s="1518" t="s">
        <v>231</v>
      </c>
      <c r="C49" s="1491">
        <f>'R1 FC'!C8</f>
        <v>-408428.3754822117</v>
      </c>
      <c r="D49" s="1491">
        <f>'R1 FC'!D8</f>
        <v>-329783.01199834509</v>
      </c>
      <c r="E49" s="1491">
        <f>'R1 FC'!E8</f>
        <v>-226602.31678867349</v>
      </c>
      <c r="F49" s="1491">
        <f>'R1 FC'!F8</f>
        <v>-1359859.3479073208</v>
      </c>
      <c r="G49" s="1492">
        <f>'R1 FC'!G8-'COMB A'!B42</f>
        <v>-392262.3403888006</v>
      </c>
      <c r="H49" s="1492">
        <f>'R1 FC'!H8-'COMB A'!C42</f>
        <v>-2239224.4417151115</v>
      </c>
      <c r="I49" s="1492">
        <f>'R1 FC'!I8-'COMB A'!D42</f>
        <v>-99435.813516290713</v>
      </c>
      <c r="J49" s="1492">
        <f>'R1 FC'!J8-'COMB A'!E42</f>
        <v>-156630.89518321707</v>
      </c>
      <c r="K49" s="1492">
        <f>'R1 FC'!K8-'COMB A'!F42</f>
        <v>-1038334.884561511</v>
      </c>
      <c r="L49" s="1492">
        <f>'R1 FC'!L8-'COMB A'!G42</f>
        <v>-700946.6707982698</v>
      </c>
      <c r="M49" s="1492">
        <f>'R1 FC'!M8-'COMB A'!H42</f>
        <v>-14785.887780059598</v>
      </c>
      <c r="N49" s="1492">
        <f>'R1 FC'!N8-'COMB A'!I42</f>
        <v>-14275.887780059598</v>
      </c>
      <c r="O49" s="1492">
        <f>'R1 FC'!O8-'COMB A'!J42</f>
        <v>-14275.887780059598</v>
      </c>
      <c r="P49" s="1492">
        <f>'R1 FC'!P8-'COMB A'!K42</f>
        <v>-14275.887780059598</v>
      </c>
      <c r="Q49" s="1492">
        <f>'R1 FC'!Q8-'COMB A'!L42</f>
        <v>-14275.887780059598</v>
      </c>
      <c r="R49" s="1492">
        <f>'R1 FC'!R8-'COMB A'!M42</f>
        <v>-12851.887780059598</v>
      </c>
      <c r="S49" s="1492">
        <f>'R1 FC'!S8-'COMB A'!N42</f>
        <v>-12851.887780059598</v>
      </c>
      <c r="T49" s="1492">
        <f>'R1 FC'!T8-'COMB A'!O42</f>
        <v>-12851.887780059598</v>
      </c>
      <c r="U49" s="1492">
        <f>'R1 FC'!U8-'COMB A'!P42</f>
        <v>-12851.887780059598</v>
      </c>
      <c r="V49" s="1492">
        <f>'R1 FC'!V8-'COMB A'!Q42</f>
        <v>-12851.887780059598</v>
      </c>
      <c r="W49" s="1492">
        <f>'R1 FC'!W8-'COMB A'!R42</f>
        <v>-14377.887780059598</v>
      </c>
      <c r="X49" s="1492">
        <f>'R1 FC'!X8-'COMB A'!S42</f>
        <v>-11835.887780059598</v>
      </c>
      <c r="Y49" s="1492">
        <f>'R1 FC'!Y8-'COMB A'!T42</f>
        <v>-11835.887780059598</v>
      </c>
      <c r="Z49" s="1492">
        <f>'R1 FC'!Z8-'COMB A'!U42</f>
        <v>-11835.887780059598</v>
      </c>
      <c r="AA49" s="1492">
        <f>'R1 FC'!AA8-'COMB A'!V42</f>
        <v>-11835.887780059598</v>
      </c>
      <c r="AB49" s="1492">
        <f>'R1 FC'!AB8-'COMB A'!W42</f>
        <v>-14377.887780059598</v>
      </c>
      <c r="AC49" s="1492">
        <f>'R1 FC'!AC8-'COMB A'!X42</f>
        <v>-12039.887780059598</v>
      </c>
      <c r="AD49" s="1492">
        <f>'R1 FC'!AD8-'COMB A'!Y42</f>
        <v>-12243.887780059598</v>
      </c>
      <c r="AE49" s="1492">
        <f>'R1 FC'!AE8-'COMB A'!Z42</f>
        <v>-12647.887780059598</v>
      </c>
      <c r="AF49" s="1492">
        <f>'R1 FC'!AF8-'COMB A'!AA42</f>
        <v>-9773.2620246559418</v>
      </c>
      <c r="AG49" s="1516">
        <f t="shared" si="23"/>
        <v>-7210461.2281855484</v>
      </c>
    </row>
    <row r="50" spans="2:34" s="206" customFormat="1" ht="12">
      <c r="B50" s="1518" t="s">
        <v>232</v>
      </c>
      <c r="C50" s="1491">
        <f>'R1 FC'!C9</f>
        <v>-37879.125589369905</v>
      </c>
      <c r="D50" s="1491">
        <f>'R1 FC'!D9</f>
        <v>-571.94869673148537</v>
      </c>
      <c r="E50" s="1491">
        <f>'R1 FC'!E9</f>
        <v>-9420.8028316306008</v>
      </c>
      <c r="F50" s="1491">
        <f>'R1 FC'!F9</f>
        <v>-816</v>
      </c>
      <c r="G50" s="1492">
        <f>IF('R1 FC'!G9-'COMB A'!B47&lt;0,'R1 FC'!G9-'COMB A'!B47,0)</f>
        <v>-264774.07995946426</v>
      </c>
      <c r="H50" s="1492">
        <f>IF('R1 FC'!H9-'COMB A'!C47&lt;0,'R1 FC'!H9-'COMB A'!C47,0)</f>
        <v>-5221610.1859909734</v>
      </c>
      <c r="I50" s="1492">
        <f>IF('R1 FC'!I9-'COMB A'!D47&lt;0,'R1 FC'!I9-'COMB A'!D47,0)</f>
        <v>-1023067.6764175253</v>
      </c>
      <c r="J50" s="1492">
        <f>IF('R1 FC'!J9-'COMB A'!E47&lt;0,'R1 FC'!J9-'COMB A'!E47,0)</f>
        <v>-2179670.1740695303</v>
      </c>
      <c r="K50" s="1492">
        <f>IF('R1 FC'!K9-'COMB A'!F47&lt;0,'R1 FC'!K9-'COMB A'!F47,0)</f>
        <v>-1229253.7539839451</v>
      </c>
      <c r="L50" s="1492">
        <f>IF('R1 FC'!L9-'COMB A'!G47&lt;0,'R1 FC'!L9-'COMB A'!G47,0)</f>
        <v>-348695.17449980474</v>
      </c>
      <c r="M50" s="1492">
        <f>IF('R1 FC'!M9-'COMB A'!H47&lt;0,'R1 FC'!M9-'COMB A'!H47,0)</f>
        <v>-660674.59375976166</v>
      </c>
      <c r="N50" s="1492">
        <f>IF('R1 FC'!N9-'COMB A'!I47&lt;0,'R1 FC'!N9-'COMB A'!I47,0)</f>
        <v>0</v>
      </c>
      <c r="O50" s="1492">
        <f>IF('R1 FC'!O9-'COMB A'!J47&lt;0,'R1 FC'!O9-'COMB A'!J47,0)</f>
        <v>0</v>
      </c>
      <c r="P50" s="1492">
        <f>IF('R1 FC'!P9-'COMB A'!K47&lt;0,'R1 FC'!P9-'COMB A'!K47,0)</f>
        <v>-21049</v>
      </c>
      <c r="Q50" s="1492">
        <f>IF('R1 FC'!Q9-'COMB A'!L47&lt;0,'R1 FC'!Q9-'COMB A'!L47,0)</f>
        <v>-2432373.5692312769</v>
      </c>
      <c r="R50" s="1492">
        <f>IF('R1 FC'!R9-'COMB A'!M47&lt;0,'R1 FC'!R9-'COMB A'!M47,0)</f>
        <v>-2564999.2744175866</v>
      </c>
      <c r="S50" s="1492">
        <f>IF('R1 FC'!S9-'COMB A'!N47&lt;0,'R1 FC'!S9-'COMB A'!N47,0)</f>
        <v>-1104656.0930212331</v>
      </c>
      <c r="T50" s="1492">
        <f>IF('R1 FC'!T9-'COMB A'!O47&lt;0,'R1 FC'!T9-'COMB A'!O47,0)</f>
        <v>-17185</v>
      </c>
      <c r="U50" s="1492">
        <f>IF('R1 FC'!U9-'COMB A'!P47&lt;0,'R1 FC'!U9-'COMB A'!P47,0)</f>
        <v>-17185</v>
      </c>
      <c r="V50" s="1492">
        <f>IF('R1 FC'!V9-'COMB A'!Q47&lt;0,'R1 FC'!V9-'COMB A'!Q47,0)</f>
        <v>-17185</v>
      </c>
      <c r="W50" s="1492">
        <f>IF('R1 FC'!W9-'COMB A'!R47&lt;0,'R1 FC'!W9-'COMB A'!R47,0)</f>
        <v>-21354</v>
      </c>
      <c r="X50" s="1492">
        <f>IF('R1 FC'!X9-'COMB A'!S47&lt;0,'R1 FC'!X9-'COMB A'!S47,0)</f>
        <v>-14541</v>
      </c>
      <c r="Y50" s="1492">
        <f>IF('R1 FC'!Y9-'COMB A'!T47&lt;0,'R1 FC'!Y9-'COMB A'!T47,0)</f>
        <v>-14541</v>
      </c>
      <c r="Z50" s="1492">
        <f>IF('R1 FC'!Z9-'COMB A'!U47&lt;0,'R1 FC'!Z9-'COMB A'!U47,0)</f>
        <v>-14541</v>
      </c>
      <c r="AA50" s="1492">
        <f>IF('R1 FC'!AA9-'COMB A'!V47&lt;0,'R1 FC'!AA9-'COMB A'!V47,0)</f>
        <v>-14541</v>
      </c>
      <c r="AB50" s="1492">
        <f>IF('R1 FC'!AB9-'COMB A'!W47&lt;0,'R1 FC'!AB9-'COMB A'!W47,0)</f>
        <v>-21354</v>
      </c>
      <c r="AC50" s="1492">
        <f>IF('R1 FC'!AC9-'COMB A'!X47&lt;0,'R1 FC'!AC9-'COMB A'!X47,0)</f>
        <v>-15151</v>
      </c>
      <c r="AD50" s="1492">
        <f>IF('R1 FC'!AD9-'COMB A'!Y47&lt;0,'R1 FC'!AD9-'COMB A'!Y47,0)</f>
        <v>-15761</v>
      </c>
      <c r="AE50" s="1492">
        <f>IF('R1 FC'!AE9-'COMB A'!Z47&lt;0,'R1 FC'!AE9-'COMB A'!Z47,0)</f>
        <v>-16575</v>
      </c>
      <c r="AF50" s="1492">
        <f>IF('R1 FC'!AF9-'COMB A'!AA47&lt;0,'R1 FC'!AF9-'COMB A'!AA47,0)</f>
        <v>-16612.120000000003</v>
      </c>
      <c r="AG50" s="1516">
        <f t="shared" si="23"/>
        <v>-17316037.572468836</v>
      </c>
    </row>
    <row r="51" spans="2:34" s="206" customFormat="1" ht="12">
      <c r="B51" s="1518" t="s">
        <v>233</v>
      </c>
      <c r="C51" s="1491">
        <f>'R1 FC'!C10</f>
        <v>-116954.72850141811</v>
      </c>
      <c r="D51" s="1491">
        <f>'R1 FC'!D10</f>
        <v>-15284.203558129915</v>
      </c>
      <c r="E51" s="1491">
        <f>'R1 FC'!E10</f>
        <v>-66314.391440752952</v>
      </c>
      <c r="F51" s="1491">
        <f>'R1 FC'!F10</f>
        <v>-33061.865972076979</v>
      </c>
      <c r="G51" s="1492">
        <f>'R1 FC'!G10-'COMB A'!B51</f>
        <v>-14858.356511769754</v>
      </c>
      <c r="H51" s="1492">
        <f>'R1 FC'!H10-'COMB A'!C51</f>
        <v>-49265.463294919617</v>
      </c>
      <c r="I51" s="1492">
        <f>'R1 FC'!I10-'COMB A'!D51</f>
        <v>-20273.918446439355</v>
      </c>
      <c r="J51" s="1492">
        <f>'R1 FC'!J10-'COMB A'!E51</f>
        <v>-65421.986159305168</v>
      </c>
      <c r="K51" s="1492">
        <f>'R1 FC'!K10-'COMB A'!F51</f>
        <v>-33061.865972076979</v>
      </c>
      <c r="L51" s="1492">
        <f>'R1 FC'!L10-'COMB A'!G51</f>
        <v>-33061.865972076979</v>
      </c>
      <c r="M51" s="1492">
        <f>'R1 FC'!M10-'COMB A'!H51</f>
        <v>-33061.865972076979</v>
      </c>
      <c r="N51" s="1492">
        <f>'R1 FC'!N10-'COMB A'!I51</f>
        <v>-33061.865972076979</v>
      </c>
      <c r="O51" s="1492">
        <f>'R1 FC'!O10-'COMB A'!J51</f>
        <v>-33061.865972076979</v>
      </c>
      <c r="P51" s="1492">
        <f>'R1 FC'!P10-'COMB A'!K51</f>
        <v>-33061.865972076979</v>
      </c>
      <c r="Q51" s="1492">
        <f>'R1 FC'!Q10-'COMB A'!L51</f>
        <v>-33061.865972076979</v>
      </c>
      <c r="R51" s="1492">
        <f>'R1 FC'!R10-'COMB A'!M51</f>
        <v>-33061.865972076979</v>
      </c>
      <c r="S51" s="1492">
        <f>'R1 FC'!S10-'COMB A'!N51</f>
        <v>-33061.865972076979</v>
      </c>
      <c r="T51" s="1492">
        <f>'R1 FC'!T10-'COMB A'!O51</f>
        <v>-33061.865972076979</v>
      </c>
      <c r="U51" s="1492">
        <f>'R1 FC'!U10-'COMB A'!P51</f>
        <v>-33061.865972076979</v>
      </c>
      <c r="V51" s="1492">
        <f>'R1 FC'!V10-'COMB A'!Q51</f>
        <v>-33061.865972076979</v>
      </c>
      <c r="W51" s="1492">
        <f>'R1 FC'!W10-'COMB A'!R51</f>
        <v>-33061.865972076979</v>
      </c>
      <c r="X51" s="1492">
        <f>'R1 FC'!X10-'COMB A'!S51</f>
        <v>-33061.865972076979</v>
      </c>
      <c r="Y51" s="1492">
        <f>'R1 FC'!Y10-'COMB A'!T51</f>
        <v>-33061.865972076979</v>
      </c>
      <c r="Z51" s="1492">
        <f>'R1 FC'!Z10-'COMB A'!U51</f>
        <v>-33061.865972076979</v>
      </c>
      <c r="AA51" s="1492">
        <f>'R1 FC'!AA10-'COMB A'!V51</f>
        <v>-33061.865972076979</v>
      </c>
      <c r="AB51" s="1492">
        <f>'R1 FC'!AB10-'COMB A'!W51</f>
        <v>-33061.865972076979</v>
      </c>
      <c r="AC51" s="1492">
        <f>'R1 FC'!AC10-'COMB A'!X51</f>
        <v>-33061.865972076979</v>
      </c>
      <c r="AD51" s="1492">
        <f>'R1 FC'!AD10-'COMB A'!Y51</f>
        <v>-33061.865972076979</v>
      </c>
      <c r="AE51" s="1492">
        <f>'R1 FC'!AE10-'COMB A'!Z51</f>
        <v>-33061.865972076979</v>
      </c>
      <c r="AF51" s="1492">
        <f>'R1 FC'!AF10-'COMB A'!AA51</f>
        <v>-33061.865972076979</v>
      </c>
      <c r="AG51" s="1516">
        <f t="shared" si="23"/>
        <v>-1108795.965270506</v>
      </c>
    </row>
    <row r="52" spans="2:34" s="206" customFormat="1" ht="12">
      <c r="B52" s="1486" t="s">
        <v>234</v>
      </c>
      <c r="C52" s="1487">
        <f>C53+C54</f>
        <v>0</v>
      </c>
      <c r="D52" s="1487">
        <f t="shared" ref="D52:AF52" si="26">D53+D54</f>
        <v>-216017.56612724392</v>
      </c>
      <c r="E52" s="1487">
        <f t="shared" si="26"/>
        <v>-224220.92328385104</v>
      </c>
      <c r="F52" s="1487">
        <f t="shared" si="26"/>
        <v>-262594.52327203582</v>
      </c>
      <c r="G52" s="1487">
        <f t="shared" si="26"/>
        <v>-278162.11614224466</v>
      </c>
      <c r="H52" s="1487">
        <f t="shared" si="26"/>
        <v>-344778.14231692231</v>
      </c>
      <c r="I52" s="1487">
        <f t="shared" si="26"/>
        <v>-237410.71126438107</v>
      </c>
      <c r="J52" s="1487">
        <f t="shared" si="26"/>
        <v>-417270.18559336232</v>
      </c>
      <c r="K52" s="1487">
        <f t="shared" si="26"/>
        <v>-562661.75881169026</v>
      </c>
      <c r="L52" s="1487">
        <f t="shared" si="26"/>
        <v>-557471.42285340012</v>
      </c>
      <c r="M52" s="1487">
        <f t="shared" si="26"/>
        <v>-592925.22461605433</v>
      </c>
      <c r="N52" s="1487">
        <f t="shared" si="26"/>
        <v>-676491.45410954929</v>
      </c>
      <c r="O52" s="1487">
        <f t="shared" si="26"/>
        <v>-706544.96417662443</v>
      </c>
      <c r="P52" s="1487">
        <f t="shared" si="26"/>
        <v>-708217.64378575585</v>
      </c>
      <c r="Q52" s="1487">
        <f t="shared" si="26"/>
        <v>-729411.5327327858</v>
      </c>
      <c r="R52" s="1487">
        <f t="shared" si="26"/>
        <v>-676796.87959979568</v>
      </c>
      <c r="S52" s="1487">
        <f t="shared" si="26"/>
        <v>-596810.80732168653</v>
      </c>
      <c r="T52" s="1487">
        <f t="shared" si="26"/>
        <v>-564492.84992685181</v>
      </c>
      <c r="U52" s="1487">
        <f t="shared" si="26"/>
        <v>-564375.52203960461</v>
      </c>
      <c r="V52" s="1487">
        <f t="shared" si="26"/>
        <v>-563982.82637499762</v>
      </c>
      <c r="W52" s="1487">
        <f t="shared" si="26"/>
        <v>-563673.26211865433</v>
      </c>
      <c r="X52" s="1487">
        <f t="shared" si="26"/>
        <v>-563028.20391329273</v>
      </c>
      <c r="Y52" s="1487">
        <f t="shared" si="26"/>
        <v>-561880.94643549807</v>
      </c>
      <c r="Z52" s="1487">
        <f t="shared" si="26"/>
        <v>-560381.31787763117</v>
      </c>
      <c r="AA52" s="1487">
        <f t="shared" si="26"/>
        <v>-558362.84636346507</v>
      </c>
      <c r="AB52" s="1487">
        <f t="shared" si="26"/>
        <v>-555986.242841559</v>
      </c>
      <c r="AC52" s="1487">
        <f t="shared" si="26"/>
        <v>-551907.84581066365</v>
      </c>
      <c r="AD52" s="1487">
        <f t="shared" si="26"/>
        <v>-546655.62493853969</v>
      </c>
      <c r="AE52" s="1487">
        <f t="shared" si="26"/>
        <v>-537977.30515679147</v>
      </c>
      <c r="AF52" s="1517">
        <f t="shared" si="26"/>
        <v>-497871.55912274029</v>
      </c>
      <c r="AG52" s="1516">
        <f t="shared" si="23"/>
        <v>-14978362.208927672</v>
      </c>
    </row>
    <row r="53" spans="2:34" s="206" customFormat="1" ht="12">
      <c r="B53" s="1490" t="s">
        <v>235</v>
      </c>
      <c r="C53" s="1491">
        <f>C31</f>
        <v>0</v>
      </c>
      <c r="D53" s="1491">
        <f t="shared" ref="D53:AF54" si="27">D31</f>
        <v>-152483.50450532642</v>
      </c>
      <c r="E53" s="1491">
        <f t="shared" si="27"/>
        <v>-158515.38476753753</v>
      </c>
      <c r="F53" s="1491">
        <f t="shared" si="27"/>
        <v>-186731.26711179104</v>
      </c>
      <c r="G53" s="1491">
        <f t="shared" si="27"/>
        <v>-198178.02657517992</v>
      </c>
      <c r="H53" s="1491">
        <f t="shared" si="27"/>
        <v>-247160.39876244287</v>
      </c>
      <c r="I53" s="1491">
        <f t="shared" si="27"/>
        <v>-168213.75828263315</v>
      </c>
      <c r="J53" s="1491">
        <f t="shared" si="27"/>
        <v>-300463.37175982521</v>
      </c>
      <c r="K53" s="1491">
        <f t="shared" si="27"/>
        <v>-407368.94030271342</v>
      </c>
      <c r="L53" s="1491">
        <f t="shared" si="27"/>
        <v>-403552.51680397068</v>
      </c>
      <c r="M53" s="1491">
        <f t="shared" si="27"/>
        <v>-429621.48868827522</v>
      </c>
      <c r="N53" s="1491">
        <f t="shared" si="27"/>
        <v>-491067.24566878623</v>
      </c>
      <c r="O53" s="1491">
        <f t="shared" si="27"/>
        <v>-513165.41483575327</v>
      </c>
      <c r="P53" s="1491">
        <f t="shared" si="27"/>
        <v>-514395.32631305582</v>
      </c>
      <c r="Q53" s="1491">
        <f t="shared" si="27"/>
        <v>-529979.06818587193</v>
      </c>
      <c r="R53" s="1491">
        <f t="shared" si="27"/>
        <v>-491291.82323514391</v>
      </c>
      <c r="S53" s="1491">
        <f t="shared" si="27"/>
        <v>-432478.53479535779</v>
      </c>
      <c r="T53" s="1491">
        <f t="shared" si="27"/>
        <v>-408715.3308285675</v>
      </c>
      <c r="U53" s="1491">
        <f t="shared" si="27"/>
        <v>-408629.06032323866</v>
      </c>
      <c r="V53" s="1491">
        <f t="shared" si="27"/>
        <v>-408340.31351102766</v>
      </c>
      <c r="W53" s="1491">
        <f t="shared" si="27"/>
        <v>-408112.69273430464</v>
      </c>
      <c r="X53" s="1491">
        <f t="shared" si="27"/>
        <v>-407638.3852303623</v>
      </c>
      <c r="Y53" s="1491">
        <f t="shared" si="27"/>
        <v>-406794.81355551328</v>
      </c>
      <c r="Z53" s="1491">
        <f t="shared" si="27"/>
        <v>-405692.14549825824</v>
      </c>
      <c r="AA53" s="1491">
        <f t="shared" si="27"/>
        <v>-404207.9752672537</v>
      </c>
      <c r="AB53" s="1491">
        <f t="shared" si="27"/>
        <v>-402460.47267761693</v>
      </c>
      <c r="AC53" s="1491">
        <f t="shared" si="27"/>
        <v>-399461.65133137029</v>
      </c>
      <c r="AD53" s="1491">
        <f t="shared" si="27"/>
        <v>-395599.72421951446</v>
      </c>
      <c r="AE53" s="1491">
        <f t="shared" si="27"/>
        <v>-389218.60673293489</v>
      </c>
      <c r="AF53" s="1491">
        <f t="shared" si="27"/>
        <v>-359729.08759025019</v>
      </c>
      <c r="AG53" s="1516">
        <f t="shared" si="23"/>
        <v>-10829266.330093879</v>
      </c>
    </row>
    <row r="54" spans="2:34" s="206" customFormat="1" ht="12.75" thickBot="1">
      <c r="B54" s="1519" t="s">
        <v>236</v>
      </c>
      <c r="C54" s="1491">
        <f>C32</f>
        <v>0</v>
      </c>
      <c r="D54" s="1491">
        <f t="shared" si="27"/>
        <v>-63534.061621917506</v>
      </c>
      <c r="E54" s="1491">
        <f t="shared" si="27"/>
        <v>-65705.538516313507</v>
      </c>
      <c r="F54" s="1491">
        <f t="shared" si="27"/>
        <v>-75863.256160244768</v>
      </c>
      <c r="G54" s="1491">
        <f t="shared" si="27"/>
        <v>-79984.089567064773</v>
      </c>
      <c r="H54" s="1491">
        <f t="shared" si="27"/>
        <v>-97617.743554479428</v>
      </c>
      <c r="I54" s="1491">
        <f t="shared" si="27"/>
        <v>-69196.952981747934</v>
      </c>
      <c r="J54" s="1491">
        <f t="shared" si="27"/>
        <v>-116806.81383353707</v>
      </c>
      <c r="K54" s="1491">
        <f t="shared" si="27"/>
        <v>-155292.81850897684</v>
      </c>
      <c r="L54" s="1491">
        <f t="shared" si="27"/>
        <v>-153918.90604942947</v>
      </c>
      <c r="M54" s="1491">
        <f t="shared" si="27"/>
        <v>-163303.73592777908</v>
      </c>
      <c r="N54" s="1491">
        <f t="shared" si="27"/>
        <v>-185424.20844076303</v>
      </c>
      <c r="O54" s="1491">
        <f t="shared" si="27"/>
        <v>-193379.54934087116</v>
      </c>
      <c r="P54" s="1491">
        <f t="shared" si="27"/>
        <v>-193822.31747270009</v>
      </c>
      <c r="Q54" s="1491">
        <f t="shared" si="27"/>
        <v>-199432.46454691389</v>
      </c>
      <c r="R54" s="1491">
        <f t="shared" si="27"/>
        <v>-185505.05636465177</v>
      </c>
      <c r="S54" s="1491">
        <f t="shared" si="27"/>
        <v>-164332.2725263288</v>
      </c>
      <c r="T54" s="1491">
        <f t="shared" si="27"/>
        <v>-155777.51909828431</v>
      </c>
      <c r="U54" s="1491">
        <f t="shared" si="27"/>
        <v>-155746.46171636591</v>
      </c>
      <c r="V54" s="1491">
        <f t="shared" si="27"/>
        <v>-155642.51286396995</v>
      </c>
      <c r="W54" s="1491">
        <f t="shared" si="27"/>
        <v>-155560.56938434966</v>
      </c>
      <c r="X54" s="1491">
        <f t="shared" si="27"/>
        <v>-155389.81868293043</v>
      </c>
      <c r="Y54" s="1491">
        <f t="shared" si="27"/>
        <v>-155086.1328799848</v>
      </c>
      <c r="Z54" s="1491">
        <f t="shared" si="27"/>
        <v>-154689.17237937296</v>
      </c>
      <c r="AA54" s="1491">
        <f t="shared" si="27"/>
        <v>-154154.87109621134</v>
      </c>
      <c r="AB54" s="1491">
        <f t="shared" si="27"/>
        <v>-153525.7701639421</v>
      </c>
      <c r="AC54" s="1491">
        <f t="shared" si="27"/>
        <v>-152446.19447929331</v>
      </c>
      <c r="AD54" s="1491">
        <f t="shared" si="27"/>
        <v>-151055.9007190252</v>
      </c>
      <c r="AE54" s="1491">
        <f t="shared" si="27"/>
        <v>-148758.69842385655</v>
      </c>
      <c r="AF54" s="1491">
        <f t="shared" si="27"/>
        <v>-138142.47153249008</v>
      </c>
      <c r="AG54" s="1520">
        <f t="shared" si="23"/>
        <v>-4149095.8788337959</v>
      </c>
    </row>
    <row r="55" spans="2:34" s="206" customFormat="1" ht="12.75" thickBot="1">
      <c r="B55" s="1521" t="s">
        <v>237</v>
      </c>
      <c r="C55" s="1522">
        <f>C45+C47</f>
        <v>-218809.77007688157</v>
      </c>
      <c r="D55" s="1522">
        <f t="shared" ref="D55:AF55" si="28">D45+D47</f>
        <v>163700.12314337248</v>
      </c>
      <c r="E55" s="1522">
        <f t="shared" si="28"/>
        <v>235270.19609394518</v>
      </c>
      <c r="F55" s="1522">
        <f t="shared" si="28"/>
        <v>-770441.89174071245</v>
      </c>
      <c r="G55" s="1522">
        <f t="shared" si="28"/>
        <v>35225.26771889755</v>
      </c>
      <c r="H55" s="1522">
        <f t="shared" si="28"/>
        <v>-6646790.7927732971</v>
      </c>
      <c r="I55" s="1522">
        <f t="shared" si="28"/>
        <v>-174966.40389420348</v>
      </c>
      <c r="J55" s="1522">
        <f t="shared" si="28"/>
        <v>-1035087.0970688115</v>
      </c>
      <c r="K55" s="1522">
        <f t="shared" si="28"/>
        <v>-542614.61542961048</v>
      </c>
      <c r="L55" s="1522">
        <f t="shared" si="28"/>
        <v>774811.60571049713</v>
      </c>
      <c r="M55" s="1522">
        <f t="shared" si="28"/>
        <v>1271950.2408068217</v>
      </c>
      <c r="N55" s="1522">
        <f t="shared" si="28"/>
        <v>2132642.2828641795</v>
      </c>
      <c r="O55" s="1522">
        <f t="shared" si="28"/>
        <v>2193611.3246734245</v>
      </c>
      <c r="P55" s="1522">
        <f t="shared" si="28"/>
        <v>2178593.8647236293</v>
      </c>
      <c r="Q55" s="1522">
        <f t="shared" si="28"/>
        <v>-187315.45385390474</v>
      </c>
      <c r="R55" s="1522">
        <f t="shared" si="28"/>
        <v>-255337.39751124242</v>
      </c>
      <c r="S55" s="1522">
        <f t="shared" si="28"/>
        <v>1236232.4901304848</v>
      </c>
      <c r="T55" s="1522">
        <f t="shared" si="28"/>
        <v>2349474.0975081124</v>
      </c>
      <c r="U55" s="1522">
        <f t="shared" si="28"/>
        <v>2354504.5728533892</v>
      </c>
      <c r="V55" s="1522">
        <f t="shared" si="28"/>
        <v>2359478.5316102551</v>
      </c>
      <c r="W55" s="1522">
        <f t="shared" si="28"/>
        <v>2359492.4881349201</v>
      </c>
      <c r="X55" s="1522">
        <f t="shared" si="28"/>
        <v>2375239.0667414162</v>
      </c>
      <c r="Y55" s="1522">
        <f t="shared" si="28"/>
        <v>2380441.8817388322</v>
      </c>
      <c r="Z55" s="1522">
        <f t="shared" si="28"/>
        <v>2386022.0886036982</v>
      </c>
      <c r="AA55" s="1522">
        <f t="shared" si="28"/>
        <v>2392010.3381525353</v>
      </c>
      <c r="AB55" s="1522">
        <f t="shared" si="28"/>
        <v>2389929.6820663218</v>
      </c>
      <c r="AC55" s="1522">
        <f t="shared" si="28"/>
        <v>2407752.232150265</v>
      </c>
      <c r="AD55" s="1522">
        <f t="shared" si="28"/>
        <v>2416826.9958256776</v>
      </c>
      <c r="AE55" s="1522">
        <f t="shared" si="28"/>
        <v>2429296.2225371758</v>
      </c>
      <c r="AF55" s="1523">
        <f t="shared" si="28"/>
        <v>2476013.3995047612</v>
      </c>
      <c r="AG55" s="1524">
        <f t="shared" si="23"/>
        <v>31467155.570943948</v>
      </c>
      <c r="AH55" s="207"/>
    </row>
    <row r="56" spans="2:34" s="206" customFormat="1" ht="12.75" thickBot="1">
      <c r="B56" s="1521" t="s">
        <v>238</v>
      </c>
      <c r="C56" s="1525">
        <f>IRR(C55:AF55)</f>
        <v>0.12028007120405326</v>
      </c>
      <c r="D56" s="1526"/>
      <c r="E56" s="1526"/>
      <c r="F56" s="1526"/>
      <c r="G56" s="1526"/>
      <c r="H56" s="1526"/>
      <c r="I56" s="1526"/>
      <c r="J56" s="1526"/>
      <c r="K56" s="1526"/>
      <c r="L56" s="1526"/>
      <c r="M56" s="1526"/>
      <c r="N56" s="1526"/>
      <c r="O56" s="1526"/>
      <c r="P56" s="1526"/>
      <c r="Q56" s="1526"/>
      <c r="R56" s="1526"/>
      <c r="S56" s="1526"/>
      <c r="T56" s="1526"/>
      <c r="U56" s="1526"/>
      <c r="V56" s="1526"/>
      <c r="W56" s="1526"/>
      <c r="X56" s="1526"/>
      <c r="Y56" s="1526"/>
      <c r="Z56" s="1526"/>
      <c r="AA56" s="1526"/>
      <c r="AB56" s="1526"/>
      <c r="AC56" s="1526"/>
      <c r="AD56" s="1526"/>
      <c r="AE56" s="1526"/>
      <c r="AF56" s="1526"/>
      <c r="AG56" s="1493"/>
    </row>
    <row r="57" spans="2:34" s="1478" customFormat="1" ht="12.75" thickBot="1"/>
    <row r="58" spans="2:34" s="1478" customFormat="1" ht="12.75" thickBot="1">
      <c r="B58" s="1521" t="s">
        <v>714</v>
      </c>
      <c r="C58" s="1525">
        <v>0.1203</v>
      </c>
    </row>
    <row r="59" spans="2:34" s="1478" customFormat="1" ht="12.75" thickBot="1"/>
    <row r="60" spans="2:34" s="1478" customFormat="1" ht="12.75" thickBot="1">
      <c r="B60" s="1521" t="s">
        <v>659</v>
      </c>
      <c r="C60" s="1525">
        <f>C56-C58</f>
        <v>-1.9928795946741462E-5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6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3" tint="0.39997558519241921"/>
  </sheetPr>
  <dimension ref="A2:M39"/>
  <sheetViews>
    <sheetView zoomScale="90" zoomScaleNormal="90" workbookViewId="0">
      <selection activeCell="I36" sqref="I36:K39"/>
    </sheetView>
  </sheetViews>
  <sheetFormatPr defaultRowHeight="12.75"/>
  <cols>
    <col min="1" max="1" width="27.42578125" customWidth="1"/>
    <col min="2" max="2" width="15.7109375" customWidth="1"/>
    <col min="3" max="3" width="20.28515625" customWidth="1"/>
    <col min="4" max="4" width="22.42578125" customWidth="1"/>
    <col min="5" max="5" width="15.7109375" customWidth="1"/>
    <col min="6" max="6" width="5.7109375" customWidth="1"/>
    <col min="7" max="7" width="23.42578125" customWidth="1"/>
    <col min="8" max="8" width="10.140625" bestFit="1" customWidth="1"/>
    <col min="9" max="9" width="21.5703125" bestFit="1" customWidth="1"/>
    <col min="10" max="10" width="23.5703125" customWidth="1"/>
    <col min="11" max="11" width="19.28515625" customWidth="1"/>
    <col min="12" max="13" width="5.7109375" customWidth="1"/>
  </cols>
  <sheetData>
    <row r="2" spans="1:13">
      <c r="A2" s="1114" t="s">
        <v>949</v>
      </c>
      <c r="I2" s="1114" t="s">
        <v>950</v>
      </c>
      <c r="J2" s="1115" t="s">
        <v>565</v>
      </c>
      <c r="K2" s="1152">
        <f>'COMB A R2 reeq'!D3</f>
        <v>0.13369266773710084</v>
      </c>
      <c r="L2" s="1114"/>
      <c r="M2" s="1114"/>
    </row>
    <row r="3" spans="1:13">
      <c r="J3" s="1115"/>
      <c r="K3" s="1116"/>
    </row>
    <row r="4" spans="1:13" ht="13.5" thickBot="1">
      <c r="J4" s="1115"/>
      <c r="K4" s="1116"/>
    </row>
    <row r="5" spans="1:13" ht="15.75" thickBot="1">
      <c r="A5" s="1585" t="s">
        <v>566</v>
      </c>
      <c r="B5" s="1586"/>
      <c r="C5" s="1586"/>
      <c r="D5" s="1586"/>
      <c r="E5" s="1587"/>
      <c r="G5" s="1585" t="s">
        <v>566</v>
      </c>
      <c r="H5" s="1586"/>
      <c r="I5" s="1586"/>
      <c r="J5" s="1586"/>
      <c r="K5" s="1587"/>
    </row>
    <row r="6" spans="1:13" ht="15.75" thickBot="1">
      <c r="A6" s="1117" t="s">
        <v>567</v>
      </c>
      <c r="B6" s="1118" t="s">
        <v>568</v>
      </c>
      <c r="C6" s="1118" t="s">
        <v>569</v>
      </c>
      <c r="D6" s="1118" t="s">
        <v>570</v>
      </c>
      <c r="E6" s="1118" t="s">
        <v>571</v>
      </c>
      <c r="G6" s="1117" t="s">
        <v>567</v>
      </c>
      <c r="H6" s="1118" t="s">
        <v>568</v>
      </c>
      <c r="I6" s="1180" t="s">
        <v>569</v>
      </c>
      <c r="J6" s="1118" t="s">
        <v>570</v>
      </c>
      <c r="K6" s="1118" t="s">
        <v>571</v>
      </c>
    </row>
    <row r="7" spans="1:13" ht="15.75" thickBot="1">
      <c r="A7" s="1121" t="s">
        <v>572</v>
      </c>
      <c r="B7" s="1122" t="s">
        <v>516</v>
      </c>
      <c r="C7" s="1123">
        <v>12.49</v>
      </c>
      <c r="D7" s="1123">
        <v>12.49</v>
      </c>
      <c r="E7" s="1123">
        <f>C7+D7</f>
        <v>24.98</v>
      </c>
      <c r="G7" s="1121" t="s">
        <v>572</v>
      </c>
      <c r="H7" s="1122" t="s">
        <v>516</v>
      </c>
      <c r="I7" s="1124">
        <f>ROUND(C7*(1+$K$2),2)</f>
        <v>14.16</v>
      </c>
      <c r="J7" s="1124">
        <f>ROUND(D7*(1+$K$2),2)</f>
        <v>14.16</v>
      </c>
      <c r="K7" s="1123">
        <f>I7+J7</f>
        <v>28.32</v>
      </c>
    </row>
    <row r="8" spans="1:13" ht="15.75" thickBot="1">
      <c r="A8" s="1121" t="s">
        <v>573</v>
      </c>
      <c r="B8" s="1122" t="s">
        <v>574</v>
      </c>
      <c r="C8" s="1123">
        <v>1.94</v>
      </c>
      <c r="D8" s="1123">
        <v>1.94</v>
      </c>
      <c r="E8" s="1123">
        <f t="shared" ref="E8:E11" si="0">C8+D8</f>
        <v>3.88</v>
      </c>
      <c r="G8" s="1121" t="s">
        <v>573</v>
      </c>
      <c r="H8" s="1122" t="s">
        <v>574</v>
      </c>
      <c r="I8" s="1124">
        <f t="shared" ref="I8:I11" si="1">ROUND(C8*(1+$K$2),2)</f>
        <v>2.2000000000000002</v>
      </c>
      <c r="J8" s="1124">
        <f t="shared" ref="J8:J11" si="2">ROUND(D8*(1+$K$2),2)</f>
        <v>2.2000000000000002</v>
      </c>
      <c r="K8" s="1123">
        <f t="shared" ref="K8:K11" si="3">I8+J8</f>
        <v>4.4000000000000004</v>
      </c>
    </row>
    <row r="9" spans="1:13" ht="15.75" thickBot="1">
      <c r="A9" s="1121" t="s">
        <v>575</v>
      </c>
      <c r="B9" s="1122" t="s">
        <v>574</v>
      </c>
      <c r="C9" s="1123">
        <v>4.1900000000000004</v>
      </c>
      <c r="D9" s="1123">
        <v>4.1900000000000004</v>
      </c>
      <c r="E9" s="1123">
        <f t="shared" si="0"/>
        <v>8.3800000000000008</v>
      </c>
      <c r="G9" s="1121" t="s">
        <v>575</v>
      </c>
      <c r="H9" s="1122" t="s">
        <v>574</v>
      </c>
      <c r="I9" s="1124">
        <f t="shared" si="1"/>
        <v>4.75</v>
      </c>
      <c r="J9" s="1124">
        <f t="shared" si="2"/>
        <v>4.75</v>
      </c>
      <c r="K9" s="1123">
        <f t="shared" si="3"/>
        <v>9.5</v>
      </c>
    </row>
    <row r="10" spans="1:13" ht="15.75" thickBot="1">
      <c r="A10" s="1121" t="s">
        <v>576</v>
      </c>
      <c r="B10" s="1122" t="s">
        <v>574</v>
      </c>
      <c r="C10" s="1123">
        <v>6</v>
      </c>
      <c r="D10" s="1123">
        <v>6</v>
      </c>
      <c r="E10" s="1123">
        <f t="shared" si="0"/>
        <v>12</v>
      </c>
      <c r="G10" s="1121" t="s">
        <v>576</v>
      </c>
      <c r="H10" s="1122" t="s">
        <v>574</v>
      </c>
      <c r="I10" s="1124">
        <f t="shared" si="1"/>
        <v>6.8</v>
      </c>
      <c r="J10" s="1124">
        <f t="shared" si="2"/>
        <v>6.8</v>
      </c>
      <c r="K10" s="1123">
        <f t="shared" si="3"/>
        <v>13.6</v>
      </c>
    </row>
    <row r="11" spans="1:13" ht="15.75" thickBot="1">
      <c r="A11" s="1121" t="s">
        <v>577</v>
      </c>
      <c r="B11" s="1122" t="s">
        <v>574</v>
      </c>
      <c r="C11" s="1123">
        <v>7.14</v>
      </c>
      <c r="D11" s="1123">
        <v>7.14</v>
      </c>
      <c r="E11" s="1123">
        <f t="shared" si="0"/>
        <v>14.28</v>
      </c>
      <c r="G11" s="1121" t="s">
        <v>577</v>
      </c>
      <c r="H11" s="1122" t="s">
        <v>574</v>
      </c>
      <c r="I11" s="1124">
        <f t="shared" si="1"/>
        <v>8.09</v>
      </c>
      <c r="J11" s="1124">
        <f t="shared" si="2"/>
        <v>8.09</v>
      </c>
      <c r="K11" s="1123">
        <f t="shared" si="3"/>
        <v>16.18</v>
      </c>
    </row>
    <row r="12" spans="1:13" ht="13.5" thickBot="1"/>
    <row r="13" spans="1:13" ht="15.75" thickBot="1">
      <c r="A13" s="1585" t="s">
        <v>578</v>
      </c>
      <c r="B13" s="1586"/>
      <c r="C13" s="1586"/>
      <c r="D13" s="1586"/>
      <c r="E13" s="1587"/>
      <c r="G13" s="1585" t="s">
        <v>578</v>
      </c>
      <c r="H13" s="1586"/>
      <c r="I13" s="1586"/>
      <c r="J13" s="1586"/>
      <c r="K13" s="1587"/>
    </row>
    <row r="14" spans="1:13" ht="15.75" thickBot="1">
      <c r="A14" s="1117" t="s">
        <v>567</v>
      </c>
      <c r="B14" s="1118" t="s">
        <v>568</v>
      </c>
      <c r="C14" s="1118" t="s">
        <v>569</v>
      </c>
      <c r="D14" s="1118" t="s">
        <v>570</v>
      </c>
      <c r="E14" s="1118" t="s">
        <v>571</v>
      </c>
      <c r="G14" s="1117" t="s">
        <v>567</v>
      </c>
      <c r="H14" s="1118" t="s">
        <v>568</v>
      </c>
      <c r="I14" s="1119" t="s">
        <v>569</v>
      </c>
      <c r="J14" s="1120" t="s">
        <v>570</v>
      </c>
      <c r="K14" s="1120" t="s">
        <v>571</v>
      </c>
    </row>
    <row r="15" spans="1:13" ht="15.75" thickBot="1">
      <c r="A15" s="1121" t="s">
        <v>572</v>
      </c>
      <c r="B15" s="1122" t="s">
        <v>516</v>
      </c>
      <c r="C15" s="1123">
        <v>36.79</v>
      </c>
      <c r="D15" s="1123">
        <v>36.79</v>
      </c>
      <c r="E15" s="1123">
        <f>C15+D15</f>
        <v>73.58</v>
      </c>
      <c r="G15" s="1121" t="s">
        <v>572</v>
      </c>
      <c r="H15" s="1122" t="s">
        <v>516</v>
      </c>
      <c r="I15" s="1124">
        <f t="shared" ref="I15" si="4">ROUND(C15*(1+$K$2),2)</f>
        <v>41.71</v>
      </c>
      <c r="J15" s="1124">
        <f t="shared" ref="J15" si="5">ROUND(D15*(1+$K$2),2)</f>
        <v>41.71</v>
      </c>
      <c r="K15" s="1123">
        <f>I15+J15</f>
        <v>83.42</v>
      </c>
    </row>
    <row r="16" spans="1:13" ht="15.75" thickBot="1">
      <c r="A16" s="1121" t="s">
        <v>573</v>
      </c>
      <c r="B16" s="1122" t="s">
        <v>574</v>
      </c>
      <c r="C16" s="1123">
        <v>5.13</v>
      </c>
      <c r="D16" s="1123">
        <v>5.13</v>
      </c>
      <c r="E16" s="1123">
        <f t="shared" ref="E16:E18" si="6">C16+D16</f>
        <v>10.26</v>
      </c>
      <c r="G16" s="1121" t="s">
        <v>573</v>
      </c>
      <c r="H16" s="1122" t="s">
        <v>574</v>
      </c>
      <c r="I16" s="1124">
        <f t="shared" ref="I16:I18" si="7">ROUND(C16*(1+$K$2),2)</f>
        <v>5.82</v>
      </c>
      <c r="J16" s="1124">
        <f t="shared" ref="J16:J18" si="8">ROUND(D16*(1+$K$2),2)</f>
        <v>5.82</v>
      </c>
      <c r="K16" s="1123">
        <f t="shared" ref="K16:K18" si="9">I16+J16</f>
        <v>11.64</v>
      </c>
    </row>
    <row r="17" spans="1:11" ht="15.75" thickBot="1">
      <c r="A17" s="1121" t="s">
        <v>579</v>
      </c>
      <c r="B17" s="1122" t="s">
        <v>574</v>
      </c>
      <c r="C17" s="1123">
        <v>7.9</v>
      </c>
      <c r="D17" s="1123">
        <v>7.9</v>
      </c>
      <c r="E17" s="1123">
        <f t="shared" si="6"/>
        <v>15.8</v>
      </c>
      <c r="G17" s="1121" t="s">
        <v>579</v>
      </c>
      <c r="H17" s="1122" t="s">
        <v>574</v>
      </c>
      <c r="I17" s="1124">
        <f t="shared" si="7"/>
        <v>8.9600000000000009</v>
      </c>
      <c r="J17" s="1124">
        <f t="shared" si="8"/>
        <v>8.9600000000000009</v>
      </c>
      <c r="K17" s="1123">
        <f t="shared" si="9"/>
        <v>17.920000000000002</v>
      </c>
    </row>
    <row r="18" spans="1:11" ht="15.75" thickBot="1">
      <c r="A18" s="1121" t="s">
        <v>577</v>
      </c>
      <c r="B18" s="1122" t="s">
        <v>574</v>
      </c>
      <c r="C18" s="1123">
        <v>9.4499999999999993</v>
      </c>
      <c r="D18" s="1123">
        <v>9.4499999999999993</v>
      </c>
      <c r="E18" s="1123">
        <f t="shared" si="6"/>
        <v>18.899999999999999</v>
      </c>
      <c r="G18" s="1121" t="s">
        <v>577</v>
      </c>
      <c r="H18" s="1122" t="s">
        <v>574</v>
      </c>
      <c r="I18" s="1124">
        <f t="shared" si="7"/>
        <v>10.71</v>
      </c>
      <c r="J18" s="1124">
        <f t="shared" si="8"/>
        <v>10.71</v>
      </c>
      <c r="K18" s="1123">
        <f t="shared" si="9"/>
        <v>21.42</v>
      </c>
    </row>
    <row r="19" spans="1:11" ht="13.5" thickBot="1"/>
    <row r="20" spans="1:11" ht="15.75" thickBot="1">
      <c r="A20" s="1585" t="s">
        <v>580</v>
      </c>
      <c r="B20" s="1586"/>
      <c r="C20" s="1586"/>
      <c r="D20" s="1586"/>
      <c r="E20" s="1587"/>
      <c r="G20" s="1585" t="s">
        <v>647</v>
      </c>
      <c r="H20" s="1586"/>
      <c r="I20" s="1586"/>
      <c r="J20" s="1586"/>
      <c r="K20" s="1587"/>
    </row>
    <row r="21" spans="1:11" ht="15.75" thickBot="1">
      <c r="A21" s="1117" t="s">
        <v>567</v>
      </c>
      <c r="B21" s="1118" t="s">
        <v>568</v>
      </c>
      <c r="C21" s="1118" t="s">
        <v>569</v>
      </c>
      <c r="D21" s="1118" t="s">
        <v>570</v>
      </c>
      <c r="E21" s="1118" t="s">
        <v>571</v>
      </c>
      <c r="G21" s="1117" t="s">
        <v>567</v>
      </c>
      <c r="H21" s="1118" t="s">
        <v>568</v>
      </c>
      <c r="I21" s="1119" t="s">
        <v>569</v>
      </c>
      <c r="J21" s="1120" t="s">
        <v>570</v>
      </c>
      <c r="K21" s="1120" t="s">
        <v>571</v>
      </c>
    </row>
    <row r="22" spans="1:11" ht="15.75" thickBot="1">
      <c r="A22" s="1121" t="s">
        <v>572</v>
      </c>
      <c r="B22" s="1122" t="s">
        <v>516</v>
      </c>
      <c r="C22" s="1123">
        <v>73.89</v>
      </c>
      <c r="D22" s="1123">
        <v>73.89</v>
      </c>
      <c r="E22" s="1123">
        <f>C22+D22</f>
        <v>147.78</v>
      </c>
      <c r="G22" s="1121" t="s">
        <v>572</v>
      </c>
      <c r="H22" s="1122" t="s">
        <v>516</v>
      </c>
      <c r="I22" s="1124">
        <f t="shared" ref="I22:I25" si="10">ROUND(C22*(1+$K$2),2)</f>
        <v>83.77</v>
      </c>
      <c r="J22" s="1124">
        <f t="shared" ref="J22:J25" si="11">ROUND(D22*(1+$K$2),2)</f>
        <v>83.77</v>
      </c>
      <c r="K22" s="1123">
        <f>I22+J22</f>
        <v>167.54</v>
      </c>
    </row>
    <row r="23" spans="1:11" ht="15.75" thickBot="1">
      <c r="A23" s="1121" t="s">
        <v>573</v>
      </c>
      <c r="B23" s="1122" t="s">
        <v>574</v>
      </c>
      <c r="C23" s="1123">
        <v>8.73</v>
      </c>
      <c r="D23" s="1123">
        <v>8.73</v>
      </c>
      <c r="E23" s="1123">
        <f t="shared" ref="E23:E25" si="12">C23+D23</f>
        <v>17.46</v>
      </c>
      <c r="G23" s="1121" t="s">
        <v>573</v>
      </c>
      <c r="H23" s="1122" t="s">
        <v>574</v>
      </c>
      <c r="I23" s="1124">
        <f t="shared" si="10"/>
        <v>9.9</v>
      </c>
      <c r="J23" s="1124">
        <f t="shared" si="11"/>
        <v>9.9</v>
      </c>
      <c r="K23" s="1123">
        <f t="shared" ref="K23:K25" si="13">I23+J23</f>
        <v>19.8</v>
      </c>
    </row>
    <row r="24" spans="1:11" ht="15.75" thickBot="1">
      <c r="A24" s="1121" t="s">
        <v>579</v>
      </c>
      <c r="B24" s="1122" t="s">
        <v>574</v>
      </c>
      <c r="C24" s="1123">
        <v>14.58</v>
      </c>
      <c r="D24" s="1123">
        <v>14.58</v>
      </c>
      <c r="E24" s="1123">
        <f t="shared" si="12"/>
        <v>29.16</v>
      </c>
      <c r="G24" s="1121" t="s">
        <v>579</v>
      </c>
      <c r="H24" s="1122" t="s">
        <v>574</v>
      </c>
      <c r="I24" s="1124">
        <f t="shared" si="10"/>
        <v>16.53</v>
      </c>
      <c r="J24" s="1124">
        <f t="shared" si="11"/>
        <v>16.53</v>
      </c>
      <c r="K24" s="1123">
        <f t="shared" si="13"/>
        <v>33.06</v>
      </c>
    </row>
    <row r="25" spans="1:11" ht="15.75" thickBot="1">
      <c r="A25" s="1121" t="s">
        <v>577</v>
      </c>
      <c r="B25" s="1122" t="s">
        <v>574</v>
      </c>
      <c r="C25" s="1123">
        <v>18.46</v>
      </c>
      <c r="D25" s="1123">
        <v>18.46</v>
      </c>
      <c r="E25" s="1123">
        <f t="shared" si="12"/>
        <v>36.92</v>
      </c>
      <c r="G25" s="1121" t="s">
        <v>577</v>
      </c>
      <c r="H25" s="1122" t="s">
        <v>574</v>
      </c>
      <c r="I25" s="1124">
        <f t="shared" si="10"/>
        <v>20.93</v>
      </c>
      <c r="J25" s="1124">
        <f t="shared" si="11"/>
        <v>20.93</v>
      </c>
      <c r="K25" s="1123">
        <f t="shared" si="13"/>
        <v>41.86</v>
      </c>
    </row>
    <row r="26" spans="1:11" ht="13.5" thickBot="1"/>
    <row r="27" spans="1:11" ht="15.75" thickBot="1">
      <c r="A27" s="1585" t="s">
        <v>581</v>
      </c>
      <c r="B27" s="1586"/>
      <c r="C27" s="1586"/>
      <c r="D27" s="1586"/>
      <c r="E27" s="1587"/>
      <c r="G27" s="1585" t="s">
        <v>581</v>
      </c>
      <c r="H27" s="1586"/>
      <c r="I27" s="1586"/>
      <c r="J27" s="1586"/>
      <c r="K27" s="1587"/>
    </row>
    <row r="28" spans="1:11" ht="15.75" thickBot="1">
      <c r="A28" s="1117" t="s">
        <v>567</v>
      </c>
      <c r="B28" s="1118" t="s">
        <v>568</v>
      </c>
      <c r="C28" s="1118" t="s">
        <v>569</v>
      </c>
      <c r="D28" s="1118" t="s">
        <v>570</v>
      </c>
      <c r="E28" s="1118" t="s">
        <v>571</v>
      </c>
      <c r="G28" s="1117" t="s">
        <v>567</v>
      </c>
      <c r="H28" s="1118" t="s">
        <v>568</v>
      </c>
      <c r="I28" s="1119" t="s">
        <v>569</v>
      </c>
      <c r="J28" s="1120" t="s">
        <v>570</v>
      </c>
      <c r="K28" s="1120" t="s">
        <v>571</v>
      </c>
    </row>
    <row r="29" spans="1:11" ht="15.75" thickBot="1">
      <c r="A29" s="1121" t="s">
        <v>572</v>
      </c>
      <c r="B29" s="1122" t="s">
        <v>516</v>
      </c>
      <c r="C29" s="1123">
        <v>73.89</v>
      </c>
      <c r="D29" s="1123">
        <v>73.89</v>
      </c>
      <c r="E29" s="1123">
        <f>C29+D29</f>
        <v>147.78</v>
      </c>
      <c r="G29" s="1121" t="s">
        <v>572</v>
      </c>
      <c r="H29" s="1122" t="s">
        <v>516</v>
      </c>
      <c r="I29" s="1124">
        <f t="shared" ref="I29:I32" si="14">ROUND(C29*(1+$K$2),2)</f>
        <v>83.77</v>
      </c>
      <c r="J29" s="1124">
        <f t="shared" ref="J29:J32" si="15">ROUND(D29*(1+$K$2),2)</f>
        <v>83.77</v>
      </c>
      <c r="K29" s="1123">
        <f>I29+J29</f>
        <v>167.54</v>
      </c>
    </row>
    <row r="30" spans="1:11" ht="15.75" thickBot="1">
      <c r="A30" s="1121" t="s">
        <v>573</v>
      </c>
      <c r="B30" s="1122" t="s">
        <v>574</v>
      </c>
      <c r="C30" s="1123">
        <v>8.73</v>
      </c>
      <c r="D30" s="1123">
        <v>8.73</v>
      </c>
      <c r="E30" s="1123">
        <f t="shared" ref="E30:E32" si="16">C30+D30</f>
        <v>17.46</v>
      </c>
      <c r="G30" s="1121" t="s">
        <v>573</v>
      </c>
      <c r="H30" s="1122" t="s">
        <v>574</v>
      </c>
      <c r="I30" s="1124">
        <f t="shared" si="14"/>
        <v>9.9</v>
      </c>
      <c r="J30" s="1124">
        <f t="shared" si="15"/>
        <v>9.9</v>
      </c>
      <c r="K30" s="1123">
        <f t="shared" ref="K30:K32" si="17">I30+J30</f>
        <v>19.8</v>
      </c>
    </row>
    <row r="31" spans="1:11" ht="15.75" thickBot="1">
      <c r="A31" s="1121" t="s">
        <v>579</v>
      </c>
      <c r="B31" s="1122" t="s">
        <v>574</v>
      </c>
      <c r="C31" s="1123">
        <v>14.58</v>
      </c>
      <c r="D31" s="1123">
        <v>14.58</v>
      </c>
      <c r="E31" s="1123">
        <f t="shared" si="16"/>
        <v>29.16</v>
      </c>
      <c r="G31" s="1121" t="s">
        <v>579</v>
      </c>
      <c r="H31" s="1122" t="s">
        <v>574</v>
      </c>
      <c r="I31" s="1124">
        <f t="shared" si="14"/>
        <v>16.53</v>
      </c>
      <c r="J31" s="1124">
        <f t="shared" si="15"/>
        <v>16.53</v>
      </c>
      <c r="K31" s="1123">
        <f t="shared" si="17"/>
        <v>33.06</v>
      </c>
    </row>
    <row r="32" spans="1:11" ht="15.75" thickBot="1">
      <c r="A32" s="1121" t="s">
        <v>577</v>
      </c>
      <c r="B32" s="1122" t="s">
        <v>574</v>
      </c>
      <c r="C32" s="1123">
        <v>18.46</v>
      </c>
      <c r="D32" s="1123">
        <v>18.46</v>
      </c>
      <c r="E32" s="1123">
        <f t="shared" si="16"/>
        <v>36.92</v>
      </c>
      <c r="G32" s="1121" t="s">
        <v>577</v>
      </c>
      <c r="H32" s="1122" t="s">
        <v>574</v>
      </c>
      <c r="I32" s="1124">
        <f t="shared" si="14"/>
        <v>20.93</v>
      </c>
      <c r="J32" s="1124">
        <f t="shared" si="15"/>
        <v>20.93</v>
      </c>
      <c r="K32" s="1123">
        <f t="shared" si="17"/>
        <v>41.86</v>
      </c>
    </row>
    <row r="33" spans="1:11" ht="13.5" thickBot="1"/>
    <row r="34" spans="1:11" ht="15.75" thickBot="1">
      <c r="A34" s="1585" t="s">
        <v>582</v>
      </c>
      <c r="B34" s="1586"/>
      <c r="C34" s="1586"/>
      <c r="D34" s="1586"/>
      <c r="E34" s="1587"/>
      <c r="G34" s="1585" t="s">
        <v>582</v>
      </c>
      <c r="H34" s="1586"/>
      <c r="I34" s="1586"/>
      <c r="J34" s="1586"/>
      <c r="K34" s="1587"/>
    </row>
    <row r="35" spans="1:11" ht="15.75" thickBot="1">
      <c r="A35" s="1117" t="s">
        <v>567</v>
      </c>
      <c r="B35" s="1118" t="s">
        <v>568</v>
      </c>
      <c r="C35" s="1118" t="s">
        <v>569</v>
      </c>
      <c r="D35" s="1118" t="s">
        <v>570</v>
      </c>
      <c r="E35" s="1118" t="s">
        <v>571</v>
      </c>
      <c r="G35" s="1117" t="s">
        <v>567</v>
      </c>
      <c r="H35" s="1118" t="s">
        <v>568</v>
      </c>
      <c r="I35" s="1119" t="s">
        <v>569</v>
      </c>
      <c r="J35" s="1120" t="s">
        <v>570</v>
      </c>
      <c r="K35" s="1120" t="s">
        <v>571</v>
      </c>
    </row>
    <row r="36" spans="1:11" ht="15.75" thickBot="1">
      <c r="A36" s="1121" t="s">
        <v>572</v>
      </c>
      <c r="B36" s="1122" t="s">
        <v>516</v>
      </c>
      <c r="C36" s="1123">
        <v>73.89</v>
      </c>
      <c r="D36" s="1123">
        <v>73.89</v>
      </c>
      <c r="E36" s="1123">
        <f>C36+D36</f>
        <v>147.78</v>
      </c>
      <c r="G36" s="1121" t="s">
        <v>572</v>
      </c>
      <c r="H36" s="1122" t="s">
        <v>516</v>
      </c>
      <c r="I36" s="1124">
        <f t="shared" ref="I36:I39" si="18">ROUND(C36*(1+$K$2),2)</f>
        <v>83.77</v>
      </c>
      <c r="J36" s="1124">
        <f t="shared" ref="J36:J39" si="19">ROUND(D36*(1+$K$2),2)</f>
        <v>83.77</v>
      </c>
      <c r="K36" s="1123">
        <f>I36+J36</f>
        <v>167.54</v>
      </c>
    </row>
    <row r="37" spans="1:11" ht="15.75" thickBot="1">
      <c r="A37" s="1121" t="s">
        <v>573</v>
      </c>
      <c r="B37" s="1122" t="s">
        <v>574</v>
      </c>
      <c r="C37" s="1123">
        <v>8.73</v>
      </c>
      <c r="D37" s="1123">
        <v>8.73</v>
      </c>
      <c r="E37" s="1123">
        <f t="shared" ref="E37:E39" si="20">C37+D37</f>
        <v>17.46</v>
      </c>
      <c r="G37" s="1121" t="s">
        <v>573</v>
      </c>
      <c r="H37" s="1122" t="s">
        <v>574</v>
      </c>
      <c r="I37" s="1124">
        <f t="shared" si="18"/>
        <v>9.9</v>
      </c>
      <c r="J37" s="1124">
        <f t="shared" si="19"/>
        <v>9.9</v>
      </c>
      <c r="K37" s="1123">
        <f t="shared" ref="K37:K39" si="21">I37+J37</f>
        <v>19.8</v>
      </c>
    </row>
    <row r="38" spans="1:11" ht="15.75" thickBot="1">
      <c r="A38" s="1121" t="s">
        <v>579</v>
      </c>
      <c r="B38" s="1122" t="s">
        <v>574</v>
      </c>
      <c r="C38" s="1123">
        <v>14.58</v>
      </c>
      <c r="D38" s="1123">
        <v>14.58</v>
      </c>
      <c r="E38" s="1123">
        <f t="shared" si="20"/>
        <v>29.16</v>
      </c>
      <c r="G38" s="1121" t="s">
        <v>579</v>
      </c>
      <c r="H38" s="1122" t="s">
        <v>574</v>
      </c>
      <c r="I38" s="1124">
        <f t="shared" si="18"/>
        <v>16.53</v>
      </c>
      <c r="J38" s="1124">
        <f t="shared" si="19"/>
        <v>16.53</v>
      </c>
      <c r="K38" s="1123">
        <f t="shared" si="21"/>
        <v>33.06</v>
      </c>
    </row>
    <row r="39" spans="1:11" ht="15.75" thickBot="1">
      <c r="A39" s="1121" t="s">
        <v>577</v>
      </c>
      <c r="B39" s="1122" t="s">
        <v>574</v>
      </c>
      <c r="C39" s="1123">
        <v>18.46</v>
      </c>
      <c r="D39" s="1123">
        <v>18.46</v>
      </c>
      <c r="E39" s="1123">
        <f t="shared" si="20"/>
        <v>36.92</v>
      </c>
      <c r="G39" s="1121" t="s">
        <v>577</v>
      </c>
      <c r="H39" s="1122" t="s">
        <v>574</v>
      </c>
      <c r="I39" s="1124">
        <f t="shared" si="18"/>
        <v>20.93</v>
      </c>
      <c r="J39" s="1124">
        <f t="shared" si="19"/>
        <v>20.93</v>
      </c>
      <c r="K39" s="1123">
        <f t="shared" si="21"/>
        <v>41.86</v>
      </c>
    </row>
  </sheetData>
  <mergeCells count="10">
    <mergeCell ref="G5:K5"/>
    <mergeCell ref="G13:K13"/>
    <mergeCell ref="G20:K20"/>
    <mergeCell ref="G27:K27"/>
    <mergeCell ref="G34:K34"/>
    <mergeCell ref="A5:E5"/>
    <mergeCell ref="A13:E13"/>
    <mergeCell ref="A20:E20"/>
    <mergeCell ref="A27:E27"/>
    <mergeCell ref="A34:E34"/>
  </mergeCells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I102"/>
  <sheetViews>
    <sheetView zoomScaleNormal="100" workbookViewId="0">
      <selection activeCell="G91" sqref="G91:G98"/>
    </sheetView>
  </sheetViews>
  <sheetFormatPr defaultRowHeight="12.75"/>
  <cols>
    <col min="1" max="1" width="5.7109375" customWidth="1"/>
    <col min="2" max="2" width="79.85546875" customWidth="1"/>
    <col min="3" max="3" width="10.7109375" bestFit="1" customWidth="1"/>
    <col min="5" max="5" width="3" bestFit="1" customWidth="1"/>
    <col min="6" max="6" width="79.85546875" customWidth="1"/>
    <col min="7" max="7" width="10.7109375" bestFit="1" customWidth="1"/>
    <col min="9" max="9" width="12.28515625" customWidth="1"/>
  </cols>
  <sheetData>
    <row r="2" spans="1:9" ht="15.75">
      <c r="A2" s="1602" t="s">
        <v>948</v>
      </c>
      <c r="B2" s="1602"/>
      <c r="C2" s="1602"/>
      <c r="E2" s="1602" t="s">
        <v>646</v>
      </c>
      <c r="F2" s="1602"/>
      <c r="G2" s="1602"/>
    </row>
    <row r="3" spans="1:9" ht="15.75" thickBot="1">
      <c r="A3" s="1603"/>
      <c r="B3" s="1603"/>
      <c r="C3" s="1603"/>
      <c r="E3" s="1603"/>
      <c r="F3" s="1603"/>
      <c r="G3" s="1603"/>
    </row>
    <row r="4" spans="1:9" ht="15.75" thickBot="1">
      <c r="A4" s="1588" t="s">
        <v>271</v>
      </c>
      <c r="B4" s="1589"/>
      <c r="C4" s="1590"/>
      <c r="E4" s="1588" t="s">
        <v>271</v>
      </c>
      <c r="F4" s="1589"/>
      <c r="G4" s="1590"/>
    </row>
    <row r="5" spans="1:9" ht="15.75" thickBot="1">
      <c r="A5" s="1169">
        <v>1</v>
      </c>
      <c r="B5" s="1591" t="s">
        <v>591</v>
      </c>
      <c r="C5" s="1592"/>
      <c r="E5" s="1169">
        <v>1</v>
      </c>
      <c r="F5" s="1591" t="s">
        <v>591</v>
      </c>
      <c r="G5" s="1592"/>
    </row>
    <row r="6" spans="1:9" ht="15.75" thickBot="1">
      <c r="A6" s="1168"/>
      <c r="B6" s="1167" t="s">
        <v>592</v>
      </c>
      <c r="C6" s="1166">
        <v>130.54</v>
      </c>
      <c r="E6" s="1168"/>
      <c r="F6" s="1167" t="s">
        <v>592</v>
      </c>
      <c r="G6" s="1166">
        <f>ROUND(C6*(1+Tarifas!$K$2),2)</f>
        <v>147.99</v>
      </c>
      <c r="I6" s="1181"/>
    </row>
    <row r="7" spans="1:9" ht="15.75" thickBot="1">
      <c r="A7" s="1168"/>
      <c r="B7" s="1167" t="s">
        <v>593</v>
      </c>
      <c r="C7" s="1166">
        <v>132.28</v>
      </c>
      <c r="E7" s="1168"/>
      <c r="F7" s="1167" t="s">
        <v>593</v>
      </c>
      <c r="G7" s="1166">
        <f>ROUND(C7*(1+Tarifas!$K$2),2)</f>
        <v>149.96</v>
      </c>
      <c r="I7" s="1181"/>
    </row>
    <row r="8" spans="1:9" ht="15.75" thickBot="1">
      <c r="A8" s="1169">
        <v>2</v>
      </c>
      <c r="B8" s="1591" t="s">
        <v>594</v>
      </c>
      <c r="C8" s="1592"/>
      <c r="E8" s="1169">
        <v>2</v>
      </c>
      <c r="F8" s="1591" t="s">
        <v>594</v>
      </c>
      <c r="G8" s="1592"/>
      <c r="I8" s="1181"/>
    </row>
    <row r="9" spans="1:9" ht="15.75" thickBot="1">
      <c r="A9" s="1168"/>
      <c r="B9" s="1165" t="s">
        <v>595</v>
      </c>
      <c r="C9" s="1166">
        <v>139.25</v>
      </c>
      <c r="E9" s="1168"/>
      <c r="F9" s="1165" t="s">
        <v>595</v>
      </c>
      <c r="G9" s="1166">
        <f>ROUND(C9*(1+Tarifas!$K$2),2)</f>
        <v>157.87</v>
      </c>
      <c r="I9" s="1181"/>
    </row>
    <row r="10" spans="1:9" ht="15.75" thickBot="1">
      <c r="A10" s="1168"/>
      <c r="B10" s="1165" t="s">
        <v>596</v>
      </c>
      <c r="C10" s="1166">
        <v>142.71</v>
      </c>
      <c r="E10" s="1168"/>
      <c r="F10" s="1165" t="s">
        <v>596</v>
      </c>
      <c r="G10" s="1166">
        <f>ROUND(C10*(1+Tarifas!$K$2),2)</f>
        <v>161.79</v>
      </c>
      <c r="I10" s="1181"/>
    </row>
    <row r="11" spans="1:9" ht="30.75" thickBot="1">
      <c r="A11" s="1169">
        <v>3</v>
      </c>
      <c r="B11" s="1164" t="s">
        <v>597</v>
      </c>
      <c r="C11" s="1151" t="s">
        <v>598</v>
      </c>
      <c r="E11" s="1169">
        <v>3</v>
      </c>
      <c r="F11" s="1164" t="s">
        <v>597</v>
      </c>
      <c r="G11" s="1151" t="s">
        <v>598</v>
      </c>
      <c r="I11" s="1181"/>
    </row>
    <row r="12" spans="1:9" ht="15.75" thickBot="1">
      <c r="A12" s="1163">
        <v>4</v>
      </c>
      <c r="B12" s="1593" t="s">
        <v>599</v>
      </c>
      <c r="C12" s="1594"/>
      <c r="E12" s="1163">
        <v>4</v>
      </c>
      <c r="F12" s="1593" t="s">
        <v>599</v>
      </c>
      <c r="G12" s="1594"/>
      <c r="I12" s="1181"/>
    </row>
    <row r="13" spans="1:9" ht="15.75" thickBot="1">
      <c r="A13" s="1168"/>
      <c r="B13" s="1165" t="s">
        <v>600</v>
      </c>
      <c r="C13" s="1166">
        <v>13.93</v>
      </c>
      <c r="E13" s="1168"/>
      <c r="F13" s="1165" t="s">
        <v>600</v>
      </c>
      <c r="G13" s="1166">
        <f>ROUND(C13*(1+Tarifas!$K$2),2)</f>
        <v>15.79</v>
      </c>
      <c r="I13" s="1181"/>
    </row>
    <row r="14" spans="1:9" ht="15.75" thickBot="1">
      <c r="A14" s="1168"/>
      <c r="B14" s="1165" t="s">
        <v>601</v>
      </c>
      <c r="C14" s="1166">
        <v>12.17</v>
      </c>
      <c r="E14" s="1168"/>
      <c r="F14" s="1165" t="s">
        <v>601</v>
      </c>
      <c r="G14" s="1166">
        <f>ROUND(C14*(1+Tarifas!$K$2),2)</f>
        <v>13.8</v>
      </c>
      <c r="I14" s="1181"/>
    </row>
    <row r="15" spans="1:9" ht="15.75" thickBot="1">
      <c r="A15" s="1168"/>
      <c r="B15" s="1165" t="s">
        <v>602</v>
      </c>
      <c r="C15" s="1166">
        <v>22.64</v>
      </c>
      <c r="E15" s="1168"/>
      <c r="F15" s="1165" t="s">
        <v>602</v>
      </c>
      <c r="G15" s="1166">
        <f>ROUND(C15*(1+Tarifas!$K$2),2)</f>
        <v>25.67</v>
      </c>
      <c r="I15" s="1181"/>
    </row>
    <row r="16" spans="1:9" ht="15.75" thickBot="1">
      <c r="A16" s="1168"/>
      <c r="B16" s="1165" t="s">
        <v>603</v>
      </c>
      <c r="C16" s="1166">
        <v>26.1</v>
      </c>
      <c r="E16" s="1168"/>
      <c r="F16" s="1165" t="s">
        <v>603</v>
      </c>
      <c r="G16" s="1166">
        <f>ROUND(C16*(1+Tarifas!$K$2),2)</f>
        <v>29.59</v>
      </c>
      <c r="I16" s="1181"/>
    </row>
    <row r="17" spans="1:9" ht="15.75" thickBot="1">
      <c r="A17" s="1168"/>
      <c r="B17" s="1165" t="s">
        <v>604</v>
      </c>
      <c r="C17" s="1166">
        <v>15.65</v>
      </c>
      <c r="E17" s="1168"/>
      <c r="F17" s="1165" t="s">
        <v>604</v>
      </c>
      <c r="G17" s="1166">
        <f>ROUND(C17*(1+Tarifas!$K$2),2)</f>
        <v>17.739999999999998</v>
      </c>
      <c r="I17" s="1181"/>
    </row>
    <row r="18" spans="1:9" ht="15.75" thickBot="1">
      <c r="A18" s="1168"/>
      <c r="B18" s="1165" t="s">
        <v>605</v>
      </c>
      <c r="C18" s="1166">
        <v>19.149999999999999</v>
      </c>
      <c r="E18" s="1168"/>
      <c r="F18" s="1165" t="s">
        <v>605</v>
      </c>
      <c r="G18" s="1166">
        <f>ROUND(C18*(1+Tarifas!$K$2),2)</f>
        <v>21.71</v>
      </c>
      <c r="I18" s="1181"/>
    </row>
    <row r="19" spans="1:9" ht="15.75" thickBot="1">
      <c r="A19" s="1168"/>
      <c r="B19" s="1165" t="s">
        <v>606</v>
      </c>
      <c r="C19" s="1166">
        <v>69.62</v>
      </c>
      <c r="E19" s="1168"/>
      <c r="F19" s="1165" t="s">
        <v>606</v>
      </c>
      <c r="G19" s="1166">
        <f>ROUND(C19*(1+Tarifas!$K$2),2)</f>
        <v>78.930000000000007</v>
      </c>
      <c r="I19" s="1181"/>
    </row>
    <row r="20" spans="1:9" ht="15.75" thickBot="1">
      <c r="A20" s="1168"/>
      <c r="B20" s="1165" t="s">
        <v>607</v>
      </c>
      <c r="C20" s="1166">
        <v>80.069999999999993</v>
      </c>
      <c r="E20" s="1168"/>
      <c r="F20" s="1165" t="s">
        <v>607</v>
      </c>
      <c r="G20" s="1166">
        <f>ROUND(C20*(1+Tarifas!$K$2),2)</f>
        <v>90.77</v>
      </c>
      <c r="I20" s="1181"/>
    </row>
    <row r="21" spans="1:9" ht="15.75" thickBot="1">
      <c r="A21" s="1168"/>
      <c r="B21" s="1165" t="s">
        <v>608</v>
      </c>
      <c r="C21" s="1166">
        <v>259.32</v>
      </c>
      <c r="E21" s="1168"/>
      <c r="F21" s="1165" t="s">
        <v>608</v>
      </c>
      <c r="G21" s="1166">
        <f>ROUND(C21*(1+Tarifas!$K$2),2)</f>
        <v>293.99</v>
      </c>
      <c r="I21" s="1181"/>
    </row>
    <row r="22" spans="1:9" ht="15.75" thickBot="1">
      <c r="A22" s="1168"/>
      <c r="B22" s="1165" t="s">
        <v>609</v>
      </c>
      <c r="C22" s="1166">
        <v>187.98</v>
      </c>
      <c r="E22" s="1168"/>
      <c r="F22" s="1165" t="s">
        <v>609</v>
      </c>
      <c r="G22" s="1166">
        <f>ROUND(C22*(1+Tarifas!$K$2),2)</f>
        <v>213.11</v>
      </c>
      <c r="I22" s="1181"/>
    </row>
    <row r="23" spans="1:9" ht="15.75" thickBot="1">
      <c r="A23" s="1168"/>
      <c r="B23" s="1165" t="s">
        <v>610</v>
      </c>
      <c r="C23" s="1166">
        <v>234.96</v>
      </c>
      <c r="E23" s="1168"/>
      <c r="F23" s="1165" t="s">
        <v>610</v>
      </c>
      <c r="G23" s="1166">
        <f>ROUND(C23*(1+Tarifas!$K$2),2)</f>
        <v>266.37</v>
      </c>
      <c r="I23" s="1181"/>
    </row>
    <row r="24" spans="1:9" ht="15.75" thickBot="1">
      <c r="A24" s="1168"/>
      <c r="B24" s="1162" t="s">
        <v>611</v>
      </c>
      <c r="C24" s="1166">
        <v>181.02</v>
      </c>
      <c r="E24" s="1168"/>
      <c r="F24" s="1162" t="s">
        <v>611</v>
      </c>
      <c r="G24" s="1166">
        <f>ROUND(C24*(1+Tarifas!$K$2),2)</f>
        <v>205.22</v>
      </c>
      <c r="I24" s="1181"/>
    </row>
    <row r="25" spans="1:9" ht="15.75" thickBot="1">
      <c r="A25" s="1161">
        <v>5</v>
      </c>
      <c r="B25" s="1593" t="s">
        <v>612</v>
      </c>
      <c r="C25" s="1594"/>
      <c r="E25" s="1161">
        <v>5</v>
      </c>
      <c r="F25" s="1593" t="s">
        <v>612</v>
      </c>
      <c r="G25" s="1594"/>
      <c r="I25" s="1181"/>
    </row>
    <row r="26" spans="1:9" ht="15.75" thickBot="1">
      <c r="A26" s="1168"/>
      <c r="B26" s="1165" t="s">
        <v>600</v>
      </c>
      <c r="C26" s="1166">
        <v>74.86</v>
      </c>
      <c r="E26" s="1168"/>
      <c r="F26" s="1165" t="s">
        <v>600</v>
      </c>
      <c r="G26" s="1166">
        <f>ROUND(C26*(1+Tarifas!$K$2),2)</f>
        <v>84.87</v>
      </c>
      <c r="I26" s="1181"/>
    </row>
    <row r="27" spans="1:9" ht="15.75" thickBot="1">
      <c r="A27" s="1168"/>
      <c r="B27" s="1165" t="s">
        <v>601</v>
      </c>
      <c r="C27" s="1166">
        <v>76.569999999999993</v>
      </c>
      <c r="E27" s="1168"/>
      <c r="F27" s="1165" t="s">
        <v>601</v>
      </c>
      <c r="G27" s="1166">
        <f>ROUND(C27*(1+Tarifas!$K$2),2)</f>
        <v>86.81</v>
      </c>
      <c r="I27" s="1181"/>
    </row>
    <row r="28" spans="1:9" ht="15.75" thickBot="1">
      <c r="A28" s="1168"/>
      <c r="B28" s="1165" t="s">
        <v>602</v>
      </c>
      <c r="C28" s="1166">
        <v>81.819999999999993</v>
      </c>
      <c r="E28" s="1168"/>
      <c r="F28" s="1165" t="s">
        <v>602</v>
      </c>
      <c r="G28" s="1166">
        <f>ROUND(C28*(1+Tarifas!$K$2),2)</f>
        <v>92.76</v>
      </c>
      <c r="I28" s="1181"/>
    </row>
    <row r="29" spans="1:9" ht="15.75" thickBot="1">
      <c r="A29" s="1168"/>
      <c r="B29" s="1165" t="s">
        <v>603</v>
      </c>
      <c r="C29" s="1166">
        <v>280.23</v>
      </c>
      <c r="E29" s="1168"/>
      <c r="F29" s="1165" t="s">
        <v>603</v>
      </c>
      <c r="G29" s="1166">
        <f>ROUND(C29*(1+Tarifas!$K$2),2)</f>
        <v>317.69</v>
      </c>
      <c r="I29" s="1181"/>
    </row>
    <row r="30" spans="1:9" ht="15.75" thickBot="1">
      <c r="A30" s="1168"/>
      <c r="B30" s="1165" t="s">
        <v>604</v>
      </c>
      <c r="C30" s="1166">
        <v>292.41000000000003</v>
      </c>
      <c r="E30" s="1168"/>
      <c r="F30" s="1165" t="s">
        <v>604</v>
      </c>
      <c r="G30" s="1166">
        <f>ROUND(C30*(1+Tarifas!$K$2),2)</f>
        <v>331.5</v>
      </c>
      <c r="I30" s="1181"/>
    </row>
    <row r="31" spans="1:9" ht="15.75" thickBot="1">
      <c r="A31" s="1168"/>
      <c r="B31" s="1165" t="s">
        <v>605</v>
      </c>
      <c r="C31" s="1166">
        <v>551.74</v>
      </c>
      <c r="E31" s="1168"/>
      <c r="F31" s="1165" t="s">
        <v>605</v>
      </c>
      <c r="G31" s="1166">
        <f>ROUND(C31*(1+Tarifas!$K$2),2)</f>
        <v>625.5</v>
      </c>
      <c r="I31" s="1181"/>
    </row>
    <row r="32" spans="1:9" ht="15.75" thickBot="1">
      <c r="A32" s="1168"/>
      <c r="B32" s="1165" t="s">
        <v>606</v>
      </c>
      <c r="C32" s="1166">
        <v>577.86</v>
      </c>
      <c r="E32" s="1168"/>
      <c r="F32" s="1165" t="s">
        <v>606</v>
      </c>
      <c r="G32" s="1166">
        <f>ROUND(C32*(1+Tarifas!$K$2),2)</f>
        <v>655.12</v>
      </c>
      <c r="I32" s="1181"/>
    </row>
    <row r="33" spans="1:9" ht="15.75" thickBot="1">
      <c r="A33" s="1168"/>
      <c r="B33" s="1165" t="s">
        <v>607</v>
      </c>
      <c r="C33" s="1166">
        <v>2666.53</v>
      </c>
      <c r="E33" s="1168"/>
      <c r="F33" s="1165" t="s">
        <v>607</v>
      </c>
      <c r="G33" s="1166">
        <f>ROUND(C33*(1+Tarifas!$K$2),2)</f>
        <v>3023.03</v>
      </c>
      <c r="I33" s="1181"/>
    </row>
    <row r="34" spans="1:9" ht="15.75" thickBot="1">
      <c r="A34" s="1168"/>
      <c r="B34" s="1165" t="s">
        <v>608</v>
      </c>
      <c r="C34" s="1166">
        <v>2925.87</v>
      </c>
      <c r="E34" s="1168"/>
      <c r="F34" s="1165" t="s">
        <v>608</v>
      </c>
      <c r="G34" s="1166">
        <f>ROUND(C34*(1+Tarifas!$K$2),2)</f>
        <v>3317.04</v>
      </c>
      <c r="I34" s="1181"/>
    </row>
    <row r="35" spans="1:9" ht="15.75" thickBot="1">
      <c r="A35" s="1168"/>
      <c r="B35" s="1165" t="s">
        <v>609</v>
      </c>
      <c r="C35" s="1166">
        <v>2972.85</v>
      </c>
      <c r="E35" s="1168"/>
      <c r="F35" s="1165" t="s">
        <v>609</v>
      </c>
      <c r="G35" s="1166">
        <f>ROUND(C35*(1+Tarifas!$K$2),2)</f>
        <v>3370.3</v>
      </c>
      <c r="I35" s="1181"/>
    </row>
    <row r="36" spans="1:9" ht="15.75" thickBot="1">
      <c r="A36" s="1168"/>
      <c r="B36" s="1165" t="s">
        <v>610</v>
      </c>
      <c r="C36" s="1166">
        <v>5075.4399999999996</v>
      </c>
      <c r="E36" s="1168"/>
      <c r="F36" s="1165" t="s">
        <v>610</v>
      </c>
      <c r="G36" s="1166">
        <f>ROUND(C36*(1+Tarifas!$K$2),2)</f>
        <v>5753.99</v>
      </c>
      <c r="I36" s="1181"/>
    </row>
    <row r="37" spans="1:9" ht="15.75" thickBot="1">
      <c r="A37" s="1168"/>
      <c r="B37" s="1165" t="s">
        <v>611</v>
      </c>
      <c r="C37" s="1166">
        <v>8229.31</v>
      </c>
      <c r="E37" s="1168"/>
      <c r="F37" s="1165" t="s">
        <v>611</v>
      </c>
      <c r="G37" s="1166">
        <f>ROUND(C37*(1+Tarifas!$K$2),2)</f>
        <v>9329.51</v>
      </c>
      <c r="I37" s="1181"/>
    </row>
    <row r="38" spans="1:9" ht="15.75">
      <c r="A38" s="1601"/>
      <c r="B38" s="1601"/>
      <c r="C38" s="1601"/>
      <c r="E38" s="1601"/>
      <c r="F38" s="1601"/>
      <c r="G38" s="1601"/>
      <c r="I38" s="1181"/>
    </row>
    <row r="39" spans="1:9" ht="15.75">
      <c r="A39" s="1600"/>
      <c r="B39" s="1600"/>
      <c r="C39" s="1600"/>
      <c r="E39" s="1600"/>
      <c r="F39" s="1600"/>
      <c r="G39" s="1600"/>
      <c r="I39" s="1181"/>
    </row>
    <row r="40" spans="1:9" ht="15.75">
      <c r="A40" s="1600"/>
      <c r="B40" s="1600"/>
      <c r="C40" s="1600"/>
      <c r="E40" s="1600"/>
      <c r="F40" s="1600"/>
      <c r="G40" s="1600"/>
      <c r="I40" s="1181"/>
    </row>
    <row r="41" spans="1:9" ht="16.5" thickBot="1">
      <c r="A41" s="1599" t="s">
        <v>613</v>
      </c>
      <c r="B41" s="1599"/>
      <c r="C41" s="1599"/>
      <c r="E41" s="1599" t="s">
        <v>613</v>
      </c>
      <c r="F41" s="1599"/>
      <c r="G41" s="1599"/>
      <c r="I41" s="1181"/>
    </row>
    <row r="42" spans="1:9" ht="15.75" thickBot="1">
      <c r="A42" s="1588" t="s">
        <v>271</v>
      </c>
      <c r="B42" s="1589"/>
      <c r="C42" s="1590"/>
      <c r="E42" s="1588" t="s">
        <v>271</v>
      </c>
      <c r="F42" s="1589"/>
      <c r="G42" s="1590"/>
      <c r="I42" s="1181"/>
    </row>
    <row r="43" spans="1:9" ht="15.75" thickBot="1">
      <c r="A43" s="1169">
        <v>6</v>
      </c>
      <c r="B43" s="1160" t="s">
        <v>614</v>
      </c>
      <c r="C43" s="1151" t="s">
        <v>598</v>
      </c>
      <c r="E43" s="1169">
        <v>6</v>
      </c>
      <c r="F43" s="1160" t="s">
        <v>614</v>
      </c>
      <c r="G43" s="1151" t="s">
        <v>598</v>
      </c>
      <c r="I43" s="1181"/>
    </row>
    <row r="44" spans="1:9" ht="15.75" thickBot="1">
      <c r="A44" s="1169">
        <v>7</v>
      </c>
      <c r="B44" s="1595" t="s">
        <v>615</v>
      </c>
      <c r="C44" s="1596"/>
      <c r="E44" s="1169">
        <v>7</v>
      </c>
      <c r="F44" s="1595" t="s">
        <v>615</v>
      </c>
      <c r="G44" s="1596"/>
      <c r="I44" s="1181"/>
    </row>
    <row r="45" spans="1:9" ht="15.75" thickBot="1">
      <c r="A45" s="1169"/>
      <c r="B45" s="1165" t="s">
        <v>616</v>
      </c>
      <c r="C45" s="1166">
        <v>186.24</v>
      </c>
      <c r="E45" s="1169"/>
      <c r="F45" s="1165" t="s">
        <v>616</v>
      </c>
      <c r="G45" s="1166">
        <f>ROUND(C45*(1+Tarifas!$K$2),2)</f>
        <v>211.14</v>
      </c>
      <c r="I45" s="1181"/>
    </row>
    <row r="46" spans="1:9" ht="15.75" thickBot="1">
      <c r="A46" s="1169"/>
      <c r="B46" s="1165" t="s">
        <v>617</v>
      </c>
      <c r="C46" s="1166">
        <v>367.25</v>
      </c>
      <c r="E46" s="1169"/>
      <c r="F46" s="1165" t="s">
        <v>617</v>
      </c>
      <c r="G46" s="1166">
        <f>ROUND(C46*(1+Tarifas!$K$2),2)</f>
        <v>416.35</v>
      </c>
      <c r="I46" s="1181"/>
    </row>
    <row r="47" spans="1:9" ht="15.75" thickBot="1">
      <c r="A47" s="1169">
        <v>8</v>
      </c>
      <c r="B47" s="1595" t="s">
        <v>618</v>
      </c>
      <c r="C47" s="1596"/>
      <c r="E47" s="1169">
        <v>8</v>
      </c>
      <c r="F47" s="1595" t="s">
        <v>618</v>
      </c>
      <c r="G47" s="1596"/>
      <c r="I47" s="1181"/>
    </row>
    <row r="48" spans="1:9" ht="15.75" thickBot="1">
      <c r="A48" s="1169"/>
      <c r="B48" s="1165" t="s">
        <v>616</v>
      </c>
      <c r="C48" s="1166">
        <v>174.07</v>
      </c>
      <c r="E48" s="1169"/>
      <c r="F48" s="1165" t="s">
        <v>616</v>
      </c>
      <c r="G48" s="1166">
        <f>ROUND(C48*(1+Tarifas!$K$2),2)</f>
        <v>197.34</v>
      </c>
      <c r="I48" s="1181"/>
    </row>
    <row r="49" spans="1:9" ht="15.75" thickBot="1">
      <c r="A49" s="1169"/>
      <c r="B49" s="1165" t="s">
        <v>617</v>
      </c>
      <c r="C49" s="1166">
        <v>353.33</v>
      </c>
      <c r="E49" s="1169"/>
      <c r="F49" s="1165" t="s">
        <v>617</v>
      </c>
      <c r="G49" s="1166">
        <f>ROUND(C49*(1+Tarifas!$K$2),2)</f>
        <v>400.57</v>
      </c>
      <c r="I49" s="1181"/>
    </row>
    <row r="50" spans="1:9" ht="15.75" thickBot="1">
      <c r="A50" s="1169">
        <v>9</v>
      </c>
      <c r="B50" s="1159" t="s">
        <v>619</v>
      </c>
      <c r="C50" s="1166">
        <v>59.18</v>
      </c>
      <c r="E50" s="1169">
        <v>9</v>
      </c>
      <c r="F50" s="1159" t="s">
        <v>619</v>
      </c>
      <c r="G50" s="1166">
        <f>ROUND(C50*(1+Tarifas!$K$2),2)</f>
        <v>67.09</v>
      </c>
      <c r="I50" s="1181"/>
    </row>
    <row r="51" spans="1:9" ht="15.75" thickBot="1">
      <c r="A51" s="1169">
        <v>10</v>
      </c>
      <c r="B51" s="1164" t="s">
        <v>300</v>
      </c>
      <c r="C51" s="1151" t="s">
        <v>598</v>
      </c>
      <c r="E51" s="1169">
        <v>10</v>
      </c>
      <c r="F51" s="1164" t="s">
        <v>300</v>
      </c>
      <c r="G51" s="1151" t="s">
        <v>598</v>
      </c>
      <c r="I51" s="1181"/>
    </row>
    <row r="52" spans="1:9" ht="15.75" thickBot="1">
      <c r="A52" s="1169">
        <v>11</v>
      </c>
      <c r="B52" s="1591" t="s">
        <v>301</v>
      </c>
      <c r="C52" s="1592"/>
      <c r="E52" s="1169">
        <v>11</v>
      </c>
      <c r="F52" s="1591" t="s">
        <v>301</v>
      </c>
      <c r="G52" s="1592"/>
      <c r="I52" s="1181"/>
    </row>
    <row r="53" spans="1:9" ht="15.75" thickBot="1">
      <c r="A53" s="1169"/>
      <c r="B53" s="1165" t="s">
        <v>620</v>
      </c>
      <c r="C53" s="1151" t="s">
        <v>598</v>
      </c>
      <c r="E53" s="1169"/>
      <c r="F53" s="1165" t="s">
        <v>620</v>
      </c>
      <c r="G53" s="1151" t="s">
        <v>598</v>
      </c>
      <c r="I53" s="1181"/>
    </row>
    <row r="54" spans="1:9" ht="15.75" thickBot="1">
      <c r="A54" s="1169"/>
      <c r="B54" s="1165" t="s">
        <v>621</v>
      </c>
      <c r="C54" s="1166">
        <v>27.85</v>
      </c>
      <c r="E54" s="1169"/>
      <c r="F54" s="1165" t="s">
        <v>621</v>
      </c>
      <c r="G54" s="1166">
        <f>ROUND(C54*(1+Tarifas!$K$2),2)</f>
        <v>31.57</v>
      </c>
      <c r="I54" s="1181"/>
    </row>
    <row r="55" spans="1:9" ht="15.75" thickBot="1">
      <c r="A55" s="1169">
        <v>12</v>
      </c>
      <c r="B55" s="1591" t="s">
        <v>305</v>
      </c>
      <c r="C55" s="1592"/>
      <c r="E55" s="1169">
        <v>12</v>
      </c>
      <c r="F55" s="1591" t="s">
        <v>305</v>
      </c>
      <c r="G55" s="1592"/>
      <c r="I55" s="1181"/>
    </row>
    <row r="56" spans="1:9" ht="30.75" thickBot="1">
      <c r="A56" s="1169"/>
      <c r="B56" s="1167" t="s">
        <v>622</v>
      </c>
      <c r="C56" s="1151" t="s">
        <v>598</v>
      </c>
      <c r="E56" s="1169"/>
      <c r="F56" s="1167" t="s">
        <v>622</v>
      </c>
      <c r="G56" s="1151" t="s">
        <v>598</v>
      </c>
      <c r="I56" s="1181"/>
    </row>
    <row r="57" spans="1:9" ht="15.75" thickBot="1">
      <c r="A57" s="1169"/>
      <c r="B57" s="1158" t="s">
        <v>623</v>
      </c>
      <c r="C57" s="1166">
        <v>71.36</v>
      </c>
      <c r="E57" s="1169"/>
      <c r="F57" s="1158" t="s">
        <v>623</v>
      </c>
      <c r="G57" s="1166">
        <f>ROUND(C57*(1+Tarifas!$K$2),2)</f>
        <v>80.900000000000006</v>
      </c>
      <c r="I57" s="1181"/>
    </row>
    <row r="58" spans="1:9" ht="15.75" thickBot="1">
      <c r="A58" s="1169">
        <v>13</v>
      </c>
      <c r="B58" s="1595" t="s">
        <v>624</v>
      </c>
      <c r="C58" s="1596"/>
      <c r="E58" s="1169">
        <v>13</v>
      </c>
      <c r="F58" s="1595" t="s">
        <v>624</v>
      </c>
      <c r="G58" s="1596"/>
      <c r="I58" s="1181"/>
    </row>
    <row r="59" spans="1:9" ht="15.75" thickBot="1">
      <c r="A59" s="1169" t="s">
        <v>648</v>
      </c>
      <c r="B59" s="1597" t="s">
        <v>625</v>
      </c>
      <c r="C59" s="1598"/>
      <c r="E59" s="1169" t="s">
        <v>648</v>
      </c>
      <c r="F59" s="1597" t="s">
        <v>625</v>
      </c>
      <c r="G59" s="1598"/>
      <c r="I59" s="1181"/>
    </row>
    <row r="60" spans="1:9" ht="15.75" thickBot="1">
      <c r="A60" s="1169"/>
      <c r="B60" s="1165" t="s">
        <v>650</v>
      </c>
      <c r="C60" s="1166">
        <v>55.9</v>
      </c>
      <c r="E60" s="1169"/>
      <c r="F60" s="1165" t="s">
        <v>650</v>
      </c>
      <c r="G60" s="1166">
        <f>ROUND(C60*(1+Tarifas!$K$2),2)</f>
        <v>63.37</v>
      </c>
      <c r="I60" s="1181"/>
    </row>
    <row r="61" spans="1:9" ht="15.75" thickBot="1">
      <c r="A61" s="1169"/>
      <c r="B61" s="1165" t="s">
        <v>651</v>
      </c>
      <c r="C61" s="1166">
        <v>173.33</v>
      </c>
      <c r="E61" s="1169"/>
      <c r="F61" s="1165" t="s">
        <v>651</v>
      </c>
      <c r="G61" s="1166">
        <f>ROUND(C61*(1+Tarifas!$K$2),2)</f>
        <v>196.5</v>
      </c>
      <c r="I61" s="1181"/>
    </row>
    <row r="62" spans="1:9" ht="15.75" thickBot="1">
      <c r="A62" s="1169" t="s">
        <v>649</v>
      </c>
      <c r="B62" s="1597" t="s">
        <v>626</v>
      </c>
      <c r="C62" s="1598"/>
      <c r="E62" s="1169" t="s">
        <v>649</v>
      </c>
      <c r="F62" s="1597" t="s">
        <v>626</v>
      </c>
      <c r="G62" s="1598"/>
      <c r="I62" s="1181"/>
    </row>
    <row r="63" spans="1:9" ht="15.75" thickBot="1">
      <c r="A63" s="1169"/>
      <c r="B63" s="1165" t="s">
        <v>650</v>
      </c>
      <c r="C63" s="1166">
        <v>55.9</v>
      </c>
      <c r="E63" s="1169"/>
      <c r="F63" s="1165" t="s">
        <v>650</v>
      </c>
      <c r="G63" s="1166">
        <f>ROUND(C63*(1+Tarifas!$K$2),2)</f>
        <v>63.37</v>
      </c>
      <c r="I63" s="1181"/>
    </row>
    <row r="64" spans="1:9" ht="15.75" thickBot="1">
      <c r="A64" s="1169"/>
      <c r="B64" s="1165" t="s">
        <v>651</v>
      </c>
      <c r="C64" s="1166">
        <v>173.33</v>
      </c>
      <c r="E64" s="1169"/>
      <c r="F64" s="1165" t="s">
        <v>651</v>
      </c>
      <c r="G64" s="1166">
        <f>ROUND(C64*(1+Tarifas!$K$2),2)</f>
        <v>196.5</v>
      </c>
      <c r="I64" s="1181"/>
    </row>
    <row r="65" spans="1:9" ht="15.75" thickBot="1">
      <c r="A65" s="1157">
        <v>14</v>
      </c>
      <c r="B65" s="1156" t="s">
        <v>311</v>
      </c>
      <c r="C65" s="1155">
        <v>69.62</v>
      </c>
      <c r="E65" s="1157">
        <v>14</v>
      </c>
      <c r="F65" s="1156" t="s">
        <v>311</v>
      </c>
      <c r="G65" s="1166">
        <f>ROUND(C65*(1+Tarifas!$K$2),2)</f>
        <v>78.930000000000007</v>
      </c>
      <c r="I65" s="1181"/>
    </row>
    <row r="66" spans="1:9" ht="15.75" thickBot="1">
      <c r="A66" s="1588" t="s">
        <v>312</v>
      </c>
      <c r="B66" s="1589"/>
      <c r="C66" s="1590"/>
      <c r="E66" s="1588" t="s">
        <v>312</v>
      </c>
      <c r="F66" s="1589"/>
      <c r="G66" s="1590"/>
      <c r="I66" s="1181"/>
    </row>
    <row r="67" spans="1:9" ht="15.75" thickBot="1">
      <c r="A67" s="1169">
        <v>15</v>
      </c>
      <c r="B67" s="1164" t="s">
        <v>313</v>
      </c>
      <c r="C67" s="1166">
        <v>431.65</v>
      </c>
      <c r="E67" s="1169">
        <v>15</v>
      </c>
      <c r="F67" s="1164" t="s">
        <v>313</v>
      </c>
      <c r="G67" s="1166">
        <f>ROUND(C67*(1+Tarifas!$K$2),2)</f>
        <v>489.36</v>
      </c>
      <c r="I67" s="1181"/>
    </row>
    <row r="68" spans="1:9" ht="15.75" thickBot="1">
      <c r="A68" s="1169"/>
      <c r="B68" s="1167" t="s">
        <v>627</v>
      </c>
      <c r="C68" s="1166">
        <v>257.60000000000002</v>
      </c>
      <c r="E68" s="1169"/>
      <c r="F68" s="1167" t="s">
        <v>627</v>
      </c>
      <c r="G68" s="1166">
        <f>ROUND(C68*(1+Tarifas!$K$2),2)</f>
        <v>292.04000000000002</v>
      </c>
      <c r="I68" s="1181"/>
    </row>
    <row r="69" spans="1:9" ht="15.75" thickBot="1">
      <c r="A69" s="1169">
        <v>16</v>
      </c>
      <c r="B69" s="1160" t="s">
        <v>315</v>
      </c>
      <c r="C69" s="1166">
        <v>73.09</v>
      </c>
      <c r="E69" s="1169">
        <v>16</v>
      </c>
      <c r="F69" s="1160" t="s">
        <v>315</v>
      </c>
      <c r="G69" s="1166">
        <f>ROUND(C69*(1+Tarifas!$K$2),2)</f>
        <v>82.86</v>
      </c>
      <c r="I69" s="1181"/>
    </row>
    <row r="70" spans="1:9" ht="15.75" thickBot="1">
      <c r="A70" s="1169">
        <v>17</v>
      </c>
      <c r="B70" s="1591" t="s">
        <v>316</v>
      </c>
      <c r="C70" s="1592"/>
      <c r="E70" s="1169">
        <v>17</v>
      </c>
      <c r="F70" s="1591" t="s">
        <v>316</v>
      </c>
      <c r="G70" s="1592"/>
      <c r="I70" s="1181"/>
    </row>
    <row r="71" spans="1:9" ht="15.75" thickBot="1">
      <c r="A71" s="1169"/>
      <c r="B71" s="1165" t="s">
        <v>628</v>
      </c>
      <c r="C71" s="1166">
        <v>257.60000000000002</v>
      </c>
      <c r="E71" s="1169"/>
      <c r="F71" s="1165" t="s">
        <v>628</v>
      </c>
      <c r="G71" s="1166">
        <f>ROUND(C71*(1+Tarifas!$K$2),2)</f>
        <v>292.04000000000002</v>
      </c>
      <c r="I71" s="1181"/>
    </row>
    <row r="72" spans="1:9" ht="15.75" thickBot="1">
      <c r="A72" s="1169"/>
      <c r="B72" s="1165" t="s">
        <v>629</v>
      </c>
      <c r="C72" s="1166">
        <v>431.65</v>
      </c>
      <c r="E72" s="1169"/>
      <c r="F72" s="1165" t="s">
        <v>629</v>
      </c>
      <c r="G72" s="1166">
        <f>ROUND(C72*(1+Tarifas!$K$2),2)</f>
        <v>489.36</v>
      </c>
      <c r="I72" s="1181"/>
    </row>
    <row r="73" spans="1:9" ht="15">
      <c r="A73" s="1183"/>
      <c r="B73" s="1182"/>
      <c r="C73" s="1184"/>
      <c r="E73" s="1185"/>
      <c r="F73" s="1182"/>
      <c r="G73" s="1186"/>
      <c r="I73" s="1181"/>
    </row>
    <row r="74" spans="1:9" ht="16.5" thickBot="1">
      <c r="A74" s="1599" t="s">
        <v>613</v>
      </c>
      <c r="B74" s="1599"/>
      <c r="C74" s="1599"/>
      <c r="E74" s="1599" t="s">
        <v>613</v>
      </c>
      <c r="F74" s="1599"/>
      <c r="G74" s="1599"/>
      <c r="I74" s="1181"/>
    </row>
    <row r="75" spans="1:9" ht="15.75" thickBot="1">
      <c r="A75" s="1588" t="s">
        <v>319</v>
      </c>
      <c r="B75" s="1589"/>
      <c r="C75" s="1590"/>
      <c r="E75" s="1588" t="s">
        <v>319</v>
      </c>
      <c r="F75" s="1589"/>
      <c r="G75" s="1590"/>
      <c r="I75" s="1181"/>
    </row>
    <row r="76" spans="1:9" ht="15.75" thickBot="1">
      <c r="A76" s="1169">
        <v>18</v>
      </c>
      <c r="B76" s="1591" t="s">
        <v>320</v>
      </c>
      <c r="C76" s="1592"/>
      <c r="E76" s="1169">
        <v>18</v>
      </c>
      <c r="F76" s="1591" t="s">
        <v>320</v>
      </c>
      <c r="G76" s="1592"/>
      <c r="I76" s="1181"/>
    </row>
    <row r="77" spans="1:9" ht="15.75" thickBot="1">
      <c r="A77" s="1169"/>
      <c r="B77" s="1167" t="s">
        <v>630</v>
      </c>
      <c r="C77" s="1166">
        <v>60.92</v>
      </c>
      <c r="E77" s="1169"/>
      <c r="F77" s="1167" t="s">
        <v>630</v>
      </c>
      <c r="G77" s="1166">
        <f>ROUND(C77*(1+Tarifas!$K$2),2)</f>
        <v>69.06</v>
      </c>
      <c r="I77" s="1181"/>
    </row>
    <row r="78" spans="1:9" ht="15.75" thickBot="1">
      <c r="A78" s="1169"/>
      <c r="B78" s="1167" t="s">
        <v>631</v>
      </c>
      <c r="C78" s="1166">
        <v>60.92</v>
      </c>
      <c r="E78" s="1169"/>
      <c r="F78" s="1167" t="s">
        <v>631</v>
      </c>
      <c r="G78" s="1166">
        <f>ROUND(C78*(1+Tarifas!$K$2),2)</f>
        <v>69.06</v>
      </c>
      <c r="I78" s="1181"/>
    </row>
    <row r="79" spans="1:9" ht="15.75" thickBot="1">
      <c r="A79" s="1169"/>
      <c r="B79" s="1167" t="s">
        <v>632</v>
      </c>
      <c r="C79" s="1166">
        <v>52.22</v>
      </c>
      <c r="E79" s="1169"/>
      <c r="F79" s="1167" t="s">
        <v>632</v>
      </c>
      <c r="G79" s="1166">
        <f>ROUND(C79*(1+Tarifas!$K$2),2)</f>
        <v>59.2</v>
      </c>
      <c r="I79" s="1181"/>
    </row>
    <row r="80" spans="1:9" ht="15.75" thickBot="1">
      <c r="A80" s="1169">
        <v>19</v>
      </c>
      <c r="B80" s="1591" t="s">
        <v>324</v>
      </c>
      <c r="C80" s="1592"/>
      <c r="E80" s="1169">
        <v>19</v>
      </c>
      <c r="F80" s="1591" t="s">
        <v>324</v>
      </c>
      <c r="G80" s="1592"/>
      <c r="I80" s="1181"/>
    </row>
    <row r="81" spans="1:9" ht="15.75" thickBot="1">
      <c r="A81" s="1169"/>
      <c r="B81" s="1165" t="s">
        <v>633</v>
      </c>
      <c r="C81" s="1151" t="s">
        <v>598</v>
      </c>
      <c r="E81" s="1169"/>
      <c r="F81" s="1165" t="s">
        <v>633</v>
      </c>
      <c r="G81" s="1151" t="s">
        <v>598</v>
      </c>
      <c r="I81" s="1181"/>
    </row>
    <row r="82" spans="1:9" ht="15.75" thickBot="1">
      <c r="A82" s="1169"/>
      <c r="B82" s="1165" t="s">
        <v>634</v>
      </c>
      <c r="C82" s="1166">
        <v>13.93</v>
      </c>
      <c r="E82" s="1169"/>
      <c r="F82" s="1165" t="s">
        <v>634</v>
      </c>
      <c r="G82" s="1166">
        <f>ROUND(C82*(1+Tarifas!$K$2),2)</f>
        <v>15.79</v>
      </c>
      <c r="I82" s="1181"/>
    </row>
    <row r="83" spans="1:9" ht="30.75" thickBot="1">
      <c r="A83" s="1169">
        <v>20</v>
      </c>
      <c r="B83" s="1164" t="s">
        <v>328</v>
      </c>
      <c r="C83" s="1151" t="s">
        <v>598</v>
      </c>
      <c r="E83" s="1169">
        <v>20</v>
      </c>
      <c r="F83" s="1164" t="s">
        <v>328</v>
      </c>
      <c r="G83" s="1151" t="s">
        <v>598</v>
      </c>
      <c r="I83" s="1181"/>
    </row>
    <row r="84" spans="1:9" ht="30.75" thickBot="1">
      <c r="A84" s="1169">
        <v>21</v>
      </c>
      <c r="B84" s="1164" t="s">
        <v>635</v>
      </c>
      <c r="C84" s="1151" t="s">
        <v>598</v>
      </c>
      <c r="E84" s="1169">
        <v>21</v>
      </c>
      <c r="F84" s="1164" t="s">
        <v>635</v>
      </c>
      <c r="G84" s="1151" t="s">
        <v>598</v>
      </c>
      <c r="I84" s="1181"/>
    </row>
    <row r="85" spans="1:9" ht="15.75" thickBot="1">
      <c r="A85" s="1588" t="s">
        <v>330</v>
      </c>
      <c r="B85" s="1589"/>
      <c r="C85" s="1590"/>
      <c r="E85" s="1588" t="s">
        <v>330</v>
      </c>
      <c r="F85" s="1589"/>
      <c r="G85" s="1590"/>
      <c r="I85" s="1181"/>
    </row>
    <row r="86" spans="1:9" ht="15.75" thickBot="1">
      <c r="A86" s="1169">
        <v>22</v>
      </c>
      <c r="B86" s="1159" t="s">
        <v>636</v>
      </c>
      <c r="C86" s="1166">
        <v>114.4</v>
      </c>
      <c r="E86" s="1169">
        <v>22</v>
      </c>
      <c r="F86" s="1159" t="s">
        <v>636</v>
      </c>
      <c r="G86" s="1166">
        <f>ROUND(C86*(1+Tarifas!$K$2),2)</f>
        <v>129.69</v>
      </c>
      <c r="I86" s="1181"/>
    </row>
    <row r="87" spans="1:9" ht="15.75" thickBot="1">
      <c r="A87" s="1169">
        <v>23</v>
      </c>
      <c r="B87" s="1591" t="s">
        <v>331</v>
      </c>
      <c r="C87" s="1592"/>
      <c r="E87" s="1169">
        <v>23</v>
      </c>
      <c r="F87" s="1591" t="s">
        <v>331</v>
      </c>
      <c r="G87" s="1592"/>
      <c r="I87" s="1181"/>
    </row>
    <row r="88" spans="1:9" ht="15.75" thickBot="1">
      <c r="A88" s="1169"/>
      <c r="B88" s="1165" t="s">
        <v>637</v>
      </c>
      <c r="C88" s="1151" t="s">
        <v>598</v>
      </c>
      <c r="E88" s="1169"/>
      <c r="F88" s="1165" t="s">
        <v>637</v>
      </c>
      <c r="G88" s="1151" t="s">
        <v>598</v>
      </c>
      <c r="I88" s="1181"/>
    </row>
    <row r="89" spans="1:9" ht="15.75" thickBot="1">
      <c r="A89" s="1169"/>
      <c r="B89" s="1165" t="s">
        <v>638</v>
      </c>
      <c r="C89" s="1166">
        <v>2.48</v>
      </c>
      <c r="E89" s="1169"/>
      <c r="F89" s="1165" t="s">
        <v>638</v>
      </c>
      <c r="G89" s="1166">
        <f>ROUND(C89*(1+Tarifas!$K$2),2)</f>
        <v>2.81</v>
      </c>
      <c r="I89" s="1181"/>
    </row>
    <row r="90" spans="1:9" ht="15.75" thickBot="1">
      <c r="A90" s="1169">
        <v>24</v>
      </c>
      <c r="B90" s="1591" t="s">
        <v>639</v>
      </c>
      <c r="C90" s="1592"/>
      <c r="E90" s="1169">
        <v>24</v>
      </c>
      <c r="F90" s="1591" t="s">
        <v>639</v>
      </c>
      <c r="G90" s="1592"/>
      <c r="I90" s="1181"/>
    </row>
    <row r="91" spans="1:9" ht="30.75" thickBot="1">
      <c r="A91" s="1168"/>
      <c r="B91" s="1167" t="s">
        <v>640</v>
      </c>
      <c r="C91" s="1166">
        <v>13.93</v>
      </c>
      <c r="E91" s="1168"/>
      <c r="F91" s="1167" t="s">
        <v>640</v>
      </c>
      <c r="G91" s="1166">
        <f>ROUND(C91*(1+Tarifas!$K$2),2)</f>
        <v>15.79</v>
      </c>
      <c r="I91" s="1181"/>
    </row>
    <row r="92" spans="1:9" ht="30.75" thickBot="1">
      <c r="A92" s="1168"/>
      <c r="B92" s="1167" t="s">
        <v>641</v>
      </c>
      <c r="C92" s="1166">
        <v>33.08</v>
      </c>
      <c r="E92" s="1168"/>
      <c r="F92" s="1167" t="s">
        <v>641</v>
      </c>
      <c r="G92" s="1166">
        <f>ROUND(C92*(1+Tarifas!$K$2),2)</f>
        <v>37.5</v>
      </c>
      <c r="I92" s="1181"/>
    </row>
    <row r="93" spans="1:9" ht="30.75" thickBot="1">
      <c r="A93" s="1168"/>
      <c r="B93" s="1167" t="s">
        <v>642</v>
      </c>
      <c r="C93" s="1166">
        <v>5.21</v>
      </c>
      <c r="E93" s="1168"/>
      <c r="F93" s="1167" t="s">
        <v>642</v>
      </c>
      <c r="G93" s="1166">
        <f>ROUND(C93*(1+Tarifas!$K$2),2)</f>
        <v>5.91</v>
      </c>
      <c r="I93" s="1181"/>
    </row>
    <row r="94" spans="1:9" ht="15.75" thickBot="1">
      <c r="A94" s="1168"/>
      <c r="B94" s="1167" t="s">
        <v>652</v>
      </c>
      <c r="C94" s="1166">
        <v>4.1100000000000003</v>
      </c>
      <c r="E94" s="1168"/>
      <c r="F94" s="1167" t="s">
        <v>652</v>
      </c>
      <c r="G94" s="1166">
        <f>ROUND(C94*(1+Tarifas!$K$2),2)</f>
        <v>4.66</v>
      </c>
      <c r="I94" s="1181"/>
    </row>
    <row r="95" spans="1:9" ht="15.75" thickBot="1">
      <c r="A95" s="1168"/>
      <c r="B95" s="1167" t="s">
        <v>653</v>
      </c>
      <c r="C95" s="1166">
        <v>3.49</v>
      </c>
      <c r="E95" s="1168"/>
      <c r="F95" s="1167" t="s">
        <v>653</v>
      </c>
      <c r="G95" s="1166">
        <f>ROUND(C95*(1+Tarifas!$K$2),2)</f>
        <v>3.96</v>
      </c>
      <c r="I95" s="1181"/>
    </row>
    <row r="96" spans="1:9" ht="15.75" thickBot="1">
      <c r="A96" s="1168"/>
      <c r="B96" s="1167" t="s">
        <v>654</v>
      </c>
      <c r="C96" s="1166">
        <v>9.25</v>
      </c>
      <c r="E96" s="1168"/>
      <c r="F96" s="1167" t="s">
        <v>654</v>
      </c>
      <c r="G96" s="1166">
        <f>ROUND(C96*(1+Tarifas!$K$2),2)</f>
        <v>10.49</v>
      </c>
      <c r="I96" s="1181"/>
    </row>
    <row r="97" spans="1:9" ht="15.75" thickBot="1">
      <c r="A97" s="1168"/>
      <c r="B97" s="1167" t="s">
        <v>643</v>
      </c>
      <c r="C97" s="1166">
        <v>33.08</v>
      </c>
      <c r="E97" s="1168"/>
      <c r="F97" s="1167" t="s">
        <v>643</v>
      </c>
      <c r="G97" s="1166">
        <f>ROUND(C97*(1+Tarifas!$K$2),2)</f>
        <v>37.5</v>
      </c>
      <c r="I97" s="1181"/>
    </row>
    <row r="98" spans="1:9" ht="45.75" thickBot="1">
      <c r="A98" s="1168"/>
      <c r="B98" s="1167" t="s">
        <v>644</v>
      </c>
      <c r="C98" s="1166">
        <v>15.65</v>
      </c>
      <c r="E98" s="1168"/>
      <c r="F98" s="1167" t="s">
        <v>644</v>
      </c>
      <c r="G98" s="1166">
        <f>ROUND(C98*(1+Tarifas!$K$2),2)</f>
        <v>17.739999999999998</v>
      </c>
      <c r="I98" s="1181"/>
    </row>
    <row r="99" spans="1:9" ht="30.75" thickBot="1">
      <c r="A99" s="1168"/>
      <c r="B99" s="1167" t="s">
        <v>645</v>
      </c>
      <c r="C99" s="1151" t="s">
        <v>598</v>
      </c>
      <c r="E99" s="1168"/>
      <c r="F99" s="1167" t="s">
        <v>645</v>
      </c>
      <c r="G99" s="1151" t="s">
        <v>598</v>
      </c>
      <c r="I99" s="1181"/>
    </row>
    <row r="100" spans="1:9" ht="15.75">
      <c r="A100" s="1601"/>
      <c r="B100" s="1601"/>
      <c r="C100" s="1601"/>
      <c r="E100" s="1601"/>
      <c r="F100" s="1601"/>
      <c r="G100" s="1601"/>
    </row>
    <row r="101" spans="1:9" ht="15.75">
      <c r="A101" s="1154"/>
      <c r="E101" s="1154"/>
    </row>
    <row r="102" spans="1:9" ht="15.75">
      <c r="A102" s="1153"/>
      <c r="E102" s="1153"/>
    </row>
  </sheetData>
  <mergeCells count="58">
    <mergeCell ref="E100:G100"/>
    <mergeCell ref="F55:G55"/>
    <mergeCell ref="F58:G58"/>
    <mergeCell ref="E66:G66"/>
    <mergeCell ref="F70:G70"/>
    <mergeCell ref="E75:G75"/>
    <mergeCell ref="F76:G76"/>
    <mergeCell ref="F80:G80"/>
    <mergeCell ref="E85:G85"/>
    <mergeCell ref="F87:G87"/>
    <mergeCell ref="F90:G90"/>
    <mergeCell ref="F59:G59"/>
    <mergeCell ref="F62:G62"/>
    <mergeCell ref="E74:G74"/>
    <mergeCell ref="E40:G40"/>
    <mergeCell ref="E41:G41"/>
    <mergeCell ref="E42:G42"/>
    <mergeCell ref="F44:G44"/>
    <mergeCell ref="F47:G47"/>
    <mergeCell ref="F52:G52"/>
    <mergeCell ref="A100:C100"/>
    <mergeCell ref="E2:G2"/>
    <mergeCell ref="E3:G3"/>
    <mergeCell ref="E4:G4"/>
    <mergeCell ref="F5:G5"/>
    <mergeCell ref="F8:G8"/>
    <mergeCell ref="F12:G12"/>
    <mergeCell ref="F25:G25"/>
    <mergeCell ref="E38:G38"/>
    <mergeCell ref="E39:G39"/>
    <mergeCell ref="B90:C90"/>
    <mergeCell ref="A2:C2"/>
    <mergeCell ref="A3:C3"/>
    <mergeCell ref="A38:C38"/>
    <mergeCell ref="A39:C39"/>
    <mergeCell ref="A40:C40"/>
    <mergeCell ref="A41:C41"/>
    <mergeCell ref="B70:C70"/>
    <mergeCell ref="A75:C75"/>
    <mergeCell ref="B76:C76"/>
    <mergeCell ref="A42:C42"/>
    <mergeCell ref="A85:C85"/>
    <mergeCell ref="B87:C87"/>
    <mergeCell ref="B44:C44"/>
    <mergeCell ref="B47:C47"/>
    <mergeCell ref="B52:C52"/>
    <mergeCell ref="B55:C55"/>
    <mergeCell ref="B58:C58"/>
    <mergeCell ref="A66:C66"/>
    <mergeCell ref="B62:C62"/>
    <mergeCell ref="B59:C59"/>
    <mergeCell ref="A74:C74"/>
    <mergeCell ref="B80:C80"/>
    <mergeCell ref="A4:C4"/>
    <mergeCell ref="B5:C5"/>
    <mergeCell ref="B8:C8"/>
    <mergeCell ref="B12:C12"/>
    <mergeCell ref="B25:C25"/>
  </mergeCells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/>
    <pageSetUpPr fitToPage="1"/>
  </sheetPr>
  <dimension ref="A1:AL371"/>
  <sheetViews>
    <sheetView workbookViewId="0">
      <selection activeCell="D7" sqref="D7"/>
    </sheetView>
  </sheetViews>
  <sheetFormatPr defaultRowHeight="12.75"/>
  <cols>
    <col min="1" max="1" width="14" style="13" bestFit="1" customWidth="1"/>
    <col min="2" max="2" width="14.85546875" style="13" customWidth="1"/>
    <col min="3" max="3" width="9.140625" style="13"/>
    <col min="4" max="4" width="10.42578125" style="13" customWidth="1"/>
    <col min="5" max="5" width="9.140625" style="13" customWidth="1"/>
    <col min="6" max="33" width="9.140625" style="13"/>
    <col min="34" max="34" width="11" style="13" customWidth="1"/>
    <col min="35" max="256" width="9.140625" style="13"/>
    <col min="257" max="257" width="14" style="13" bestFit="1" customWidth="1"/>
    <col min="258" max="258" width="14.85546875" style="13" customWidth="1"/>
    <col min="259" max="260" width="9.140625" style="13"/>
    <col min="261" max="261" width="9.140625" style="13" customWidth="1"/>
    <col min="262" max="289" width="9.140625" style="13"/>
    <col min="290" max="290" width="11" style="13" customWidth="1"/>
    <col min="291" max="512" width="9.140625" style="13"/>
    <col min="513" max="513" width="14" style="13" bestFit="1" customWidth="1"/>
    <col min="514" max="514" width="14.85546875" style="13" customWidth="1"/>
    <col min="515" max="516" width="9.140625" style="13"/>
    <col min="517" max="517" width="9.140625" style="13" customWidth="1"/>
    <col min="518" max="545" width="9.140625" style="13"/>
    <col min="546" max="546" width="11" style="13" customWidth="1"/>
    <col min="547" max="768" width="9.140625" style="13"/>
    <col min="769" max="769" width="14" style="13" bestFit="1" customWidth="1"/>
    <col min="770" max="770" width="14.85546875" style="13" customWidth="1"/>
    <col min="771" max="772" width="9.140625" style="13"/>
    <col min="773" max="773" width="9.140625" style="13" customWidth="1"/>
    <col min="774" max="801" width="9.140625" style="13"/>
    <col min="802" max="802" width="11" style="13" customWidth="1"/>
    <col min="803" max="1024" width="9.140625" style="13"/>
    <col min="1025" max="1025" width="14" style="13" bestFit="1" customWidth="1"/>
    <col min="1026" max="1026" width="14.85546875" style="13" customWidth="1"/>
    <col min="1027" max="1028" width="9.140625" style="13"/>
    <col min="1029" max="1029" width="9.140625" style="13" customWidth="1"/>
    <col min="1030" max="1057" width="9.140625" style="13"/>
    <col min="1058" max="1058" width="11" style="13" customWidth="1"/>
    <col min="1059" max="1280" width="9.140625" style="13"/>
    <col min="1281" max="1281" width="14" style="13" bestFit="1" customWidth="1"/>
    <col min="1282" max="1282" width="14.85546875" style="13" customWidth="1"/>
    <col min="1283" max="1284" width="9.140625" style="13"/>
    <col min="1285" max="1285" width="9.140625" style="13" customWidth="1"/>
    <col min="1286" max="1313" width="9.140625" style="13"/>
    <col min="1314" max="1314" width="11" style="13" customWidth="1"/>
    <col min="1315" max="1536" width="9.140625" style="13"/>
    <col min="1537" max="1537" width="14" style="13" bestFit="1" customWidth="1"/>
    <col min="1538" max="1538" width="14.85546875" style="13" customWidth="1"/>
    <col min="1539" max="1540" width="9.140625" style="13"/>
    <col min="1541" max="1541" width="9.140625" style="13" customWidth="1"/>
    <col min="1542" max="1569" width="9.140625" style="13"/>
    <col min="1570" max="1570" width="11" style="13" customWidth="1"/>
    <col min="1571" max="1792" width="9.140625" style="13"/>
    <col min="1793" max="1793" width="14" style="13" bestFit="1" customWidth="1"/>
    <col min="1794" max="1794" width="14.85546875" style="13" customWidth="1"/>
    <col min="1795" max="1796" width="9.140625" style="13"/>
    <col min="1797" max="1797" width="9.140625" style="13" customWidth="1"/>
    <col min="1798" max="1825" width="9.140625" style="13"/>
    <col min="1826" max="1826" width="11" style="13" customWidth="1"/>
    <col min="1827" max="2048" width="9.140625" style="13"/>
    <col min="2049" max="2049" width="14" style="13" bestFit="1" customWidth="1"/>
    <col min="2050" max="2050" width="14.85546875" style="13" customWidth="1"/>
    <col min="2051" max="2052" width="9.140625" style="13"/>
    <col min="2053" max="2053" width="9.140625" style="13" customWidth="1"/>
    <col min="2054" max="2081" width="9.140625" style="13"/>
    <col min="2082" max="2082" width="11" style="13" customWidth="1"/>
    <col min="2083" max="2304" width="9.140625" style="13"/>
    <col min="2305" max="2305" width="14" style="13" bestFit="1" customWidth="1"/>
    <col min="2306" max="2306" width="14.85546875" style="13" customWidth="1"/>
    <col min="2307" max="2308" width="9.140625" style="13"/>
    <col min="2309" max="2309" width="9.140625" style="13" customWidth="1"/>
    <col min="2310" max="2337" width="9.140625" style="13"/>
    <col min="2338" max="2338" width="11" style="13" customWidth="1"/>
    <col min="2339" max="2560" width="9.140625" style="13"/>
    <col min="2561" max="2561" width="14" style="13" bestFit="1" customWidth="1"/>
    <col min="2562" max="2562" width="14.85546875" style="13" customWidth="1"/>
    <col min="2563" max="2564" width="9.140625" style="13"/>
    <col min="2565" max="2565" width="9.140625" style="13" customWidth="1"/>
    <col min="2566" max="2593" width="9.140625" style="13"/>
    <col min="2594" max="2594" width="11" style="13" customWidth="1"/>
    <col min="2595" max="2816" width="9.140625" style="13"/>
    <col min="2817" max="2817" width="14" style="13" bestFit="1" customWidth="1"/>
    <col min="2818" max="2818" width="14.85546875" style="13" customWidth="1"/>
    <col min="2819" max="2820" width="9.140625" style="13"/>
    <col min="2821" max="2821" width="9.140625" style="13" customWidth="1"/>
    <col min="2822" max="2849" width="9.140625" style="13"/>
    <col min="2850" max="2850" width="11" style="13" customWidth="1"/>
    <col min="2851" max="3072" width="9.140625" style="13"/>
    <col min="3073" max="3073" width="14" style="13" bestFit="1" customWidth="1"/>
    <col min="3074" max="3074" width="14.85546875" style="13" customWidth="1"/>
    <col min="3075" max="3076" width="9.140625" style="13"/>
    <col min="3077" max="3077" width="9.140625" style="13" customWidth="1"/>
    <col min="3078" max="3105" width="9.140625" style="13"/>
    <col min="3106" max="3106" width="11" style="13" customWidth="1"/>
    <col min="3107" max="3328" width="9.140625" style="13"/>
    <col min="3329" max="3329" width="14" style="13" bestFit="1" customWidth="1"/>
    <col min="3330" max="3330" width="14.85546875" style="13" customWidth="1"/>
    <col min="3331" max="3332" width="9.140625" style="13"/>
    <col min="3333" max="3333" width="9.140625" style="13" customWidth="1"/>
    <col min="3334" max="3361" width="9.140625" style="13"/>
    <col min="3362" max="3362" width="11" style="13" customWidth="1"/>
    <col min="3363" max="3584" width="9.140625" style="13"/>
    <col min="3585" max="3585" width="14" style="13" bestFit="1" customWidth="1"/>
    <col min="3586" max="3586" width="14.85546875" style="13" customWidth="1"/>
    <col min="3587" max="3588" width="9.140625" style="13"/>
    <col min="3589" max="3589" width="9.140625" style="13" customWidth="1"/>
    <col min="3590" max="3617" width="9.140625" style="13"/>
    <col min="3618" max="3618" width="11" style="13" customWidth="1"/>
    <col min="3619" max="3840" width="9.140625" style="13"/>
    <col min="3841" max="3841" width="14" style="13" bestFit="1" customWidth="1"/>
    <col min="3842" max="3842" width="14.85546875" style="13" customWidth="1"/>
    <col min="3843" max="3844" width="9.140625" style="13"/>
    <col min="3845" max="3845" width="9.140625" style="13" customWidth="1"/>
    <col min="3846" max="3873" width="9.140625" style="13"/>
    <col min="3874" max="3874" width="11" style="13" customWidth="1"/>
    <col min="3875" max="4096" width="9.140625" style="13"/>
    <col min="4097" max="4097" width="14" style="13" bestFit="1" customWidth="1"/>
    <col min="4098" max="4098" width="14.85546875" style="13" customWidth="1"/>
    <col min="4099" max="4100" width="9.140625" style="13"/>
    <col min="4101" max="4101" width="9.140625" style="13" customWidth="1"/>
    <col min="4102" max="4129" width="9.140625" style="13"/>
    <col min="4130" max="4130" width="11" style="13" customWidth="1"/>
    <col min="4131" max="4352" width="9.140625" style="13"/>
    <col min="4353" max="4353" width="14" style="13" bestFit="1" customWidth="1"/>
    <col min="4354" max="4354" width="14.85546875" style="13" customWidth="1"/>
    <col min="4355" max="4356" width="9.140625" style="13"/>
    <col min="4357" max="4357" width="9.140625" style="13" customWidth="1"/>
    <col min="4358" max="4385" width="9.140625" style="13"/>
    <col min="4386" max="4386" width="11" style="13" customWidth="1"/>
    <col min="4387" max="4608" width="9.140625" style="13"/>
    <col min="4609" max="4609" width="14" style="13" bestFit="1" customWidth="1"/>
    <col min="4610" max="4610" width="14.85546875" style="13" customWidth="1"/>
    <col min="4611" max="4612" width="9.140625" style="13"/>
    <col min="4613" max="4613" width="9.140625" style="13" customWidth="1"/>
    <col min="4614" max="4641" width="9.140625" style="13"/>
    <col min="4642" max="4642" width="11" style="13" customWidth="1"/>
    <col min="4643" max="4864" width="9.140625" style="13"/>
    <col min="4865" max="4865" width="14" style="13" bestFit="1" customWidth="1"/>
    <col min="4866" max="4866" width="14.85546875" style="13" customWidth="1"/>
    <col min="4867" max="4868" width="9.140625" style="13"/>
    <col min="4869" max="4869" width="9.140625" style="13" customWidth="1"/>
    <col min="4870" max="4897" width="9.140625" style="13"/>
    <col min="4898" max="4898" width="11" style="13" customWidth="1"/>
    <col min="4899" max="5120" width="9.140625" style="13"/>
    <col min="5121" max="5121" width="14" style="13" bestFit="1" customWidth="1"/>
    <col min="5122" max="5122" width="14.85546875" style="13" customWidth="1"/>
    <col min="5123" max="5124" width="9.140625" style="13"/>
    <col min="5125" max="5125" width="9.140625" style="13" customWidth="1"/>
    <col min="5126" max="5153" width="9.140625" style="13"/>
    <col min="5154" max="5154" width="11" style="13" customWidth="1"/>
    <col min="5155" max="5376" width="9.140625" style="13"/>
    <col min="5377" max="5377" width="14" style="13" bestFit="1" customWidth="1"/>
    <col min="5378" max="5378" width="14.85546875" style="13" customWidth="1"/>
    <col min="5379" max="5380" width="9.140625" style="13"/>
    <col min="5381" max="5381" width="9.140625" style="13" customWidth="1"/>
    <col min="5382" max="5409" width="9.140625" style="13"/>
    <col min="5410" max="5410" width="11" style="13" customWidth="1"/>
    <col min="5411" max="5632" width="9.140625" style="13"/>
    <col min="5633" max="5633" width="14" style="13" bestFit="1" customWidth="1"/>
    <col min="5634" max="5634" width="14.85546875" style="13" customWidth="1"/>
    <col min="5635" max="5636" width="9.140625" style="13"/>
    <col min="5637" max="5637" width="9.140625" style="13" customWidth="1"/>
    <col min="5638" max="5665" width="9.140625" style="13"/>
    <col min="5666" max="5666" width="11" style="13" customWidth="1"/>
    <col min="5667" max="5888" width="9.140625" style="13"/>
    <col min="5889" max="5889" width="14" style="13" bestFit="1" customWidth="1"/>
    <col min="5890" max="5890" width="14.85546875" style="13" customWidth="1"/>
    <col min="5891" max="5892" width="9.140625" style="13"/>
    <col min="5893" max="5893" width="9.140625" style="13" customWidth="1"/>
    <col min="5894" max="5921" width="9.140625" style="13"/>
    <col min="5922" max="5922" width="11" style="13" customWidth="1"/>
    <col min="5923" max="6144" width="9.140625" style="13"/>
    <col min="6145" max="6145" width="14" style="13" bestFit="1" customWidth="1"/>
    <col min="6146" max="6146" width="14.85546875" style="13" customWidth="1"/>
    <col min="6147" max="6148" width="9.140625" style="13"/>
    <col min="6149" max="6149" width="9.140625" style="13" customWidth="1"/>
    <col min="6150" max="6177" width="9.140625" style="13"/>
    <col min="6178" max="6178" width="11" style="13" customWidth="1"/>
    <col min="6179" max="6400" width="9.140625" style="13"/>
    <col min="6401" max="6401" width="14" style="13" bestFit="1" customWidth="1"/>
    <col min="6402" max="6402" width="14.85546875" style="13" customWidth="1"/>
    <col min="6403" max="6404" width="9.140625" style="13"/>
    <col min="6405" max="6405" width="9.140625" style="13" customWidth="1"/>
    <col min="6406" max="6433" width="9.140625" style="13"/>
    <col min="6434" max="6434" width="11" style="13" customWidth="1"/>
    <col min="6435" max="6656" width="9.140625" style="13"/>
    <col min="6657" max="6657" width="14" style="13" bestFit="1" customWidth="1"/>
    <col min="6658" max="6658" width="14.85546875" style="13" customWidth="1"/>
    <col min="6659" max="6660" width="9.140625" style="13"/>
    <col min="6661" max="6661" width="9.140625" style="13" customWidth="1"/>
    <col min="6662" max="6689" width="9.140625" style="13"/>
    <col min="6690" max="6690" width="11" style="13" customWidth="1"/>
    <col min="6691" max="6912" width="9.140625" style="13"/>
    <col min="6913" max="6913" width="14" style="13" bestFit="1" customWidth="1"/>
    <col min="6914" max="6914" width="14.85546875" style="13" customWidth="1"/>
    <col min="6915" max="6916" width="9.140625" style="13"/>
    <col min="6917" max="6917" width="9.140625" style="13" customWidth="1"/>
    <col min="6918" max="6945" width="9.140625" style="13"/>
    <col min="6946" max="6946" width="11" style="13" customWidth="1"/>
    <col min="6947" max="7168" width="9.140625" style="13"/>
    <col min="7169" max="7169" width="14" style="13" bestFit="1" customWidth="1"/>
    <col min="7170" max="7170" width="14.85546875" style="13" customWidth="1"/>
    <col min="7171" max="7172" width="9.140625" style="13"/>
    <col min="7173" max="7173" width="9.140625" style="13" customWidth="1"/>
    <col min="7174" max="7201" width="9.140625" style="13"/>
    <col min="7202" max="7202" width="11" style="13" customWidth="1"/>
    <col min="7203" max="7424" width="9.140625" style="13"/>
    <col min="7425" max="7425" width="14" style="13" bestFit="1" customWidth="1"/>
    <col min="7426" max="7426" width="14.85546875" style="13" customWidth="1"/>
    <col min="7427" max="7428" width="9.140625" style="13"/>
    <col min="7429" max="7429" width="9.140625" style="13" customWidth="1"/>
    <col min="7430" max="7457" width="9.140625" style="13"/>
    <col min="7458" max="7458" width="11" style="13" customWidth="1"/>
    <col min="7459" max="7680" width="9.140625" style="13"/>
    <col min="7681" max="7681" width="14" style="13" bestFit="1" customWidth="1"/>
    <col min="7682" max="7682" width="14.85546875" style="13" customWidth="1"/>
    <col min="7683" max="7684" width="9.140625" style="13"/>
    <col min="7685" max="7685" width="9.140625" style="13" customWidth="1"/>
    <col min="7686" max="7713" width="9.140625" style="13"/>
    <col min="7714" max="7714" width="11" style="13" customWidth="1"/>
    <col min="7715" max="7936" width="9.140625" style="13"/>
    <col min="7937" max="7937" width="14" style="13" bestFit="1" customWidth="1"/>
    <col min="7938" max="7938" width="14.85546875" style="13" customWidth="1"/>
    <col min="7939" max="7940" width="9.140625" style="13"/>
    <col min="7941" max="7941" width="9.140625" style="13" customWidth="1"/>
    <col min="7942" max="7969" width="9.140625" style="13"/>
    <col min="7970" max="7970" width="11" style="13" customWidth="1"/>
    <col min="7971" max="8192" width="9.140625" style="13"/>
    <col min="8193" max="8193" width="14" style="13" bestFit="1" customWidth="1"/>
    <col min="8194" max="8194" width="14.85546875" style="13" customWidth="1"/>
    <col min="8195" max="8196" width="9.140625" style="13"/>
    <col min="8197" max="8197" width="9.140625" style="13" customWidth="1"/>
    <col min="8198" max="8225" width="9.140625" style="13"/>
    <col min="8226" max="8226" width="11" style="13" customWidth="1"/>
    <col min="8227" max="8448" width="9.140625" style="13"/>
    <col min="8449" max="8449" width="14" style="13" bestFit="1" customWidth="1"/>
    <col min="8450" max="8450" width="14.85546875" style="13" customWidth="1"/>
    <col min="8451" max="8452" width="9.140625" style="13"/>
    <col min="8453" max="8453" width="9.140625" style="13" customWidth="1"/>
    <col min="8454" max="8481" width="9.140625" style="13"/>
    <col min="8482" max="8482" width="11" style="13" customWidth="1"/>
    <col min="8483" max="8704" width="9.140625" style="13"/>
    <col min="8705" max="8705" width="14" style="13" bestFit="1" customWidth="1"/>
    <col min="8706" max="8706" width="14.85546875" style="13" customWidth="1"/>
    <col min="8707" max="8708" width="9.140625" style="13"/>
    <col min="8709" max="8709" width="9.140625" style="13" customWidth="1"/>
    <col min="8710" max="8737" width="9.140625" style="13"/>
    <col min="8738" max="8738" width="11" style="13" customWidth="1"/>
    <col min="8739" max="8960" width="9.140625" style="13"/>
    <col min="8961" max="8961" width="14" style="13" bestFit="1" customWidth="1"/>
    <col min="8962" max="8962" width="14.85546875" style="13" customWidth="1"/>
    <col min="8963" max="8964" width="9.140625" style="13"/>
    <col min="8965" max="8965" width="9.140625" style="13" customWidth="1"/>
    <col min="8966" max="8993" width="9.140625" style="13"/>
    <col min="8994" max="8994" width="11" style="13" customWidth="1"/>
    <col min="8995" max="9216" width="9.140625" style="13"/>
    <col min="9217" max="9217" width="14" style="13" bestFit="1" customWidth="1"/>
    <col min="9218" max="9218" width="14.85546875" style="13" customWidth="1"/>
    <col min="9219" max="9220" width="9.140625" style="13"/>
    <col min="9221" max="9221" width="9.140625" style="13" customWidth="1"/>
    <col min="9222" max="9249" width="9.140625" style="13"/>
    <col min="9250" max="9250" width="11" style="13" customWidth="1"/>
    <col min="9251" max="9472" width="9.140625" style="13"/>
    <col min="9473" max="9473" width="14" style="13" bestFit="1" customWidth="1"/>
    <col min="9474" max="9474" width="14.85546875" style="13" customWidth="1"/>
    <col min="9475" max="9476" width="9.140625" style="13"/>
    <col min="9477" max="9477" width="9.140625" style="13" customWidth="1"/>
    <col min="9478" max="9505" width="9.140625" style="13"/>
    <col min="9506" max="9506" width="11" style="13" customWidth="1"/>
    <col min="9507" max="9728" width="9.140625" style="13"/>
    <col min="9729" max="9729" width="14" style="13" bestFit="1" customWidth="1"/>
    <col min="9730" max="9730" width="14.85546875" style="13" customWidth="1"/>
    <col min="9731" max="9732" width="9.140625" style="13"/>
    <col min="9733" max="9733" width="9.140625" style="13" customWidth="1"/>
    <col min="9734" max="9761" width="9.140625" style="13"/>
    <col min="9762" max="9762" width="11" style="13" customWidth="1"/>
    <col min="9763" max="9984" width="9.140625" style="13"/>
    <col min="9985" max="9985" width="14" style="13" bestFit="1" customWidth="1"/>
    <col min="9986" max="9986" width="14.85546875" style="13" customWidth="1"/>
    <col min="9987" max="9988" width="9.140625" style="13"/>
    <col min="9989" max="9989" width="9.140625" style="13" customWidth="1"/>
    <col min="9990" max="10017" width="9.140625" style="13"/>
    <col min="10018" max="10018" width="11" style="13" customWidth="1"/>
    <col min="10019" max="10240" width="9.140625" style="13"/>
    <col min="10241" max="10241" width="14" style="13" bestFit="1" customWidth="1"/>
    <col min="10242" max="10242" width="14.85546875" style="13" customWidth="1"/>
    <col min="10243" max="10244" width="9.140625" style="13"/>
    <col min="10245" max="10245" width="9.140625" style="13" customWidth="1"/>
    <col min="10246" max="10273" width="9.140625" style="13"/>
    <col min="10274" max="10274" width="11" style="13" customWidth="1"/>
    <col min="10275" max="10496" width="9.140625" style="13"/>
    <col min="10497" max="10497" width="14" style="13" bestFit="1" customWidth="1"/>
    <col min="10498" max="10498" width="14.85546875" style="13" customWidth="1"/>
    <col min="10499" max="10500" width="9.140625" style="13"/>
    <col min="10501" max="10501" width="9.140625" style="13" customWidth="1"/>
    <col min="10502" max="10529" width="9.140625" style="13"/>
    <col min="10530" max="10530" width="11" style="13" customWidth="1"/>
    <col min="10531" max="10752" width="9.140625" style="13"/>
    <col min="10753" max="10753" width="14" style="13" bestFit="1" customWidth="1"/>
    <col min="10754" max="10754" width="14.85546875" style="13" customWidth="1"/>
    <col min="10755" max="10756" width="9.140625" style="13"/>
    <col min="10757" max="10757" width="9.140625" style="13" customWidth="1"/>
    <col min="10758" max="10785" width="9.140625" style="13"/>
    <col min="10786" max="10786" width="11" style="13" customWidth="1"/>
    <col min="10787" max="11008" width="9.140625" style="13"/>
    <col min="11009" max="11009" width="14" style="13" bestFit="1" customWidth="1"/>
    <col min="11010" max="11010" width="14.85546875" style="13" customWidth="1"/>
    <col min="11011" max="11012" width="9.140625" style="13"/>
    <col min="11013" max="11013" width="9.140625" style="13" customWidth="1"/>
    <col min="11014" max="11041" width="9.140625" style="13"/>
    <col min="11042" max="11042" width="11" style="13" customWidth="1"/>
    <col min="11043" max="11264" width="9.140625" style="13"/>
    <col min="11265" max="11265" width="14" style="13" bestFit="1" customWidth="1"/>
    <col min="11266" max="11266" width="14.85546875" style="13" customWidth="1"/>
    <col min="11267" max="11268" width="9.140625" style="13"/>
    <col min="11269" max="11269" width="9.140625" style="13" customWidth="1"/>
    <col min="11270" max="11297" width="9.140625" style="13"/>
    <col min="11298" max="11298" width="11" style="13" customWidth="1"/>
    <col min="11299" max="11520" width="9.140625" style="13"/>
    <col min="11521" max="11521" width="14" style="13" bestFit="1" customWidth="1"/>
    <col min="11522" max="11522" width="14.85546875" style="13" customWidth="1"/>
    <col min="11523" max="11524" width="9.140625" style="13"/>
    <col min="11525" max="11525" width="9.140625" style="13" customWidth="1"/>
    <col min="11526" max="11553" width="9.140625" style="13"/>
    <col min="11554" max="11554" width="11" style="13" customWidth="1"/>
    <col min="11555" max="11776" width="9.140625" style="13"/>
    <col min="11777" max="11777" width="14" style="13" bestFit="1" customWidth="1"/>
    <col min="11778" max="11778" width="14.85546875" style="13" customWidth="1"/>
    <col min="11779" max="11780" width="9.140625" style="13"/>
    <col min="11781" max="11781" width="9.140625" style="13" customWidth="1"/>
    <col min="11782" max="11809" width="9.140625" style="13"/>
    <col min="11810" max="11810" width="11" style="13" customWidth="1"/>
    <col min="11811" max="12032" width="9.140625" style="13"/>
    <col min="12033" max="12033" width="14" style="13" bestFit="1" customWidth="1"/>
    <col min="12034" max="12034" width="14.85546875" style="13" customWidth="1"/>
    <col min="12035" max="12036" width="9.140625" style="13"/>
    <col min="12037" max="12037" width="9.140625" style="13" customWidth="1"/>
    <col min="12038" max="12065" width="9.140625" style="13"/>
    <col min="12066" max="12066" width="11" style="13" customWidth="1"/>
    <col min="12067" max="12288" width="9.140625" style="13"/>
    <col min="12289" max="12289" width="14" style="13" bestFit="1" customWidth="1"/>
    <col min="12290" max="12290" width="14.85546875" style="13" customWidth="1"/>
    <col min="12291" max="12292" width="9.140625" style="13"/>
    <col min="12293" max="12293" width="9.140625" style="13" customWidth="1"/>
    <col min="12294" max="12321" width="9.140625" style="13"/>
    <col min="12322" max="12322" width="11" style="13" customWidth="1"/>
    <col min="12323" max="12544" width="9.140625" style="13"/>
    <col min="12545" max="12545" width="14" style="13" bestFit="1" customWidth="1"/>
    <col min="12546" max="12546" width="14.85546875" style="13" customWidth="1"/>
    <col min="12547" max="12548" width="9.140625" style="13"/>
    <col min="12549" max="12549" width="9.140625" style="13" customWidth="1"/>
    <col min="12550" max="12577" width="9.140625" style="13"/>
    <col min="12578" max="12578" width="11" style="13" customWidth="1"/>
    <col min="12579" max="12800" width="9.140625" style="13"/>
    <col min="12801" max="12801" width="14" style="13" bestFit="1" customWidth="1"/>
    <col min="12802" max="12802" width="14.85546875" style="13" customWidth="1"/>
    <col min="12803" max="12804" width="9.140625" style="13"/>
    <col min="12805" max="12805" width="9.140625" style="13" customWidth="1"/>
    <col min="12806" max="12833" width="9.140625" style="13"/>
    <col min="12834" max="12834" width="11" style="13" customWidth="1"/>
    <col min="12835" max="13056" width="9.140625" style="13"/>
    <col min="13057" max="13057" width="14" style="13" bestFit="1" customWidth="1"/>
    <col min="13058" max="13058" width="14.85546875" style="13" customWidth="1"/>
    <col min="13059" max="13060" width="9.140625" style="13"/>
    <col min="13061" max="13061" width="9.140625" style="13" customWidth="1"/>
    <col min="13062" max="13089" width="9.140625" style="13"/>
    <col min="13090" max="13090" width="11" style="13" customWidth="1"/>
    <col min="13091" max="13312" width="9.140625" style="13"/>
    <col min="13313" max="13313" width="14" style="13" bestFit="1" customWidth="1"/>
    <col min="13314" max="13314" width="14.85546875" style="13" customWidth="1"/>
    <col min="13315" max="13316" width="9.140625" style="13"/>
    <col min="13317" max="13317" width="9.140625" style="13" customWidth="1"/>
    <col min="13318" max="13345" width="9.140625" style="13"/>
    <col min="13346" max="13346" width="11" style="13" customWidth="1"/>
    <col min="13347" max="13568" width="9.140625" style="13"/>
    <col min="13569" max="13569" width="14" style="13" bestFit="1" customWidth="1"/>
    <col min="13570" max="13570" width="14.85546875" style="13" customWidth="1"/>
    <col min="13571" max="13572" width="9.140625" style="13"/>
    <col min="13573" max="13573" width="9.140625" style="13" customWidth="1"/>
    <col min="13574" max="13601" width="9.140625" style="13"/>
    <col min="13602" max="13602" width="11" style="13" customWidth="1"/>
    <col min="13603" max="13824" width="9.140625" style="13"/>
    <col min="13825" max="13825" width="14" style="13" bestFit="1" customWidth="1"/>
    <col min="13826" max="13826" width="14.85546875" style="13" customWidth="1"/>
    <col min="13827" max="13828" width="9.140625" style="13"/>
    <col min="13829" max="13829" width="9.140625" style="13" customWidth="1"/>
    <col min="13830" max="13857" width="9.140625" style="13"/>
    <col min="13858" max="13858" width="11" style="13" customWidth="1"/>
    <col min="13859" max="14080" width="9.140625" style="13"/>
    <col min="14081" max="14081" width="14" style="13" bestFit="1" customWidth="1"/>
    <col min="14082" max="14082" width="14.85546875" style="13" customWidth="1"/>
    <col min="14083" max="14084" width="9.140625" style="13"/>
    <col min="14085" max="14085" width="9.140625" style="13" customWidth="1"/>
    <col min="14086" max="14113" width="9.140625" style="13"/>
    <col min="14114" max="14114" width="11" style="13" customWidth="1"/>
    <col min="14115" max="14336" width="9.140625" style="13"/>
    <col min="14337" max="14337" width="14" style="13" bestFit="1" customWidth="1"/>
    <col min="14338" max="14338" width="14.85546875" style="13" customWidth="1"/>
    <col min="14339" max="14340" width="9.140625" style="13"/>
    <col min="14341" max="14341" width="9.140625" style="13" customWidth="1"/>
    <col min="14342" max="14369" width="9.140625" style="13"/>
    <col min="14370" max="14370" width="11" style="13" customWidth="1"/>
    <col min="14371" max="14592" width="9.140625" style="13"/>
    <col min="14593" max="14593" width="14" style="13" bestFit="1" customWidth="1"/>
    <col min="14594" max="14594" width="14.85546875" style="13" customWidth="1"/>
    <col min="14595" max="14596" width="9.140625" style="13"/>
    <col min="14597" max="14597" width="9.140625" style="13" customWidth="1"/>
    <col min="14598" max="14625" width="9.140625" style="13"/>
    <col min="14626" max="14626" width="11" style="13" customWidth="1"/>
    <col min="14627" max="14848" width="9.140625" style="13"/>
    <col min="14849" max="14849" width="14" style="13" bestFit="1" customWidth="1"/>
    <col min="14850" max="14850" width="14.85546875" style="13" customWidth="1"/>
    <col min="14851" max="14852" width="9.140625" style="13"/>
    <col min="14853" max="14853" width="9.140625" style="13" customWidth="1"/>
    <col min="14854" max="14881" width="9.140625" style="13"/>
    <col min="14882" max="14882" width="11" style="13" customWidth="1"/>
    <col min="14883" max="15104" width="9.140625" style="13"/>
    <col min="15105" max="15105" width="14" style="13" bestFit="1" customWidth="1"/>
    <col min="15106" max="15106" width="14.85546875" style="13" customWidth="1"/>
    <col min="15107" max="15108" width="9.140625" style="13"/>
    <col min="15109" max="15109" width="9.140625" style="13" customWidth="1"/>
    <col min="15110" max="15137" width="9.140625" style="13"/>
    <col min="15138" max="15138" width="11" style="13" customWidth="1"/>
    <col min="15139" max="15360" width="9.140625" style="13"/>
    <col min="15361" max="15361" width="14" style="13" bestFit="1" customWidth="1"/>
    <col min="15362" max="15362" width="14.85546875" style="13" customWidth="1"/>
    <col min="15363" max="15364" width="9.140625" style="13"/>
    <col min="15365" max="15365" width="9.140625" style="13" customWidth="1"/>
    <col min="15366" max="15393" width="9.140625" style="13"/>
    <col min="15394" max="15394" width="11" style="13" customWidth="1"/>
    <col min="15395" max="15616" width="9.140625" style="13"/>
    <col min="15617" max="15617" width="14" style="13" bestFit="1" customWidth="1"/>
    <col min="15618" max="15618" width="14.85546875" style="13" customWidth="1"/>
    <col min="15619" max="15620" width="9.140625" style="13"/>
    <col min="15621" max="15621" width="9.140625" style="13" customWidth="1"/>
    <col min="15622" max="15649" width="9.140625" style="13"/>
    <col min="15650" max="15650" width="11" style="13" customWidth="1"/>
    <col min="15651" max="15872" width="9.140625" style="13"/>
    <col min="15873" max="15873" width="14" style="13" bestFit="1" customWidth="1"/>
    <col min="15874" max="15874" width="14.85546875" style="13" customWidth="1"/>
    <col min="15875" max="15876" width="9.140625" style="13"/>
    <col min="15877" max="15877" width="9.140625" style="13" customWidth="1"/>
    <col min="15878" max="15905" width="9.140625" style="13"/>
    <col min="15906" max="15906" width="11" style="13" customWidth="1"/>
    <col min="15907" max="16128" width="9.140625" style="13"/>
    <col min="16129" max="16129" width="14" style="13" bestFit="1" customWidth="1"/>
    <col min="16130" max="16130" width="14.85546875" style="13" customWidth="1"/>
    <col min="16131" max="16132" width="9.140625" style="13"/>
    <col min="16133" max="16133" width="9.140625" style="13" customWidth="1"/>
    <col min="16134" max="16161" width="9.140625" style="13"/>
    <col min="16162" max="16162" width="11" style="13" customWidth="1"/>
    <col min="16163" max="16384" width="9.14062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20517119.663628064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299">
        <f>'17 R1 INV'!M73</f>
        <v>5209890.1252055857</v>
      </c>
      <c r="I7" s="299">
        <f>'17 R1 INV'!N73</f>
        <v>727898.33131925284</v>
      </c>
      <c r="J7" s="299">
        <f>'17 R1 INV'!O73</f>
        <v>1713105.5265664214</v>
      </c>
      <c r="K7" s="299">
        <f>'17 R1 INV'!P73</f>
        <v>1191741.8254753242</v>
      </c>
      <c r="L7" s="299">
        <f>'17 R1 INV'!Q73</f>
        <v>1924165.9188391753</v>
      </c>
      <c r="M7" s="299">
        <f>'17 R1 INV'!R73</f>
        <v>999778.07055976056</v>
      </c>
      <c r="N7" s="299">
        <f>'17 R1 INV'!S73</f>
        <v>2653505.4796216656</v>
      </c>
      <c r="O7" s="299">
        <f>'17 R1 INV'!T73</f>
        <v>2353010.2054911945</v>
      </c>
      <c r="P7" s="299">
        <f>'17 R1 INV'!U73</f>
        <v>68386.753752136574</v>
      </c>
      <c r="Q7" s="299">
        <f>'17 R1 INV'!V73</f>
        <v>68386.753752136574</v>
      </c>
      <c r="R7" s="299">
        <f>'17 R1 INV'!W73</f>
        <v>68386.753752136574</v>
      </c>
      <c r="S7" s="299">
        <f>'17 R1 INV'!X73</f>
        <v>63098.753752136574</v>
      </c>
      <c r="T7" s="299">
        <f>'17 R1 INV'!Y73</f>
        <v>63098.753752136574</v>
      </c>
      <c r="U7" s="299">
        <f>'17 R1 INV'!Z73</f>
        <v>63098.753752136574</v>
      </c>
      <c r="V7" s="299">
        <f>'17 R1 INV'!AA73</f>
        <v>63098.753752136574</v>
      </c>
      <c r="W7" s="299">
        <f>'17 R1 INV'!AB73</f>
        <v>63098.753752136574</v>
      </c>
      <c r="X7" s="299">
        <f>'17 R1 INV'!AC73</f>
        <v>68793.753752136574</v>
      </c>
      <c r="Y7" s="299">
        <f>'17 R1 INV'!AD73</f>
        <v>59438.753752136574</v>
      </c>
      <c r="Z7" s="299">
        <f>'17 R1 INV'!AE73</f>
        <v>59438.753752136574</v>
      </c>
      <c r="AA7" s="299">
        <f>'17 R1 INV'!AF73</f>
        <v>59438.753752136574</v>
      </c>
      <c r="AB7" s="299">
        <f>'17 R1 INV'!AG73</f>
        <v>59438.753752136574</v>
      </c>
      <c r="AC7" s="299">
        <f>'17 R1 INV'!AH73</f>
        <v>68793.753752136574</v>
      </c>
      <c r="AD7" s="299">
        <f>'17 R1 INV'!AI73</f>
        <v>60252.753752136574</v>
      </c>
      <c r="AE7" s="299">
        <f>'17 R1 INV'!AJ73</f>
        <v>61066.753752136574</v>
      </c>
      <c r="AF7" s="299">
        <f>'17 R1 INV'!AK73</f>
        <v>62284.753752136574</v>
      </c>
      <c r="AG7" s="299">
        <f>'17 R1 INV'!AL73</f>
        <v>59447.247996732927</v>
      </c>
      <c r="AH7" s="300">
        <f>SUM(D7:AG7)</f>
        <v>20517119.663628064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208395.60500822344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304965.65942868049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208395.60500822344</v>
      </c>
      <c r="I16" s="308">
        <f>I7/24</f>
        <v>30329.097138302201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335294.75656698272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208395.60500822344</v>
      </c>
      <c r="I17" s="305">
        <f>I16</f>
        <v>30329.097138302201</v>
      </c>
      <c r="J17" s="308">
        <f>J7/23</f>
        <v>74482.848981148753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409777.60554813145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208395.60500822344</v>
      </c>
      <c r="I18" s="305">
        <f t="shared" si="9"/>
        <v>30329.097138302201</v>
      </c>
      <c r="J18" s="305">
        <f>J17</f>
        <v>74482.848981148753</v>
      </c>
      <c r="K18" s="308">
        <f>K7/22</f>
        <v>54170.082976151098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463947.68852428254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208395.60500822344</v>
      </c>
      <c r="I19" s="305">
        <f t="shared" si="9"/>
        <v>30329.097138302201</v>
      </c>
      <c r="J19" s="305">
        <f t="shared" si="9"/>
        <v>74482.848981148753</v>
      </c>
      <c r="K19" s="305">
        <f>K18</f>
        <v>54170.082976151098</v>
      </c>
      <c r="L19" s="308">
        <f>L7/21</f>
        <v>91626.948516151198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555574.63704043371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208395.60500822344</v>
      </c>
      <c r="I20" s="305">
        <f t="shared" si="9"/>
        <v>30329.097138302201</v>
      </c>
      <c r="J20" s="305">
        <f t="shared" si="9"/>
        <v>74482.848981148753</v>
      </c>
      <c r="K20" s="305">
        <f t="shared" si="9"/>
        <v>54170.082976151098</v>
      </c>
      <c r="L20" s="305">
        <f>L19</f>
        <v>91626.948516151198</v>
      </c>
      <c r="M20" s="308">
        <f>M7/20</f>
        <v>49988.903527988026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605563.54056842171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208395.60500822344</v>
      </c>
      <c r="I21" s="305">
        <f t="shared" si="9"/>
        <v>30329.097138302201</v>
      </c>
      <c r="J21" s="305">
        <f t="shared" si="9"/>
        <v>74482.848981148753</v>
      </c>
      <c r="K21" s="305">
        <f t="shared" si="9"/>
        <v>54170.082976151098</v>
      </c>
      <c r="L21" s="305">
        <f t="shared" si="9"/>
        <v>91626.948516151198</v>
      </c>
      <c r="M21" s="309">
        <f>M20</f>
        <v>49988.903527988026</v>
      </c>
      <c r="N21" s="308">
        <f>N7/19</f>
        <v>139658.18313798239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745221.7237064041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208395.60500822344</v>
      </c>
      <c r="I22" s="305">
        <f t="shared" si="9"/>
        <v>30329.097138302201</v>
      </c>
      <c r="J22" s="305">
        <f t="shared" si="9"/>
        <v>74482.848981148753</v>
      </c>
      <c r="K22" s="305">
        <f t="shared" si="9"/>
        <v>54170.082976151098</v>
      </c>
      <c r="L22" s="305">
        <f t="shared" si="9"/>
        <v>91626.948516151198</v>
      </c>
      <c r="M22" s="309">
        <f t="shared" si="9"/>
        <v>49988.903527988026</v>
      </c>
      <c r="N22" s="305">
        <f>N21</f>
        <v>139658.18313798239</v>
      </c>
      <c r="O22" s="308">
        <f>O7/18</f>
        <v>130722.78919395525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875944.51290035935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208395.60500822344</v>
      </c>
      <c r="I23" s="305">
        <f t="shared" si="9"/>
        <v>30329.097138302201</v>
      </c>
      <c r="J23" s="305">
        <f t="shared" si="9"/>
        <v>74482.848981148753</v>
      </c>
      <c r="K23" s="305">
        <f t="shared" si="9"/>
        <v>54170.082976151098</v>
      </c>
      <c r="L23" s="305">
        <f t="shared" si="9"/>
        <v>91626.948516151198</v>
      </c>
      <c r="M23" s="309">
        <f t="shared" si="9"/>
        <v>49988.903527988026</v>
      </c>
      <c r="N23" s="305">
        <f t="shared" si="9"/>
        <v>139658.18313798239</v>
      </c>
      <c r="O23" s="305">
        <f>O22</f>
        <v>130722.78919395525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879967.26312107325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208395.60500822344</v>
      </c>
      <c r="I24" s="305">
        <f t="shared" si="9"/>
        <v>30329.097138302201</v>
      </c>
      <c r="J24" s="305">
        <f t="shared" si="9"/>
        <v>74482.848981148753</v>
      </c>
      <c r="K24" s="305">
        <f t="shared" si="9"/>
        <v>54170.082976151098</v>
      </c>
      <c r="L24" s="305">
        <f t="shared" si="9"/>
        <v>91626.948516151198</v>
      </c>
      <c r="M24" s="309">
        <f t="shared" si="9"/>
        <v>49988.903527988026</v>
      </c>
      <c r="N24" s="305">
        <f t="shared" si="9"/>
        <v>139658.18313798239</v>
      </c>
      <c r="O24" s="305">
        <f t="shared" si="9"/>
        <v>130722.78919395525</v>
      </c>
      <c r="P24" s="305">
        <f>P23</f>
        <v>4022.750220713916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884241.43523058179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208395.60500822344</v>
      </c>
      <c r="I25" s="305">
        <f t="shared" si="9"/>
        <v>30329.097138302201</v>
      </c>
      <c r="J25" s="305">
        <f t="shared" si="9"/>
        <v>74482.848981148753</v>
      </c>
      <c r="K25" s="305">
        <f t="shared" si="9"/>
        <v>54170.082976151098</v>
      </c>
      <c r="L25" s="305">
        <f t="shared" si="9"/>
        <v>91626.948516151198</v>
      </c>
      <c r="M25" s="309">
        <f t="shared" si="9"/>
        <v>49988.903527988026</v>
      </c>
      <c r="N25" s="305">
        <f t="shared" si="9"/>
        <v>139658.18313798239</v>
      </c>
      <c r="O25" s="305">
        <f t="shared" si="9"/>
        <v>130722.78919395525</v>
      </c>
      <c r="P25" s="305">
        <f t="shared" si="9"/>
        <v>4022.750220713916</v>
      </c>
      <c r="Q25" s="305">
        <f>Q24</f>
        <v>4274.1721095085359</v>
      </c>
      <c r="R25" s="308">
        <f>R7/15</f>
        <v>4559.1169168091046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888800.5521473909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208395.60500822344</v>
      </c>
      <c r="I26" s="305">
        <f t="shared" si="9"/>
        <v>30329.097138302201</v>
      </c>
      <c r="J26" s="305">
        <f t="shared" si="9"/>
        <v>74482.848981148753</v>
      </c>
      <c r="K26" s="305">
        <f t="shared" si="9"/>
        <v>54170.082976151098</v>
      </c>
      <c r="L26" s="305">
        <f t="shared" si="9"/>
        <v>91626.948516151198</v>
      </c>
      <c r="M26" s="309">
        <f t="shared" si="9"/>
        <v>49988.903527988026</v>
      </c>
      <c r="N26" s="305">
        <f t="shared" si="9"/>
        <v>139658.18313798239</v>
      </c>
      <c r="O26" s="305">
        <f t="shared" si="9"/>
        <v>130722.78919395525</v>
      </c>
      <c r="P26" s="305">
        <f t="shared" si="9"/>
        <v>4022.750220713916</v>
      </c>
      <c r="Q26" s="305">
        <f t="shared" si="9"/>
        <v>4274.1721095085359</v>
      </c>
      <c r="R26" s="305">
        <f>R25</f>
        <v>4559.1169168091046</v>
      </c>
      <c r="S26" s="308">
        <f>S7/14</f>
        <v>4507.0538394383266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893307.60598682927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208395.60500822344</v>
      </c>
      <c r="I27" s="305">
        <f t="shared" si="9"/>
        <v>30329.097138302201</v>
      </c>
      <c r="J27" s="305">
        <f t="shared" si="9"/>
        <v>74482.848981148753</v>
      </c>
      <c r="K27" s="305">
        <f t="shared" si="9"/>
        <v>54170.082976151098</v>
      </c>
      <c r="L27" s="305">
        <f t="shared" si="9"/>
        <v>91626.948516151198</v>
      </c>
      <c r="M27" s="309">
        <f t="shared" si="9"/>
        <v>49988.903527988026</v>
      </c>
      <c r="N27" s="305">
        <f t="shared" si="9"/>
        <v>139658.18313798239</v>
      </c>
      <c r="O27" s="305">
        <f t="shared" si="9"/>
        <v>130722.78919395525</v>
      </c>
      <c r="P27" s="305">
        <f t="shared" si="9"/>
        <v>4022.750220713916</v>
      </c>
      <c r="Q27" s="305">
        <f t="shared" si="9"/>
        <v>4274.1721095085359</v>
      </c>
      <c r="R27" s="305">
        <f t="shared" si="9"/>
        <v>4559.1169168091046</v>
      </c>
      <c r="S27" s="305">
        <f>S26</f>
        <v>4507.0538394383266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898161.35627545521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208395.60500822344</v>
      </c>
      <c r="I28" s="305">
        <f t="shared" si="9"/>
        <v>30329.097138302201</v>
      </c>
      <c r="J28" s="305">
        <f t="shared" si="9"/>
        <v>74482.848981148753</v>
      </c>
      <c r="K28" s="305">
        <f t="shared" si="9"/>
        <v>54170.082976151098</v>
      </c>
      <c r="L28" s="305">
        <f t="shared" si="9"/>
        <v>91626.948516151198</v>
      </c>
      <c r="M28" s="309">
        <f t="shared" si="9"/>
        <v>49988.903527988026</v>
      </c>
      <c r="N28" s="305">
        <f t="shared" si="9"/>
        <v>139658.18313798239</v>
      </c>
      <c r="O28" s="305">
        <f t="shared" si="9"/>
        <v>130722.78919395525</v>
      </c>
      <c r="P28" s="305">
        <f t="shared" si="9"/>
        <v>4022.750220713916</v>
      </c>
      <c r="Q28" s="305">
        <f t="shared" si="9"/>
        <v>4274.1721095085359</v>
      </c>
      <c r="R28" s="305">
        <f t="shared" si="9"/>
        <v>4559.1169168091046</v>
      </c>
      <c r="S28" s="305">
        <f>S27</f>
        <v>4507.0538394383266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903419.58575479989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208395.60500822344</v>
      </c>
      <c r="I29" s="305">
        <f t="shared" si="10"/>
        <v>30329.097138302201</v>
      </c>
      <c r="J29" s="305">
        <f t="shared" si="10"/>
        <v>74482.848981148753</v>
      </c>
      <c r="K29" s="305">
        <f t="shared" si="10"/>
        <v>54170.082976151098</v>
      </c>
      <c r="L29" s="305">
        <f t="shared" si="10"/>
        <v>91626.948516151198</v>
      </c>
      <c r="M29" s="309">
        <f t="shared" si="10"/>
        <v>49988.903527988026</v>
      </c>
      <c r="N29" s="305">
        <f t="shared" si="10"/>
        <v>139658.18313798239</v>
      </c>
      <c r="O29" s="305">
        <f t="shared" si="10"/>
        <v>130722.78919395525</v>
      </c>
      <c r="P29" s="305">
        <f t="shared" si="10"/>
        <v>4022.750220713916</v>
      </c>
      <c r="Q29" s="305">
        <f t="shared" si="10"/>
        <v>4274.1721095085359</v>
      </c>
      <c r="R29" s="305">
        <f t="shared" si="10"/>
        <v>4559.1169168091046</v>
      </c>
      <c r="S29" s="305">
        <f t="shared" si="10"/>
        <v>4507.0538394383266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909155.83609590319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208395.60500822344</v>
      </c>
      <c r="I30" s="305">
        <f t="shared" si="10"/>
        <v>30329.097138302201</v>
      </c>
      <c r="J30" s="305">
        <f t="shared" si="10"/>
        <v>74482.848981148753</v>
      </c>
      <c r="K30" s="305">
        <f t="shared" si="10"/>
        <v>54170.082976151098</v>
      </c>
      <c r="L30" s="305">
        <f t="shared" si="10"/>
        <v>91626.948516151198</v>
      </c>
      <c r="M30" s="309">
        <f t="shared" si="10"/>
        <v>49988.903527988026</v>
      </c>
      <c r="N30" s="305">
        <f t="shared" si="10"/>
        <v>139658.18313798239</v>
      </c>
      <c r="O30" s="305">
        <f t="shared" si="10"/>
        <v>130722.78919395525</v>
      </c>
      <c r="P30" s="305">
        <f t="shared" si="10"/>
        <v>4022.750220713916</v>
      </c>
      <c r="Q30" s="305">
        <f t="shared" si="10"/>
        <v>4274.1721095085359</v>
      </c>
      <c r="R30" s="305">
        <f t="shared" si="10"/>
        <v>4559.1169168091046</v>
      </c>
      <c r="S30" s="305">
        <f t="shared" si="10"/>
        <v>4507.0538394383266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915465.71147111687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208395.60500822344</v>
      </c>
      <c r="I31" s="305">
        <f t="shared" si="10"/>
        <v>30329.097138302201</v>
      </c>
      <c r="J31" s="305">
        <f t="shared" si="10"/>
        <v>74482.848981148753</v>
      </c>
      <c r="K31" s="305">
        <f t="shared" si="10"/>
        <v>54170.082976151098</v>
      </c>
      <c r="L31" s="305">
        <f t="shared" si="10"/>
        <v>91626.948516151198</v>
      </c>
      <c r="M31" s="309">
        <f t="shared" si="10"/>
        <v>49988.903527988026</v>
      </c>
      <c r="N31" s="305">
        <f t="shared" si="10"/>
        <v>139658.18313798239</v>
      </c>
      <c r="O31" s="305">
        <f t="shared" si="10"/>
        <v>130722.78919395525</v>
      </c>
      <c r="P31" s="305">
        <f t="shared" si="10"/>
        <v>4022.750220713916</v>
      </c>
      <c r="Q31" s="305">
        <f t="shared" si="10"/>
        <v>4274.1721095085359</v>
      </c>
      <c r="R31" s="305">
        <f t="shared" si="10"/>
        <v>4559.1169168091046</v>
      </c>
      <c r="S31" s="305">
        <f t="shared" si="10"/>
        <v>4507.0538394383266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923109.46188802097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208395.60500822344</v>
      </c>
      <c r="I32" s="305">
        <f t="shared" si="10"/>
        <v>30329.097138302201</v>
      </c>
      <c r="J32" s="305">
        <f t="shared" si="10"/>
        <v>74482.848981148753</v>
      </c>
      <c r="K32" s="305">
        <f t="shared" si="10"/>
        <v>54170.082976151098</v>
      </c>
      <c r="L32" s="305">
        <f t="shared" si="10"/>
        <v>91626.948516151198</v>
      </c>
      <c r="M32" s="309">
        <f t="shared" si="10"/>
        <v>49988.903527988026</v>
      </c>
      <c r="N32" s="305">
        <f t="shared" si="10"/>
        <v>139658.18313798239</v>
      </c>
      <c r="O32" s="305">
        <f t="shared" si="10"/>
        <v>130722.78919395525</v>
      </c>
      <c r="P32" s="305">
        <f t="shared" si="10"/>
        <v>4022.750220713916</v>
      </c>
      <c r="Q32" s="305">
        <f t="shared" si="10"/>
        <v>4274.1721095085359</v>
      </c>
      <c r="R32" s="305">
        <f t="shared" si="10"/>
        <v>4559.1169168091046</v>
      </c>
      <c r="S32" s="305">
        <f t="shared" si="10"/>
        <v>4507.0538394383266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930539.30610703805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208395.60500822344</v>
      </c>
      <c r="I33" s="305">
        <f t="shared" si="10"/>
        <v>30329.097138302201</v>
      </c>
      <c r="J33" s="305">
        <f t="shared" si="10"/>
        <v>74482.848981148753</v>
      </c>
      <c r="K33" s="305">
        <f t="shared" si="10"/>
        <v>54170.082976151098</v>
      </c>
      <c r="L33" s="305">
        <f t="shared" si="10"/>
        <v>91626.948516151198</v>
      </c>
      <c r="M33" s="309">
        <f t="shared" si="10"/>
        <v>49988.903527988026</v>
      </c>
      <c r="N33" s="305">
        <f t="shared" si="10"/>
        <v>139658.18313798239</v>
      </c>
      <c r="O33" s="305">
        <f t="shared" si="10"/>
        <v>130722.78919395525</v>
      </c>
      <c r="P33" s="305">
        <f t="shared" si="10"/>
        <v>4022.750220713916</v>
      </c>
      <c r="Q33" s="305">
        <f t="shared" si="10"/>
        <v>4274.1721095085359</v>
      </c>
      <c r="R33" s="305">
        <f t="shared" si="10"/>
        <v>4559.1169168091046</v>
      </c>
      <c r="S33" s="305">
        <f t="shared" si="10"/>
        <v>4507.0538394383266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939030.55664305761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208395.60500822344</v>
      </c>
      <c r="I34" s="305">
        <f t="shared" si="10"/>
        <v>30329.097138302201</v>
      </c>
      <c r="J34" s="305">
        <f t="shared" si="10"/>
        <v>74482.848981148753</v>
      </c>
      <c r="K34" s="305">
        <f t="shared" si="10"/>
        <v>54170.082976151098</v>
      </c>
      <c r="L34" s="305">
        <f t="shared" si="10"/>
        <v>91626.948516151198</v>
      </c>
      <c r="M34" s="309">
        <f t="shared" si="10"/>
        <v>49988.903527988026</v>
      </c>
      <c r="N34" s="305">
        <f t="shared" si="10"/>
        <v>139658.18313798239</v>
      </c>
      <c r="O34" s="305">
        <f t="shared" si="10"/>
        <v>130722.78919395525</v>
      </c>
      <c r="P34" s="305">
        <f t="shared" si="10"/>
        <v>4022.750220713916</v>
      </c>
      <c r="Q34" s="305">
        <f t="shared" si="10"/>
        <v>4274.1721095085359</v>
      </c>
      <c r="R34" s="305">
        <f t="shared" si="10"/>
        <v>4559.1169168091046</v>
      </c>
      <c r="S34" s="305">
        <f t="shared" si="10"/>
        <v>4507.0538394383266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948937.01560174709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208395.60500822344</v>
      </c>
      <c r="I35" s="305">
        <f t="shared" si="10"/>
        <v>30329.097138302201</v>
      </c>
      <c r="J35" s="305">
        <f t="shared" si="10"/>
        <v>74482.848981148753</v>
      </c>
      <c r="K35" s="305">
        <f t="shared" si="10"/>
        <v>54170.082976151098</v>
      </c>
      <c r="L35" s="305">
        <f t="shared" si="10"/>
        <v>91626.948516151198</v>
      </c>
      <c r="M35" s="309">
        <f t="shared" si="10"/>
        <v>49988.903527988026</v>
      </c>
      <c r="N35" s="305">
        <f t="shared" si="10"/>
        <v>139658.18313798239</v>
      </c>
      <c r="O35" s="305">
        <f t="shared" si="10"/>
        <v>130722.78919395525</v>
      </c>
      <c r="P35" s="305">
        <f t="shared" si="10"/>
        <v>4022.750220713916</v>
      </c>
      <c r="Q35" s="305">
        <f t="shared" si="10"/>
        <v>4274.1721095085359</v>
      </c>
      <c r="R35" s="305">
        <f t="shared" si="10"/>
        <v>4559.1169168091046</v>
      </c>
      <c r="S35" s="305">
        <f t="shared" si="10"/>
        <v>4507.0538394383266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960824.76635217445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208395.60500822344</v>
      </c>
      <c r="I36" s="305">
        <f t="shared" si="10"/>
        <v>30329.097138302201</v>
      </c>
      <c r="J36" s="305">
        <f t="shared" si="10"/>
        <v>74482.848981148753</v>
      </c>
      <c r="K36" s="305">
        <f t="shared" si="10"/>
        <v>54170.082976151098</v>
      </c>
      <c r="L36" s="305">
        <f t="shared" si="10"/>
        <v>91626.948516151198</v>
      </c>
      <c r="M36" s="309">
        <f t="shared" si="10"/>
        <v>49988.903527988026</v>
      </c>
      <c r="N36" s="305">
        <f t="shared" si="10"/>
        <v>139658.18313798239</v>
      </c>
      <c r="O36" s="305">
        <f t="shared" si="10"/>
        <v>130722.78919395525</v>
      </c>
      <c r="P36" s="305">
        <f t="shared" si="10"/>
        <v>4022.750220713916</v>
      </c>
      <c r="Q36" s="305">
        <f t="shared" si="10"/>
        <v>4274.1721095085359</v>
      </c>
      <c r="R36" s="305">
        <f t="shared" si="10"/>
        <v>4559.1169168091046</v>
      </c>
      <c r="S36" s="305">
        <f t="shared" si="10"/>
        <v>4507.0538394383266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978023.20479020861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208395.60500822344</v>
      </c>
      <c r="I37" s="305">
        <f t="shared" si="10"/>
        <v>30329.097138302201</v>
      </c>
      <c r="J37" s="305">
        <f t="shared" si="10"/>
        <v>74482.848981148753</v>
      </c>
      <c r="K37" s="305">
        <f t="shared" si="10"/>
        <v>54170.082976151098</v>
      </c>
      <c r="L37" s="305">
        <f t="shared" si="10"/>
        <v>91626.948516151198</v>
      </c>
      <c r="M37" s="309">
        <f t="shared" si="10"/>
        <v>49988.903527988026</v>
      </c>
      <c r="N37" s="305">
        <f t="shared" si="10"/>
        <v>139658.18313798239</v>
      </c>
      <c r="O37" s="305">
        <f t="shared" si="10"/>
        <v>130722.78919395525</v>
      </c>
      <c r="P37" s="305">
        <f t="shared" si="10"/>
        <v>4022.750220713916</v>
      </c>
      <c r="Q37" s="305">
        <f t="shared" si="10"/>
        <v>4274.1721095085359</v>
      </c>
      <c r="R37" s="305">
        <f t="shared" si="10"/>
        <v>4559.1169168091046</v>
      </c>
      <c r="S37" s="305">
        <f t="shared" si="10"/>
        <v>4507.0538394383266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998107.45604092081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208395.60500822344</v>
      </c>
      <c r="I38" s="305">
        <f t="shared" si="10"/>
        <v>30329.097138302201</v>
      </c>
      <c r="J38" s="305">
        <f t="shared" si="10"/>
        <v>74482.848981148753</v>
      </c>
      <c r="K38" s="305">
        <f t="shared" si="10"/>
        <v>54170.082976151098</v>
      </c>
      <c r="L38" s="305">
        <f t="shared" si="10"/>
        <v>91626.948516151198</v>
      </c>
      <c r="M38" s="309">
        <f t="shared" si="10"/>
        <v>49988.903527988026</v>
      </c>
      <c r="N38" s="305">
        <f t="shared" si="10"/>
        <v>139658.18313798239</v>
      </c>
      <c r="O38" s="305">
        <f t="shared" si="10"/>
        <v>130722.78919395525</v>
      </c>
      <c r="P38" s="305">
        <f t="shared" si="10"/>
        <v>4022.750220713916</v>
      </c>
      <c r="Q38" s="305">
        <f t="shared" si="10"/>
        <v>4274.1721095085359</v>
      </c>
      <c r="R38" s="305">
        <f t="shared" si="10"/>
        <v>4559.1169168091046</v>
      </c>
      <c r="S38" s="305">
        <f t="shared" si="10"/>
        <v>4507.0538394383266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1028640.8329169891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208395.60500822344</v>
      </c>
      <c r="I39" s="305">
        <f t="shared" si="10"/>
        <v>30329.097138302201</v>
      </c>
      <c r="J39" s="305">
        <f t="shared" si="10"/>
        <v>74482.848981148753</v>
      </c>
      <c r="K39" s="305">
        <f t="shared" si="10"/>
        <v>54170.082976151098</v>
      </c>
      <c r="L39" s="305">
        <f t="shared" si="10"/>
        <v>91626.948516151198</v>
      </c>
      <c r="M39" s="309">
        <f t="shared" si="10"/>
        <v>49988.903527988026</v>
      </c>
      <c r="N39" s="305">
        <f t="shared" si="10"/>
        <v>139658.18313798239</v>
      </c>
      <c r="O39" s="305">
        <f t="shared" si="10"/>
        <v>130722.78919395525</v>
      </c>
      <c r="P39" s="305">
        <f t="shared" si="10"/>
        <v>4022.750220713916</v>
      </c>
      <c r="Q39" s="305">
        <f t="shared" si="10"/>
        <v>4274.1721095085359</v>
      </c>
      <c r="R39" s="305">
        <f t="shared" si="10"/>
        <v>4559.1169168091046</v>
      </c>
      <c r="S39" s="305">
        <f t="shared" si="10"/>
        <v>4507.0538394383266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1150372.8346658584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5209890.1252055857</v>
      </c>
      <c r="I40" s="312">
        <f t="shared" si="12"/>
        <v>727898.33131925284</v>
      </c>
      <c r="J40" s="312">
        <f t="shared" si="12"/>
        <v>1713105.5265664218</v>
      </c>
      <c r="K40" s="312">
        <f t="shared" si="12"/>
        <v>1191741.8254753244</v>
      </c>
      <c r="L40" s="312">
        <f t="shared" si="12"/>
        <v>1924165.9188391748</v>
      </c>
      <c r="M40" s="313">
        <f t="shared" si="12"/>
        <v>999778.07055976021</v>
      </c>
      <c r="N40" s="312">
        <f t="shared" si="12"/>
        <v>2653505.4796216646</v>
      </c>
      <c r="O40" s="312">
        <f t="shared" si="12"/>
        <v>2353010.2054911945</v>
      </c>
      <c r="P40" s="312">
        <f t="shared" si="12"/>
        <v>68386.753752136588</v>
      </c>
      <c r="Q40" s="312">
        <f t="shared" si="12"/>
        <v>68386.753752136588</v>
      </c>
      <c r="R40" s="312">
        <f t="shared" si="12"/>
        <v>68386.753752136588</v>
      </c>
      <c r="S40" s="312">
        <f t="shared" si="12"/>
        <v>63098.753752136567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20517119.663628098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3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D103:Z113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5"/>
        <v>#VALUE!</v>
      </c>
      <c r="E104" s="305" t="e">
        <f t="shared" si="25"/>
        <v>#VALUE!</v>
      </c>
      <c r="F104" s="305" t="e">
        <f t="shared" si="25"/>
        <v>#VALUE!</v>
      </c>
      <c r="G104" s="305" t="e">
        <f t="shared" si="25"/>
        <v>#VALUE!</v>
      </c>
      <c r="H104" s="305" t="e">
        <f t="shared" si="25"/>
        <v>#VALUE!</v>
      </c>
      <c r="I104" s="305" t="e">
        <f t="shared" si="25"/>
        <v>#VALUE!</v>
      </c>
      <c r="J104" s="305" t="e">
        <f t="shared" si="25"/>
        <v>#VALUE!</v>
      </c>
      <c r="K104" s="305" t="e">
        <f t="shared" si="25"/>
        <v>#VALUE!</v>
      </c>
      <c r="L104" s="305" t="e">
        <f t="shared" si="25"/>
        <v>#VALUE!</v>
      </c>
      <c r="M104" s="305" t="e">
        <f t="shared" si="25"/>
        <v>#VALUE!</v>
      </c>
      <c r="N104" s="305" t="e">
        <f t="shared" si="25"/>
        <v>#VALUE!</v>
      </c>
      <c r="O104" s="305" t="e">
        <f t="shared" si="25"/>
        <v>#VALUE!</v>
      </c>
      <c r="P104" s="305" t="e">
        <f t="shared" si="25"/>
        <v>#VALUE!</v>
      </c>
      <c r="Q104" s="305" t="e">
        <f t="shared" si="25"/>
        <v>#VALUE!</v>
      </c>
      <c r="R104" s="305" t="e">
        <f t="shared" si="25"/>
        <v>#VALUE!</v>
      </c>
      <c r="S104" s="305" t="e">
        <f t="shared" si="25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5"/>
        <v>#VALUE!</v>
      </c>
      <c r="F105" s="305" t="e">
        <f t="shared" si="25"/>
        <v>#VALUE!</v>
      </c>
      <c r="G105" s="305" t="e">
        <f t="shared" si="25"/>
        <v>#VALUE!</v>
      </c>
      <c r="H105" s="305" t="e">
        <f t="shared" si="25"/>
        <v>#VALUE!</v>
      </c>
      <c r="I105" s="305" t="e">
        <f t="shared" si="25"/>
        <v>#VALUE!</v>
      </c>
      <c r="J105" s="305" t="e">
        <f t="shared" si="25"/>
        <v>#VALUE!</v>
      </c>
      <c r="K105" s="305" t="e">
        <f t="shared" si="25"/>
        <v>#VALUE!</v>
      </c>
      <c r="L105" s="305" t="e">
        <f t="shared" si="25"/>
        <v>#VALUE!</v>
      </c>
      <c r="M105" s="305" t="e">
        <f t="shared" si="25"/>
        <v>#VALUE!</v>
      </c>
      <c r="N105" s="305" t="e">
        <f t="shared" si="25"/>
        <v>#VALUE!</v>
      </c>
      <c r="O105" s="305" t="e">
        <f t="shared" si="25"/>
        <v>#VALUE!</v>
      </c>
      <c r="P105" s="305" t="e">
        <f t="shared" si="25"/>
        <v>#VALUE!</v>
      </c>
      <c r="Q105" s="305" t="e">
        <f t="shared" si="25"/>
        <v>#VALUE!</v>
      </c>
      <c r="R105" s="305" t="e">
        <f t="shared" si="25"/>
        <v>#VALUE!</v>
      </c>
      <c r="S105" s="305" t="e">
        <f t="shared" si="25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5"/>
        <v>#VALUE!</v>
      </c>
      <c r="G106" s="305" t="e">
        <f t="shared" si="25"/>
        <v>#VALUE!</v>
      </c>
      <c r="H106" s="305" t="e">
        <f t="shared" si="25"/>
        <v>#VALUE!</v>
      </c>
      <c r="I106" s="305" t="e">
        <f t="shared" si="25"/>
        <v>#VALUE!</v>
      </c>
      <c r="J106" s="305" t="e">
        <f t="shared" si="25"/>
        <v>#VALUE!</v>
      </c>
      <c r="K106" s="305" t="e">
        <f t="shared" si="25"/>
        <v>#VALUE!</v>
      </c>
      <c r="L106" s="305" t="e">
        <f t="shared" si="25"/>
        <v>#VALUE!</v>
      </c>
      <c r="M106" s="305" t="e">
        <f t="shared" si="25"/>
        <v>#VALUE!</v>
      </c>
      <c r="N106" s="305" t="e">
        <f t="shared" si="25"/>
        <v>#VALUE!</v>
      </c>
      <c r="O106" s="305" t="e">
        <f t="shared" si="25"/>
        <v>#VALUE!</v>
      </c>
      <c r="P106" s="305" t="e">
        <f t="shared" si="25"/>
        <v>#VALUE!</v>
      </c>
      <c r="Q106" s="305" t="e">
        <f t="shared" si="25"/>
        <v>#VALUE!</v>
      </c>
      <c r="R106" s="305" t="e">
        <f t="shared" si="25"/>
        <v>#VALUE!</v>
      </c>
      <c r="S106" s="305" t="e">
        <f t="shared" si="25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si="25"/>
        <v>#VALUE!</v>
      </c>
      <c r="H107" s="305" t="e">
        <f t="shared" si="25"/>
        <v>#VALUE!</v>
      </c>
      <c r="I107" s="305" t="e">
        <f t="shared" si="25"/>
        <v>#VALUE!</v>
      </c>
      <c r="J107" s="305" t="e">
        <f t="shared" si="25"/>
        <v>#VALUE!</v>
      </c>
      <c r="K107" s="305" t="e">
        <f t="shared" si="25"/>
        <v>#VALUE!</v>
      </c>
      <c r="L107" s="305" t="e">
        <f t="shared" si="25"/>
        <v>#VALUE!</v>
      </c>
      <c r="M107" s="305" t="e">
        <f t="shared" si="25"/>
        <v>#VALUE!</v>
      </c>
      <c r="N107" s="305" t="e">
        <f t="shared" si="25"/>
        <v>#VALUE!</v>
      </c>
      <c r="O107" s="305" t="e">
        <f t="shared" si="25"/>
        <v>#VALUE!</v>
      </c>
      <c r="P107" s="305" t="e">
        <f t="shared" si="25"/>
        <v>#VALUE!</v>
      </c>
      <c r="Q107" s="305" t="e">
        <f t="shared" si="25"/>
        <v>#VALUE!</v>
      </c>
      <c r="R107" s="305" t="e">
        <f t="shared" si="25"/>
        <v>#VALUE!</v>
      </c>
      <c r="S107" s="305" t="e">
        <f t="shared" si="25"/>
        <v>#VALUE!</v>
      </c>
      <c r="T107" s="305" t="e">
        <f t="shared" si="25"/>
        <v>#VALUE!</v>
      </c>
      <c r="U107" s="305" t="e">
        <f t="shared" si="25"/>
        <v>#VALUE!</v>
      </c>
      <c r="V107" s="305" t="e">
        <f t="shared" si="25"/>
        <v>#VALUE!</v>
      </c>
      <c r="W107" s="305" t="e">
        <f t="shared" si="25"/>
        <v>#VALUE!</v>
      </c>
      <c r="X107" s="305" t="e">
        <f t="shared" si="25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5"/>
        <v>#VALUE!</v>
      </c>
      <c r="I108" s="305" t="e">
        <f t="shared" si="25"/>
        <v>#VALUE!</v>
      </c>
      <c r="J108" s="305" t="e">
        <f t="shared" si="25"/>
        <v>#VALUE!</v>
      </c>
      <c r="K108" s="305" t="e">
        <f t="shared" si="25"/>
        <v>#VALUE!</v>
      </c>
      <c r="L108" s="305" t="e">
        <f t="shared" si="25"/>
        <v>#VALUE!</v>
      </c>
      <c r="M108" s="305" t="e">
        <f t="shared" si="25"/>
        <v>#VALUE!</v>
      </c>
      <c r="N108" s="305" t="e">
        <f t="shared" si="25"/>
        <v>#VALUE!</v>
      </c>
      <c r="O108" s="305" t="e">
        <f t="shared" si="25"/>
        <v>#VALUE!</v>
      </c>
      <c r="P108" s="305" t="e">
        <f t="shared" si="25"/>
        <v>#VALUE!</v>
      </c>
      <c r="Q108" s="305" t="e">
        <f t="shared" si="25"/>
        <v>#VALUE!</v>
      </c>
      <c r="R108" s="305" t="e">
        <f t="shared" si="25"/>
        <v>#VALUE!</v>
      </c>
      <c r="S108" s="305" t="e">
        <f t="shared" si="25"/>
        <v>#VALUE!</v>
      </c>
      <c r="T108" s="305" t="e">
        <f t="shared" si="25"/>
        <v>#VALUE!</v>
      </c>
      <c r="U108" s="305" t="e">
        <f t="shared" si="25"/>
        <v>#VALUE!</v>
      </c>
      <c r="V108" s="305" t="e">
        <f t="shared" si="25"/>
        <v>#VALUE!</v>
      </c>
      <c r="W108" s="305" t="e">
        <f t="shared" si="25"/>
        <v>#VALUE!</v>
      </c>
      <c r="X108" s="305" t="e">
        <f t="shared" si="25"/>
        <v>#VALUE!</v>
      </c>
      <c r="Y108" s="305" t="e">
        <f t="shared" si="25"/>
        <v>#VALUE!</v>
      </c>
      <c r="Z108" s="305" t="e">
        <f t="shared" si="25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5"/>
        <v>#VALUE!</v>
      </c>
      <c r="J109" s="305" t="e">
        <f t="shared" si="25"/>
        <v>#VALUE!</v>
      </c>
      <c r="K109" s="305" t="e">
        <f t="shared" si="25"/>
        <v>#VALUE!</v>
      </c>
      <c r="L109" s="305" t="e">
        <f t="shared" si="25"/>
        <v>#VALUE!</v>
      </c>
      <c r="M109" s="305" t="e">
        <f t="shared" si="25"/>
        <v>#VALUE!</v>
      </c>
      <c r="N109" s="305" t="e">
        <f t="shared" si="25"/>
        <v>#VALUE!</v>
      </c>
      <c r="O109" s="305" t="e">
        <f t="shared" si="25"/>
        <v>#VALUE!</v>
      </c>
      <c r="P109" s="305" t="e">
        <f t="shared" si="25"/>
        <v>#VALUE!</v>
      </c>
      <c r="Q109" s="305" t="e">
        <f t="shared" si="25"/>
        <v>#VALUE!</v>
      </c>
      <c r="R109" s="305" t="e">
        <f t="shared" si="25"/>
        <v>#VALUE!</v>
      </c>
      <c r="S109" s="305" t="e">
        <f t="shared" si="25"/>
        <v>#VALUE!</v>
      </c>
      <c r="T109" s="305" t="e">
        <f t="shared" si="25"/>
        <v>#VALUE!</v>
      </c>
      <c r="U109" s="305" t="e">
        <f t="shared" si="25"/>
        <v>#VALUE!</v>
      </c>
      <c r="V109" s="305" t="e">
        <f t="shared" si="25"/>
        <v>#VALUE!</v>
      </c>
      <c r="W109" s="305" t="e">
        <f t="shared" si="25"/>
        <v>#VALUE!</v>
      </c>
      <c r="X109" s="305" t="e">
        <f t="shared" si="25"/>
        <v>#VALUE!</v>
      </c>
      <c r="Y109" s="305" t="e">
        <f t="shared" si="25"/>
        <v>#VALUE!</v>
      </c>
      <c r="Z109" s="305" t="e">
        <f t="shared" si="25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5"/>
        <v>#VALUE!</v>
      </c>
      <c r="K110" s="305" t="e">
        <f t="shared" si="25"/>
        <v>#VALUE!</v>
      </c>
      <c r="L110" s="305" t="e">
        <f t="shared" si="25"/>
        <v>#VALUE!</v>
      </c>
      <c r="M110" s="305" t="e">
        <f t="shared" si="25"/>
        <v>#VALUE!</v>
      </c>
      <c r="N110" s="305" t="e">
        <f t="shared" si="25"/>
        <v>#VALUE!</v>
      </c>
      <c r="O110" s="305" t="e">
        <f t="shared" si="25"/>
        <v>#VALUE!</v>
      </c>
      <c r="P110" s="305" t="e">
        <f t="shared" si="25"/>
        <v>#VALUE!</v>
      </c>
      <c r="Q110" s="305" t="e">
        <f t="shared" si="25"/>
        <v>#VALUE!</v>
      </c>
      <c r="R110" s="305" t="e">
        <f t="shared" si="25"/>
        <v>#VALUE!</v>
      </c>
      <c r="S110" s="305" t="e">
        <f t="shared" si="25"/>
        <v>#VALUE!</v>
      </c>
      <c r="T110" s="305" t="e">
        <f t="shared" si="25"/>
        <v>#VALUE!</v>
      </c>
      <c r="U110" s="305" t="e">
        <f t="shared" si="25"/>
        <v>#VALUE!</v>
      </c>
      <c r="V110" s="305" t="e">
        <f t="shared" si="25"/>
        <v>#VALUE!</v>
      </c>
      <c r="W110" s="305" t="e">
        <f t="shared" si="25"/>
        <v>#VALUE!</v>
      </c>
      <c r="X110" s="305" t="e">
        <f t="shared" si="25"/>
        <v>#VALUE!</v>
      </c>
      <c r="Y110" s="305" t="e">
        <f t="shared" si="25"/>
        <v>#VALUE!</v>
      </c>
      <c r="Z110" s="305" t="e">
        <f t="shared" si="25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5"/>
        <v>#VALUE!</v>
      </c>
      <c r="L111" s="305" t="e">
        <f t="shared" si="25"/>
        <v>#VALUE!</v>
      </c>
      <c r="M111" s="305" t="e">
        <f t="shared" si="25"/>
        <v>#VALUE!</v>
      </c>
      <c r="N111" s="305" t="e">
        <f t="shared" si="25"/>
        <v>#VALUE!</v>
      </c>
      <c r="O111" s="305" t="e">
        <f t="shared" si="25"/>
        <v>#VALUE!</v>
      </c>
      <c r="P111" s="305" t="e">
        <f t="shared" si="25"/>
        <v>#VALUE!</v>
      </c>
      <c r="Q111" s="305" t="e">
        <f t="shared" si="25"/>
        <v>#VALUE!</v>
      </c>
      <c r="R111" s="305" t="e">
        <f t="shared" si="25"/>
        <v>#VALUE!</v>
      </c>
      <c r="S111" s="305" t="e">
        <f t="shared" si="25"/>
        <v>#VALUE!</v>
      </c>
      <c r="T111" s="305" t="e">
        <f t="shared" si="25"/>
        <v>#VALUE!</v>
      </c>
      <c r="U111" s="305" t="e">
        <f t="shared" si="25"/>
        <v>#VALUE!</v>
      </c>
      <c r="V111" s="305" t="e">
        <f t="shared" si="25"/>
        <v>#VALUE!</v>
      </c>
      <c r="W111" s="305" t="e">
        <f t="shared" si="25"/>
        <v>#VALUE!</v>
      </c>
      <c r="X111" s="305" t="e">
        <f t="shared" si="25"/>
        <v>#VALUE!</v>
      </c>
      <c r="Y111" s="305" t="e">
        <f t="shared" si="25"/>
        <v>#VALUE!</v>
      </c>
      <c r="Z111" s="305" t="e">
        <f t="shared" si="25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5"/>
        <v>#VALUE!</v>
      </c>
      <c r="M112" s="305" t="e">
        <f t="shared" si="25"/>
        <v>#VALUE!</v>
      </c>
      <c r="N112" s="305" t="e">
        <f t="shared" si="25"/>
        <v>#VALUE!</v>
      </c>
      <c r="O112" s="305" t="e">
        <f t="shared" si="25"/>
        <v>#VALUE!</v>
      </c>
      <c r="P112" s="305" t="e">
        <f t="shared" si="25"/>
        <v>#VALUE!</v>
      </c>
      <c r="Q112" s="305" t="e">
        <f t="shared" si="25"/>
        <v>#VALUE!</v>
      </c>
      <c r="R112" s="305" t="e">
        <f t="shared" si="25"/>
        <v>#VALUE!</v>
      </c>
      <c r="S112" s="305" t="e">
        <f t="shared" si="25"/>
        <v>#VALUE!</v>
      </c>
      <c r="T112" s="305" t="e">
        <f t="shared" si="25"/>
        <v>#VALUE!</v>
      </c>
      <c r="U112" s="305" t="e">
        <f t="shared" si="25"/>
        <v>#VALUE!</v>
      </c>
      <c r="V112" s="305" t="e">
        <f t="shared" si="25"/>
        <v>#VALUE!</v>
      </c>
      <c r="W112" s="305" t="e">
        <f t="shared" si="25"/>
        <v>#VALUE!</v>
      </c>
      <c r="X112" s="305" t="e">
        <f t="shared" si="25"/>
        <v>#VALUE!</v>
      </c>
      <c r="Y112" s="305" t="e">
        <f t="shared" si="25"/>
        <v>#VALUE!</v>
      </c>
      <c r="Z112" s="305" t="e">
        <f t="shared" si="25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5"/>
        <v>#VALUE!</v>
      </c>
      <c r="N113" s="305" t="e">
        <f t="shared" si="25"/>
        <v>#VALUE!</v>
      </c>
      <c r="O113" s="305" t="e">
        <f t="shared" si="25"/>
        <v>#VALUE!</v>
      </c>
      <c r="P113" s="305" t="e">
        <f t="shared" si="25"/>
        <v>#VALUE!</v>
      </c>
      <c r="Q113" s="305" t="e">
        <f t="shared" si="25"/>
        <v>#VALUE!</v>
      </c>
      <c r="R113" s="305" t="e">
        <f t="shared" si="25"/>
        <v>#VALUE!</v>
      </c>
      <c r="S113" s="305" t="e">
        <f t="shared" si="25"/>
        <v>#VALUE!</v>
      </c>
      <c r="T113" s="305" t="e">
        <f t="shared" si="25"/>
        <v>#VALUE!</v>
      </c>
      <c r="U113" s="305" t="e">
        <f t="shared" si="25"/>
        <v>#VALUE!</v>
      </c>
      <c r="V113" s="305" t="e">
        <f t="shared" si="25"/>
        <v>#VALUE!</v>
      </c>
      <c r="W113" s="305" t="e">
        <f t="shared" si="25"/>
        <v>#VALUE!</v>
      </c>
      <c r="X113" s="305" t="e">
        <f t="shared" si="25"/>
        <v>#VALUE!</v>
      </c>
      <c r="Y113" s="305" t="e">
        <f t="shared" si="25"/>
        <v>#VALUE!</v>
      </c>
      <c r="Z113" s="305" t="e">
        <f t="shared" si="25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6">SUM(D83:D113)</f>
        <v>#VALUE!</v>
      </c>
      <c r="E114" s="328" t="e">
        <f t="shared" si="26"/>
        <v>#VALUE!</v>
      </c>
      <c r="F114" s="328" t="e">
        <f t="shared" si="26"/>
        <v>#VALUE!</v>
      </c>
      <c r="G114" s="328" t="e">
        <f t="shared" si="26"/>
        <v>#VALUE!</v>
      </c>
      <c r="H114" s="328" t="e">
        <f t="shared" si="26"/>
        <v>#VALUE!</v>
      </c>
      <c r="I114" s="328" t="e">
        <f t="shared" si="26"/>
        <v>#VALUE!</v>
      </c>
      <c r="J114" s="328" t="e">
        <f t="shared" si="26"/>
        <v>#VALUE!</v>
      </c>
      <c r="K114" s="328" t="e">
        <f t="shared" si="26"/>
        <v>#VALUE!</v>
      </c>
      <c r="L114" s="328" t="e">
        <f t="shared" si="26"/>
        <v>#VALUE!</v>
      </c>
      <c r="M114" s="328" t="e">
        <f t="shared" si="26"/>
        <v>#VALUE!</v>
      </c>
      <c r="N114" s="328" t="e">
        <f t="shared" si="26"/>
        <v>#VALUE!</v>
      </c>
      <c r="O114" s="328" t="e">
        <f t="shared" si="26"/>
        <v>#VALUE!</v>
      </c>
      <c r="P114" s="328" t="e">
        <f t="shared" si="26"/>
        <v>#VALUE!</v>
      </c>
      <c r="Q114" s="328" t="e">
        <f t="shared" si="26"/>
        <v>#VALUE!</v>
      </c>
      <c r="R114" s="328" t="e">
        <f t="shared" si="26"/>
        <v>#VALUE!</v>
      </c>
      <c r="S114" s="328" t="e">
        <f t="shared" si="26"/>
        <v>#VALUE!</v>
      </c>
      <c r="T114" s="328" t="e">
        <f t="shared" si="26"/>
        <v>#VALUE!</v>
      </c>
      <c r="U114" s="328" t="e">
        <f t="shared" si="26"/>
        <v>#VALUE!</v>
      </c>
      <c r="V114" s="328" t="e">
        <f t="shared" si="26"/>
        <v>#VALUE!</v>
      </c>
      <c r="W114" s="328" t="e">
        <f t="shared" si="26"/>
        <v>#VALUE!</v>
      </c>
      <c r="X114" s="328" t="e">
        <f t="shared" si="26"/>
        <v>#VALUE!</v>
      </c>
      <c r="Y114" s="328" t="e">
        <f t="shared" si="26"/>
        <v>#VALUE!</v>
      </c>
      <c r="Z114" s="328" t="e">
        <f t="shared" si="26"/>
        <v>#VALUE!</v>
      </c>
      <c r="AA114" s="328" t="e">
        <f t="shared" si="26"/>
        <v>#VALUE!</v>
      </c>
      <c r="AB114" s="328" t="e">
        <f t="shared" si="26"/>
        <v>#VALUE!</v>
      </c>
      <c r="AC114" s="328" t="e">
        <f t="shared" si="26"/>
        <v>#VALUE!</v>
      </c>
      <c r="AD114" s="328" t="e">
        <f t="shared" si="26"/>
        <v>#VALUE!</v>
      </c>
      <c r="AE114" s="328" t="e">
        <f t="shared" si="26"/>
        <v>#VALUE!</v>
      </c>
      <c r="AF114" s="329" t="e">
        <f t="shared" si="26"/>
        <v>#VALUE!</v>
      </c>
      <c r="AG114" s="329" t="e">
        <f t="shared" si="26"/>
        <v>#VALUE!</v>
      </c>
      <c r="AH114" s="315" t="e">
        <f t="shared" si="26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7">D119+1</f>
        <v>2</v>
      </c>
      <c r="F119" s="302">
        <f t="shared" si="27"/>
        <v>3</v>
      </c>
      <c r="G119" s="302">
        <f t="shared" si="27"/>
        <v>4</v>
      </c>
      <c r="H119" s="302">
        <f t="shared" si="27"/>
        <v>5</v>
      </c>
      <c r="I119" s="302">
        <f t="shared" si="27"/>
        <v>6</v>
      </c>
      <c r="J119" s="302">
        <f t="shared" si="27"/>
        <v>7</v>
      </c>
      <c r="K119" s="302">
        <f t="shared" si="27"/>
        <v>8</v>
      </c>
      <c r="L119" s="302">
        <f t="shared" si="27"/>
        <v>9</v>
      </c>
      <c r="M119" s="302">
        <f t="shared" si="27"/>
        <v>10</v>
      </c>
      <c r="N119" s="302">
        <f t="shared" si="27"/>
        <v>11</v>
      </c>
      <c r="O119" s="302">
        <f t="shared" si="27"/>
        <v>12</v>
      </c>
      <c r="P119" s="302">
        <f t="shared" si="27"/>
        <v>13</v>
      </c>
      <c r="Q119" s="302">
        <f t="shared" si="27"/>
        <v>14</v>
      </c>
      <c r="R119" s="302">
        <f t="shared" si="27"/>
        <v>15</v>
      </c>
      <c r="S119" s="302">
        <f t="shared" si="27"/>
        <v>16</v>
      </c>
      <c r="T119" s="302">
        <f t="shared" si="27"/>
        <v>17</v>
      </c>
      <c r="U119" s="302">
        <f t="shared" si="27"/>
        <v>18</v>
      </c>
      <c r="V119" s="302">
        <f t="shared" si="27"/>
        <v>19</v>
      </c>
      <c r="W119" s="302">
        <f t="shared" si="27"/>
        <v>20</v>
      </c>
      <c r="X119" s="302">
        <f t="shared" si="27"/>
        <v>21</v>
      </c>
      <c r="Y119" s="302">
        <f t="shared" si="27"/>
        <v>22</v>
      </c>
      <c r="Z119" s="302">
        <f t="shared" si="27"/>
        <v>23</v>
      </c>
      <c r="AA119" s="302">
        <f t="shared" si="27"/>
        <v>24</v>
      </c>
      <c r="AB119" s="302">
        <f t="shared" si="27"/>
        <v>25</v>
      </c>
      <c r="AC119" s="302">
        <f t="shared" si="27"/>
        <v>26</v>
      </c>
      <c r="AD119" s="302">
        <f t="shared" si="27"/>
        <v>27</v>
      </c>
      <c r="AE119" s="302">
        <f t="shared" si="27"/>
        <v>28</v>
      </c>
      <c r="AF119" s="302">
        <f t="shared" si="27"/>
        <v>29</v>
      </c>
      <c r="AG119" s="302">
        <f t="shared" si="27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8">SUM(D120:AG120)</f>
        <v>0</v>
      </c>
    </row>
    <row r="121" spans="1:34">
      <c r="C121" s="304">
        <f t="shared" ref="C121:C150" si="29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8"/>
        <v>0</v>
      </c>
    </row>
    <row r="122" spans="1:34">
      <c r="C122" s="304">
        <f t="shared" si="29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8"/>
        <v>#VALUE!</v>
      </c>
    </row>
    <row r="123" spans="1:34">
      <c r="C123" s="304">
        <f t="shared" si="29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8"/>
        <v>#VALUE!</v>
      </c>
    </row>
    <row r="124" spans="1:34">
      <c r="C124" s="304">
        <f t="shared" si="29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8"/>
        <v>#VALUE!</v>
      </c>
    </row>
    <row r="125" spans="1:34">
      <c r="C125" s="304">
        <f t="shared" si="29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8"/>
        <v>#VALUE!</v>
      </c>
    </row>
    <row r="126" spans="1:34">
      <c r="C126" s="304">
        <f t="shared" si="29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8"/>
        <v>#VALUE!</v>
      </c>
    </row>
    <row r="127" spans="1:34">
      <c r="C127" s="304">
        <f t="shared" si="29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8"/>
        <v>#VALUE!</v>
      </c>
    </row>
    <row r="128" spans="1:34">
      <c r="C128" s="304">
        <f t="shared" si="29"/>
        <v>8</v>
      </c>
      <c r="D128" s="305" t="e">
        <f t="shared" ref="D128:O139" si="30">D127</f>
        <v>#VALUE!</v>
      </c>
      <c r="E128" s="305" t="e">
        <f t="shared" si="30"/>
        <v>#VALUE!</v>
      </c>
      <c r="F128" s="305" t="e">
        <f t="shared" si="30"/>
        <v>#VALUE!</v>
      </c>
      <c r="G128" s="305" t="e">
        <f t="shared" si="30"/>
        <v>#VALUE!</v>
      </c>
      <c r="H128" s="305" t="e">
        <f t="shared" si="30"/>
        <v>#VALUE!</v>
      </c>
      <c r="I128" s="305" t="e">
        <f t="shared" si="30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8"/>
        <v>#VALUE!</v>
      </c>
    </row>
    <row r="129" spans="3:34">
      <c r="C129" s="304">
        <f t="shared" si="29"/>
        <v>9</v>
      </c>
      <c r="D129" s="305" t="e">
        <f t="shared" si="30"/>
        <v>#VALUE!</v>
      </c>
      <c r="E129" s="305" t="e">
        <f t="shared" si="30"/>
        <v>#VALUE!</v>
      </c>
      <c r="F129" s="305" t="e">
        <f t="shared" si="30"/>
        <v>#VALUE!</v>
      </c>
      <c r="G129" s="305" t="e">
        <f t="shared" si="30"/>
        <v>#VALUE!</v>
      </c>
      <c r="H129" s="305" t="e">
        <f t="shared" si="30"/>
        <v>#VALUE!</v>
      </c>
      <c r="I129" s="305" t="e">
        <f t="shared" si="30"/>
        <v>#VALUE!</v>
      </c>
      <c r="J129" s="305" t="e">
        <f t="shared" si="30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8"/>
        <v>#VALUE!</v>
      </c>
    </row>
    <row r="130" spans="3:34">
      <c r="C130" s="304">
        <f t="shared" si="29"/>
        <v>10</v>
      </c>
      <c r="D130" s="305" t="e">
        <f t="shared" si="30"/>
        <v>#VALUE!</v>
      </c>
      <c r="E130" s="305" t="e">
        <f t="shared" si="30"/>
        <v>#VALUE!</v>
      </c>
      <c r="F130" s="305" t="e">
        <f t="shared" si="30"/>
        <v>#VALUE!</v>
      </c>
      <c r="G130" s="305" t="e">
        <f t="shared" si="30"/>
        <v>#VALUE!</v>
      </c>
      <c r="H130" s="305" t="e">
        <f t="shared" si="30"/>
        <v>#VALUE!</v>
      </c>
      <c r="I130" s="305" t="e">
        <f t="shared" si="30"/>
        <v>#VALUE!</v>
      </c>
      <c r="J130" s="305" t="e">
        <f t="shared" si="30"/>
        <v>#VALUE!</v>
      </c>
      <c r="K130" s="305" t="e">
        <f t="shared" si="30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8"/>
        <v>#VALUE!</v>
      </c>
    </row>
    <row r="131" spans="3:34">
      <c r="C131" s="304">
        <f t="shared" si="29"/>
        <v>11</v>
      </c>
      <c r="D131" s="305" t="e">
        <f t="shared" si="30"/>
        <v>#VALUE!</v>
      </c>
      <c r="E131" s="305" t="e">
        <f t="shared" si="30"/>
        <v>#VALUE!</v>
      </c>
      <c r="F131" s="305" t="e">
        <f t="shared" si="30"/>
        <v>#VALUE!</v>
      </c>
      <c r="G131" s="305" t="e">
        <f t="shared" si="30"/>
        <v>#VALUE!</v>
      </c>
      <c r="H131" s="305" t="e">
        <f t="shared" si="30"/>
        <v>#VALUE!</v>
      </c>
      <c r="I131" s="305" t="e">
        <f t="shared" si="30"/>
        <v>#VALUE!</v>
      </c>
      <c r="J131" s="305" t="e">
        <f t="shared" si="30"/>
        <v>#VALUE!</v>
      </c>
      <c r="K131" s="305" t="e">
        <f t="shared" si="30"/>
        <v>#VALUE!</v>
      </c>
      <c r="L131" s="305" t="e">
        <f t="shared" si="30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8"/>
        <v>#VALUE!</v>
      </c>
    </row>
    <row r="132" spans="3:34">
      <c r="C132" s="304">
        <f t="shared" si="29"/>
        <v>12</v>
      </c>
      <c r="D132" s="305" t="e">
        <f t="shared" si="30"/>
        <v>#VALUE!</v>
      </c>
      <c r="E132" s="305" t="e">
        <f t="shared" si="30"/>
        <v>#VALUE!</v>
      </c>
      <c r="F132" s="305" t="e">
        <f t="shared" si="30"/>
        <v>#VALUE!</v>
      </c>
      <c r="G132" s="305" t="e">
        <f t="shared" si="30"/>
        <v>#VALUE!</v>
      </c>
      <c r="H132" s="305" t="e">
        <f t="shared" si="30"/>
        <v>#VALUE!</v>
      </c>
      <c r="I132" s="305" t="e">
        <f t="shared" si="30"/>
        <v>#VALUE!</v>
      </c>
      <c r="J132" s="305" t="e">
        <f t="shared" si="30"/>
        <v>#VALUE!</v>
      </c>
      <c r="K132" s="305" t="e">
        <f t="shared" si="30"/>
        <v>#VALUE!</v>
      </c>
      <c r="L132" s="305" t="e">
        <f t="shared" si="30"/>
        <v>#VALUE!</v>
      </c>
      <c r="M132" s="305" t="e">
        <f t="shared" si="30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8"/>
        <v>#VALUE!</v>
      </c>
    </row>
    <row r="133" spans="3:34">
      <c r="C133" s="304">
        <f t="shared" si="29"/>
        <v>13</v>
      </c>
      <c r="D133" s="305" t="e">
        <f t="shared" si="30"/>
        <v>#VALUE!</v>
      </c>
      <c r="E133" s="305" t="e">
        <f t="shared" si="30"/>
        <v>#VALUE!</v>
      </c>
      <c r="F133" s="305" t="e">
        <f t="shared" si="30"/>
        <v>#VALUE!</v>
      </c>
      <c r="G133" s="305" t="e">
        <f t="shared" si="30"/>
        <v>#VALUE!</v>
      </c>
      <c r="H133" s="305" t="e">
        <f t="shared" si="30"/>
        <v>#VALUE!</v>
      </c>
      <c r="I133" s="305" t="e">
        <f t="shared" si="30"/>
        <v>#VALUE!</v>
      </c>
      <c r="J133" s="305" t="e">
        <f t="shared" si="30"/>
        <v>#VALUE!</v>
      </c>
      <c r="K133" s="305" t="e">
        <f t="shared" si="30"/>
        <v>#VALUE!</v>
      </c>
      <c r="L133" s="305" t="e">
        <f t="shared" si="30"/>
        <v>#VALUE!</v>
      </c>
      <c r="M133" s="305" t="e">
        <f t="shared" si="30"/>
        <v>#VALUE!</v>
      </c>
      <c r="N133" s="305" t="e">
        <f t="shared" si="30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8"/>
        <v>#VALUE!</v>
      </c>
    </row>
    <row r="134" spans="3:34">
      <c r="C134" s="304">
        <f t="shared" si="29"/>
        <v>14</v>
      </c>
      <c r="D134" s="305" t="e">
        <f t="shared" si="30"/>
        <v>#VALUE!</v>
      </c>
      <c r="E134" s="305" t="e">
        <f t="shared" si="30"/>
        <v>#VALUE!</v>
      </c>
      <c r="F134" s="305" t="e">
        <f t="shared" si="30"/>
        <v>#VALUE!</v>
      </c>
      <c r="G134" s="305" t="e">
        <f t="shared" si="30"/>
        <v>#VALUE!</v>
      </c>
      <c r="H134" s="305" t="e">
        <f t="shared" si="30"/>
        <v>#VALUE!</v>
      </c>
      <c r="I134" s="305" t="e">
        <f t="shared" si="30"/>
        <v>#VALUE!</v>
      </c>
      <c r="J134" s="305" t="e">
        <f t="shared" si="30"/>
        <v>#VALUE!</v>
      </c>
      <c r="K134" s="305" t="e">
        <f t="shared" si="30"/>
        <v>#VALUE!</v>
      </c>
      <c r="L134" s="305" t="e">
        <f t="shared" si="30"/>
        <v>#VALUE!</v>
      </c>
      <c r="M134" s="305" t="e">
        <f t="shared" si="30"/>
        <v>#VALUE!</v>
      </c>
      <c r="N134" s="305" t="e">
        <f t="shared" si="30"/>
        <v>#VALUE!</v>
      </c>
      <c r="O134" s="305" t="e">
        <f t="shared" si="30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8"/>
        <v>#VALUE!</v>
      </c>
    </row>
    <row r="135" spans="3:34">
      <c r="C135" s="304">
        <f t="shared" si="29"/>
        <v>15</v>
      </c>
      <c r="D135" s="305" t="e">
        <f t="shared" si="30"/>
        <v>#VALUE!</v>
      </c>
      <c r="E135" s="305" t="e">
        <f t="shared" si="30"/>
        <v>#VALUE!</v>
      </c>
      <c r="F135" s="305" t="e">
        <f t="shared" si="30"/>
        <v>#VALUE!</v>
      </c>
      <c r="G135" s="305" t="e">
        <f t="shared" si="30"/>
        <v>#VALUE!</v>
      </c>
      <c r="H135" s="305" t="e">
        <f t="shared" si="30"/>
        <v>#VALUE!</v>
      </c>
      <c r="I135" s="305" t="e">
        <f t="shared" si="30"/>
        <v>#VALUE!</v>
      </c>
      <c r="J135" s="305" t="e">
        <f t="shared" si="30"/>
        <v>#VALUE!</v>
      </c>
      <c r="K135" s="305" t="e">
        <f t="shared" si="30"/>
        <v>#VALUE!</v>
      </c>
      <c r="L135" s="305" t="e">
        <f t="shared" si="30"/>
        <v>#VALUE!</v>
      </c>
      <c r="M135" s="305" t="e">
        <f t="shared" si="30"/>
        <v>#VALUE!</v>
      </c>
      <c r="N135" s="305" t="e">
        <f t="shared" si="30"/>
        <v>#VALUE!</v>
      </c>
      <c r="O135" s="305" t="e">
        <f t="shared" si="30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8"/>
        <v>#VALUE!</v>
      </c>
    </row>
    <row r="136" spans="3:34">
      <c r="C136" s="304">
        <f t="shared" si="29"/>
        <v>16</v>
      </c>
      <c r="D136" s="305" t="e">
        <f t="shared" si="30"/>
        <v>#VALUE!</v>
      </c>
      <c r="E136" s="305" t="e">
        <f t="shared" si="30"/>
        <v>#VALUE!</v>
      </c>
      <c r="F136" s="305" t="e">
        <f t="shared" si="30"/>
        <v>#VALUE!</v>
      </c>
      <c r="G136" s="305" t="e">
        <f t="shared" si="30"/>
        <v>#VALUE!</v>
      </c>
      <c r="H136" s="305" t="e">
        <f t="shared" si="30"/>
        <v>#VALUE!</v>
      </c>
      <c r="I136" s="305" t="e">
        <f t="shared" si="30"/>
        <v>#VALUE!</v>
      </c>
      <c r="J136" s="305" t="e">
        <f t="shared" si="30"/>
        <v>#VALUE!</v>
      </c>
      <c r="K136" s="305" t="e">
        <f t="shared" si="30"/>
        <v>#VALUE!</v>
      </c>
      <c r="L136" s="305" t="e">
        <f t="shared" si="30"/>
        <v>#VALUE!</v>
      </c>
      <c r="M136" s="305" t="e">
        <f t="shared" si="30"/>
        <v>#VALUE!</v>
      </c>
      <c r="N136" s="305" t="e">
        <f t="shared" si="30"/>
        <v>#VALUE!</v>
      </c>
      <c r="O136" s="305" t="e">
        <f t="shared" si="30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8"/>
        <v>#VALUE!</v>
      </c>
    </row>
    <row r="137" spans="3:34">
      <c r="C137" s="304">
        <f t="shared" si="29"/>
        <v>17</v>
      </c>
      <c r="D137" s="305"/>
      <c r="E137" s="305" t="e">
        <f t="shared" si="30"/>
        <v>#VALUE!</v>
      </c>
      <c r="F137" s="305" t="e">
        <f t="shared" si="30"/>
        <v>#VALUE!</v>
      </c>
      <c r="G137" s="305" t="e">
        <f t="shared" si="30"/>
        <v>#VALUE!</v>
      </c>
      <c r="H137" s="305" t="e">
        <f t="shared" si="30"/>
        <v>#VALUE!</v>
      </c>
      <c r="I137" s="305" t="e">
        <f t="shared" si="30"/>
        <v>#VALUE!</v>
      </c>
      <c r="J137" s="305" t="e">
        <f t="shared" si="30"/>
        <v>#VALUE!</v>
      </c>
      <c r="K137" s="305" t="e">
        <f t="shared" si="30"/>
        <v>#VALUE!</v>
      </c>
      <c r="L137" s="305" t="e">
        <f t="shared" si="30"/>
        <v>#VALUE!</v>
      </c>
      <c r="M137" s="305" t="e">
        <f t="shared" si="30"/>
        <v>#VALUE!</v>
      </c>
      <c r="N137" s="305" t="e">
        <f t="shared" si="30"/>
        <v>#VALUE!</v>
      </c>
      <c r="O137" s="305" t="e">
        <f t="shared" si="30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8"/>
        <v>#VALUE!</v>
      </c>
    </row>
    <row r="138" spans="3:34">
      <c r="C138" s="304">
        <f t="shared" si="29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0"/>
        <v>#VALUE!</v>
      </c>
      <c r="L138" s="305" t="e">
        <f t="shared" si="30"/>
        <v>#VALUE!</v>
      </c>
      <c r="M138" s="305" t="e">
        <f t="shared" si="30"/>
        <v>#VALUE!</v>
      </c>
      <c r="N138" s="305" t="e">
        <f t="shared" si="30"/>
        <v>#VALUE!</v>
      </c>
      <c r="O138" s="305" t="e">
        <f t="shared" si="30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8"/>
        <v>#VALUE!</v>
      </c>
    </row>
    <row r="139" spans="3:34">
      <c r="C139" s="304">
        <f t="shared" si="29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0"/>
        <v>#VALUE!</v>
      </c>
      <c r="L139" s="305" t="e">
        <f t="shared" si="30"/>
        <v>#VALUE!</v>
      </c>
      <c r="M139" s="305" t="e">
        <f t="shared" si="30"/>
        <v>#VALUE!</v>
      </c>
      <c r="N139" s="305" t="e">
        <f t="shared" si="30"/>
        <v>#VALUE!</v>
      </c>
      <c r="O139" s="305" t="e">
        <f t="shared" si="30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1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8"/>
        <v>#VALUE!</v>
      </c>
    </row>
    <row r="140" spans="3:34">
      <c r="C140" s="304">
        <f t="shared" si="29"/>
        <v>20</v>
      </c>
      <c r="D140" s="305"/>
      <c r="E140" s="305"/>
      <c r="F140" s="305"/>
      <c r="G140" s="305"/>
      <c r="H140" s="305" t="e">
        <f t="shared" ref="H140:R150" si="32">H139</f>
        <v>#VALUE!</v>
      </c>
      <c r="I140" s="305" t="e">
        <f t="shared" si="32"/>
        <v>#VALUE!</v>
      </c>
      <c r="J140" s="305" t="e">
        <f t="shared" si="32"/>
        <v>#VALUE!</v>
      </c>
      <c r="K140" s="305" t="e">
        <f t="shared" si="32"/>
        <v>#VALUE!</v>
      </c>
      <c r="L140" s="305" t="e">
        <f t="shared" si="32"/>
        <v>#VALUE!</v>
      </c>
      <c r="M140" s="305" t="e">
        <f t="shared" si="32"/>
        <v>#VALUE!</v>
      </c>
      <c r="N140" s="305" t="e">
        <f t="shared" si="32"/>
        <v>#VALUE!</v>
      </c>
      <c r="O140" s="305" t="e">
        <f t="shared" si="32"/>
        <v>#VALUE!</v>
      </c>
      <c r="P140" s="305" t="e">
        <f t="shared" si="32"/>
        <v>#VALUE!</v>
      </c>
      <c r="Q140" s="305" t="e">
        <f t="shared" si="32"/>
        <v>#VALUE!</v>
      </c>
      <c r="R140" s="305" t="e">
        <f t="shared" si="32"/>
        <v>#VALUE!</v>
      </c>
      <c r="S140" s="305" t="e">
        <f t="shared" si="31"/>
        <v>#VALUE!</v>
      </c>
      <c r="T140" s="305" t="e">
        <f t="shared" si="31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8"/>
        <v>#VALUE!</v>
      </c>
    </row>
    <row r="141" spans="3:34">
      <c r="C141" s="304">
        <f t="shared" si="29"/>
        <v>21</v>
      </c>
      <c r="D141" s="305"/>
      <c r="E141" s="305"/>
      <c r="F141" s="305"/>
      <c r="G141" s="305"/>
      <c r="H141" s="305"/>
      <c r="I141" s="305" t="e">
        <f t="shared" si="32"/>
        <v>#VALUE!</v>
      </c>
      <c r="J141" s="305" t="e">
        <f t="shared" si="32"/>
        <v>#VALUE!</v>
      </c>
      <c r="K141" s="305" t="e">
        <f t="shared" si="32"/>
        <v>#VALUE!</v>
      </c>
      <c r="L141" s="305" t="e">
        <f t="shared" si="32"/>
        <v>#VALUE!</v>
      </c>
      <c r="M141" s="305" t="e">
        <f t="shared" si="32"/>
        <v>#VALUE!</v>
      </c>
      <c r="N141" s="305" t="e">
        <f t="shared" si="32"/>
        <v>#VALUE!</v>
      </c>
      <c r="O141" s="305" t="e">
        <f t="shared" si="32"/>
        <v>#VALUE!</v>
      </c>
      <c r="P141" s="305" t="e">
        <f t="shared" si="32"/>
        <v>#VALUE!</v>
      </c>
      <c r="Q141" s="305" t="e">
        <f t="shared" si="32"/>
        <v>#VALUE!</v>
      </c>
      <c r="R141" s="305" t="e">
        <f t="shared" si="32"/>
        <v>#VALUE!</v>
      </c>
      <c r="S141" s="305" t="e">
        <f t="shared" si="31"/>
        <v>#VALUE!</v>
      </c>
      <c r="T141" s="305" t="e">
        <f t="shared" si="31"/>
        <v>#VALUE!</v>
      </c>
      <c r="U141" s="305" t="e">
        <f t="shared" si="31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8"/>
        <v>#VALUE!</v>
      </c>
    </row>
    <row r="142" spans="3:34">
      <c r="C142" s="330">
        <f t="shared" si="29"/>
        <v>22</v>
      </c>
      <c r="D142" s="305"/>
      <c r="E142" s="305"/>
      <c r="F142" s="305"/>
      <c r="G142" s="305"/>
      <c r="H142" s="305"/>
      <c r="I142" s="305"/>
      <c r="J142" s="305" t="e">
        <f t="shared" si="32"/>
        <v>#VALUE!</v>
      </c>
      <c r="K142" s="305" t="e">
        <f t="shared" si="32"/>
        <v>#VALUE!</v>
      </c>
      <c r="L142" s="305" t="e">
        <f t="shared" si="32"/>
        <v>#VALUE!</v>
      </c>
      <c r="M142" s="305" t="e">
        <f t="shared" si="32"/>
        <v>#VALUE!</v>
      </c>
      <c r="N142" s="305" t="e">
        <f t="shared" si="32"/>
        <v>#VALUE!</v>
      </c>
      <c r="O142" s="305" t="e">
        <f t="shared" si="32"/>
        <v>#VALUE!</v>
      </c>
      <c r="P142" s="305" t="e">
        <f t="shared" si="32"/>
        <v>#VALUE!</v>
      </c>
      <c r="Q142" s="305" t="e">
        <f t="shared" si="32"/>
        <v>#VALUE!</v>
      </c>
      <c r="R142" s="305" t="e">
        <f t="shared" si="32"/>
        <v>#VALUE!</v>
      </c>
      <c r="S142" s="305" t="e">
        <f t="shared" si="31"/>
        <v>#VALUE!</v>
      </c>
      <c r="T142" s="305" t="e">
        <f t="shared" si="31"/>
        <v>#VALUE!</v>
      </c>
      <c r="U142" s="305" t="e">
        <f t="shared" si="31"/>
        <v>#VALUE!</v>
      </c>
      <c r="V142" s="305" t="e">
        <f t="shared" si="31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8"/>
        <v>#VALUE!</v>
      </c>
    </row>
    <row r="143" spans="3:34">
      <c r="C143" s="330">
        <f t="shared" si="29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2"/>
        <v>#VALUE!</v>
      </c>
      <c r="L143" s="305" t="e">
        <f t="shared" si="32"/>
        <v>#VALUE!</v>
      </c>
      <c r="M143" s="305" t="e">
        <f t="shared" si="32"/>
        <v>#VALUE!</v>
      </c>
      <c r="N143" s="305" t="e">
        <f t="shared" si="32"/>
        <v>#VALUE!</v>
      </c>
      <c r="O143" s="305" t="e">
        <f t="shared" si="32"/>
        <v>#VALUE!</v>
      </c>
      <c r="P143" s="305" t="e">
        <f t="shared" si="32"/>
        <v>#VALUE!</v>
      </c>
      <c r="Q143" s="305" t="e">
        <f t="shared" si="32"/>
        <v>#VALUE!</v>
      </c>
      <c r="R143" s="305" t="e">
        <f t="shared" si="32"/>
        <v>#VALUE!</v>
      </c>
      <c r="S143" s="305" t="e">
        <f t="shared" si="31"/>
        <v>#VALUE!</v>
      </c>
      <c r="T143" s="305" t="e">
        <f t="shared" si="31"/>
        <v>#VALUE!</v>
      </c>
      <c r="U143" s="305" t="e">
        <f t="shared" si="31"/>
        <v>#VALUE!</v>
      </c>
      <c r="V143" s="305" t="e">
        <f t="shared" si="31"/>
        <v>#VALUE!</v>
      </c>
      <c r="W143" s="305" t="e">
        <f t="shared" si="31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8"/>
        <v>#VALUE!</v>
      </c>
    </row>
    <row r="144" spans="3:34">
      <c r="C144" s="330">
        <f t="shared" si="29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2"/>
        <v>#VALUE!</v>
      </c>
      <c r="M144" s="305" t="e">
        <f t="shared" si="32"/>
        <v>#VALUE!</v>
      </c>
      <c r="N144" s="305" t="e">
        <f t="shared" si="32"/>
        <v>#VALUE!</v>
      </c>
      <c r="O144" s="305" t="e">
        <f t="shared" si="32"/>
        <v>#VALUE!</v>
      </c>
      <c r="P144" s="305" t="e">
        <f t="shared" si="32"/>
        <v>#VALUE!</v>
      </c>
      <c r="Q144" s="305" t="e">
        <f t="shared" si="32"/>
        <v>#VALUE!</v>
      </c>
      <c r="R144" s="305" t="e">
        <f t="shared" si="32"/>
        <v>#VALUE!</v>
      </c>
      <c r="S144" s="305" t="e">
        <f t="shared" si="31"/>
        <v>#VALUE!</v>
      </c>
      <c r="T144" s="305" t="e">
        <f t="shared" si="31"/>
        <v>#VALUE!</v>
      </c>
      <c r="U144" s="305" t="e">
        <f t="shared" si="31"/>
        <v>#VALUE!</v>
      </c>
      <c r="V144" s="305" t="e">
        <f t="shared" si="31"/>
        <v>#VALUE!</v>
      </c>
      <c r="W144" s="305" t="e">
        <f t="shared" si="31"/>
        <v>#VALUE!</v>
      </c>
      <c r="X144" s="305" t="e">
        <f t="shared" si="31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8"/>
        <v>#VALUE!</v>
      </c>
    </row>
    <row r="145" spans="1:34">
      <c r="C145" s="330">
        <f t="shared" si="29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2"/>
        <v>#VALUE!</v>
      </c>
      <c r="N145" s="305" t="e">
        <f t="shared" si="32"/>
        <v>#VALUE!</v>
      </c>
      <c r="O145" s="305" t="e">
        <f t="shared" si="32"/>
        <v>#VALUE!</v>
      </c>
      <c r="P145" s="305" t="e">
        <f t="shared" si="32"/>
        <v>#VALUE!</v>
      </c>
      <c r="Q145" s="305" t="e">
        <f t="shared" si="32"/>
        <v>#VALUE!</v>
      </c>
      <c r="R145" s="305" t="e">
        <f t="shared" si="32"/>
        <v>#VALUE!</v>
      </c>
      <c r="S145" s="305" t="e">
        <f t="shared" si="31"/>
        <v>#VALUE!</v>
      </c>
      <c r="T145" s="305" t="e">
        <f t="shared" si="31"/>
        <v>#VALUE!</v>
      </c>
      <c r="U145" s="305" t="e">
        <f t="shared" si="31"/>
        <v>#VALUE!</v>
      </c>
      <c r="V145" s="305" t="e">
        <f t="shared" si="31"/>
        <v>#VALUE!</v>
      </c>
      <c r="W145" s="305" t="e">
        <f t="shared" si="31"/>
        <v>#VALUE!</v>
      </c>
      <c r="X145" s="305" t="e">
        <f t="shared" si="31"/>
        <v>#VALUE!</v>
      </c>
      <c r="Y145" s="305" t="e">
        <f t="shared" si="31"/>
        <v>#VALUE!</v>
      </c>
      <c r="Z145" s="305" t="e">
        <f t="shared" si="31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8"/>
        <v>#VALUE!</v>
      </c>
    </row>
    <row r="146" spans="1:34">
      <c r="C146" s="330">
        <f t="shared" si="29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2"/>
        <v>#VALUE!</v>
      </c>
      <c r="O146" s="305" t="e">
        <f t="shared" si="32"/>
        <v>#VALUE!</v>
      </c>
      <c r="P146" s="305" t="e">
        <f t="shared" si="32"/>
        <v>#VALUE!</v>
      </c>
      <c r="Q146" s="305" t="e">
        <f t="shared" si="32"/>
        <v>#VALUE!</v>
      </c>
      <c r="R146" s="305" t="e">
        <f t="shared" si="32"/>
        <v>#VALUE!</v>
      </c>
      <c r="S146" s="305" t="e">
        <f t="shared" si="31"/>
        <v>#VALUE!</v>
      </c>
      <c r="T146" s="305" t="e">
        <f t="shared" si="31"/>
        <v>#VALUE!</v>
      </c>
      <c r="U146" s="305" t="e">
        <f t="shared" si="31"/>
        <v>#VALUE!</v>
      </c>
      <c r="V146" s="305" t="e">
        <f t="shared" si="31"/>
        <v>#VALUE!</v>
      </c>
      <c r="W146" s="305" t="e">
        <f t="shared" si="31"/>
        <v>#VALUE!</v>
      </c>
      <c r="X146" s="305" t="e">
        <f t="shared" si="31"/>
        <v>#VALUE!</v>
      </c>
      <c r="Y146" s="305" t="e">
        <f t="shared" si="31"/>
        <v>#VALUE!</v>
      </c>
      <c r="Z146" s="305" t="e">
        <f t="shared" si="31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8"/>
        <v>#VALUE!</v>
      </c>
    </row>
    <row r="147" spans="1:34">
      <c r="C147" s="330">
        <f t="shared" si="29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2"/>
        <v>#VALUE!</v>
      </c>
      <c r="P147" s="305" t="e">
        <f t="shared" si="32"/>
        <v>#VALUE!</v>
      </c>
      <c r="Q147" s="305" t="e">
        <f t="shared" si="32"/>
        <v>#VALUE!</v>
      </c>
      <c r="R147" s="305" t="e">
        <f t="shared" si="32"/>
        <v>#VALUE!</v>
      </c>
      <c r="S147" s="305" t="e">
        <f t="shared" si="31"/>
        <v>#VALUE!</v>
      </c>
      <c r="T147" s="305" t="e">
        <f t="shared" si="31"/>
        <v>#VALUE!</v>
      </c>
      <c r="U147" s="305" t="e">
        <f t="shared" si="31"/>
        <v>#VALUE!</v>
      </c>
      <c r="V147" s="305" t="e">
        <f t="shared" si="31"/>
        <v>#VALUE!</v>
      </c>
      <c r="W147" s="305" t="e">
        <f t="shared" si="31"/>
        <v>#VALUE!</v>
      </c>
      <c r="X147" s="305" t="e">
        <f t="shared" si="31"/>
        <v>#VALUE!</v>
      </c>
      <c r="Y147" s="305" t="e">
        <f t="shared" si="31"/>
        <v>#VALUE!</v>
      </c>
      <c r="Z147" s="305" t="e">
        <f t="shared" si="31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8"/>
        <v>#VALUE!</v>
      </c>
    </row>
    <row r="148" spans="1:34">
      <c r="C148" s="330">
        <f t="shared" si="29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2"/>
        <v>#VALUE!</v>
      </c>
      <c r="Q148" s="305" t="e">
        <f t="shared" si="32"/>
        <v>#VALUE!</v>
      </c>
      <c r="R148" s="305" t="e">
        <f t="shared" si="32"/>
        <v>#VALUE!</v>
      </c>
      <c r="S148" s="305" t="e">
        <f t="shared" si="31"/>
        <v>#VALUE!</v>
      </c>
      <c r="T148" s="305" t="e">
        <f t="shared" si="31"/>
        <v>#VALUE!</v>
      </c>
      <c r="U148" s="305" t="e">
        <f t="shared" si="31"/>
        <v>#VALUE!</v>
      </c>
      <c r="V148" s="305" t="e">
        <f t="shared" si="31"/>
        <v>#VALUE!</v>
      </c>
      <c r="W148" s="305" t="e">
        <f t="shared" si="31"/>
        <v>#VALUE!</v>
      </c>
      <c r="X148" s="305" t="e">
        <f t="shared" si="31"/>
        <v>#VALUE!</v>
      </c>
      <c r="Y148" s="305" t="e">
        <f t="shared" si="31"/>
        <v>#VALUE!</v>
      </c>
      <c r="Z148" s="305" t="e">
        <f t="shared" si="31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8"/>
        <v>#VALUE!</v>
      </c>
    </row>
    <row r="149" spans="1:34">
      <c r="C149" s="307">
        <f t="shared" si="29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2"/>
        <v>#VALUE!</v>
      </c>
      <c r="R149" s="305" t="e">
        <f t="shared" si="32"/>
        <v>#VALUE!</v>
      </c>
      <c r="S149" s="305" t="e">
        <f t="shared" si="31"/>
        <v>#VALUE!</v>
      </c>
      <c r="T149" s="305" t="e">
        <f t="shared" si="31"/>
        <v>#VALUE!</v>
      </c>
      <c r="U149" s="305" t="e">
        <f t="shared" si="31"/>
        <v>#VALUE!</v>
      </c>
      <c r="V149" s="305" t="e">
        <f t="shared" si="31"/>
        <v>#VALUE!</v>
      </c>
      <c r="W149" s="305" t="e">
        <f t="shared" si="31"/>
        <v>#VALUE!</v>
      </c>
      <c r="X149" s="305" t="e">
        <f t="shared" si="31"/>
        <v>#VALUE!</v>
      </c>
      <c r="Y149" s="305" t="e">
        <f t="shared" si="31"/>
        <v>#VALUE!</v>
      </c>
      <c r="Z149" s="305" t="e">
        <f t="shared" si="31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8"/>
        <v>#VALUE!</v>
      </c>
    </row>
    <row r="150" spans="1:34" ht="13.5" thickBot="1">
      <c r="C150" s="307">
        <f t="shared" si="29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2"/>
        <v>#VALUE!</v>
      </c>
      <c r="S150" s="305" t="e">
        <f t="shared" si="31"/>
        <v>#VALUE!</v>
      </c>
      <c r="T150" s="305" t="e">
        <f t="shared" si="31"/>
        <v>#VALUE!</v>
      </c>
      <c r="U150" s="305" t="e">
        <f t="shared" si="31"/>
        <v>#VALUE!</v>
      </c>
      <c r="V150" s="305" t="e">
        <f t="shared" si="31"/>
        <v>#VALUE!</v>
      </c>
      <c r="W150" s="305" t="e">
        <f t="shared" si="31"/>
        <v>#VALUE!</v>
      </c>
      <c r="X150" s="305" t="e">
        <f t="shared" si="31"/>
        <v>#VALUE!</v>
      </c>
      <c r="Y150" s="305" t="e">
        <f t="shared" si="31"/>
        <v>#VALUE!</v>
      </c>
      <c r="Z150" s="305" t="e">
        <f t="shared" si="31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8"/>
        <v>#VALUE!</v>
      </c>
    </row>
    <row r="151" spans="1:34" ht="14.25" thickTop="1" thickBot="1">
      <c r="C151" s="311" t="s">
        <v>0</v>
      </c>
      <c r="D151" s="328" t="e">
        <f t="shared" ref="D151:AH151" si="33">SUM(D120:D150)</f>
        <v>#VALUE!</v>
      </c>
      <c r="E151" s="328" t="e">
        <f t="shared" si="33"/>
        <v>#VALUE!</v>
      </c>
      <c r="F151" s="328" t="e">
        <f t="shared" si="33"/>
        <v>#VALUE!</v>
      </c>
      <c r="G151" s="328" t="e">
        <f t="shared" si="33"/>
        <v>#VALUE!</v>
      </c>
      <c r="H151" s="328" t="e">
        <f t="shared" si="33"/>
        <v>#VALUE!</v>
      </c>
      <c r="I151" s="328" t="e">
        <f t="shared" si="33"/>
        <v>#VALUE!</v>
      </c>
      <c r="J151" s="328" t="e">
        <f t="shared" si="33"/>
        <v>#VALUE!</v>
      </c>
      <c r="K151" s="328" t="e">
        <f t="shared" si="33"/>
        <v>#VALUE!</v>
      </c>
      <c r="L151" s="328" t="e">
        <f t="shared" si="33"/>
        <v>#VALUE!</v>
      </c>
      <c r="M151" s="328" t="e">
        <f t="shared" si="33"/>
        <v>#VALUE!</v>
      </c>
      <c r="N151" s="328" t="e">
        <f t="shared" si="33"/>
        <v>#VALUE!</v>
      </c>
      <c r="O151" s="328" t="e">
        <f t="shared" si="33"/>
        <v>#VALUE!</v>
      </c>
      <c r="P151" s="328" t="e">
        <f t="shared" si="33"/>
        <v>#VALUE!</v>
      </c>
      <c r="Q151" s="328" t="e">
        <f t="shared" si="33"/>
        <v>#VALUE!</v>
      </c>
      <c r="R151" s="328" t="e">
        <f t="shared" si="33"/>
        <v>#VALUE!</v>
      </c>
      <c r="S151" s="328" t="e">
        <f t="shared" si="33"/>
        <v>#VALUE!</v>
      </c>
      <c r="T151" s="328" t="e">
        <f t="shared" si="33"/>
        <v>#VALUE!</v>
      </c>
      <c r="U151" s="328" t="e">
        <f t="shared" si="33"/>
        <v>#VALUE!</v>
      </c>
      <c r="V151" s="328" t="e">
        <f t="shared" si="33"/>
        <v>#VALUE!</v>
      </c>
      <c r="W151" s="328" t="e">
        <f t="shared" si="33"/>
        <v>#VALUE!</v>
      </c>
      <c r="X151" s="328" t="e">
        <f t="shared" si="33"/>
        <v>#VALUE!</v>
      </c>
      <c r="Y151" s="328" t="e">
        <f t="shared" si="33"/>
        <v>#VALUE!</v>
      </c>
      <c r="Z151" s="328" t="e">
        <f t="shared" si="33"/>
        <v>#VALUE!</v>
      </c>
      <c r="AA151" s="328" t="e">
        <f t="shared" si="33"/>
        <v>#VALUE!</v>
      </c>
      <c r="AB151" s="328" t="e">
        <f t="shared" si="33"/>
        <v>#VALUE!</v>
      </c>
      <c r="AC151" s="328" t="e">
        <f t="shared" si="33"/>
        <v>#VALUE!</v>
      </c>
      <c r="AD151" s="328" t="e">
        <f t="shared" si="33"/>
        <v>#VALUE!</v>
      </c>
      <c r="AE151" s="328" t="e">
        <f t="shared" si="33"/>
        <v>#VALUE!</v>
      </c>
      <c r="AF151" s="329" t="e">
        <f t="shared" si="33"/>
        <v>#VALUE!</v>
      </c>
      <c r="AG151" s="328">
        <f t="shared" si="33"/>
        <v>0</v>
      </c>
      <c r="AH151" s="315" t="e">
        <f t="shared" si="33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4">D156+1</f>
        <v>2</v>
      </c>
      <c r="F156" s="302">
        <f t="shared" si="34"/>
        <v>3</v>
      </c>
      <c r="G156" s="302">
        <f t="shared" si="34"/>
        <v>4</v>
      </c>
      <c r="H156" s="302">
        <f t="shared" si="34"/>
        <v>5</v>
      </c>
      <c r="I156" s="302">
        <f t="shared" si="34"/>
        <v>6</v>
      </c>
      <c r="J156" s="302">
        <f t="shared" si="34"/>
        <v>7</v>
      </c>
      <c r="K156" s="302">
        <f t="shared" si="34"/>
        <v>8</v>
      </c>
      <c r="L156" s="302">
        <f t="shared" si="34"/>
        <v>9</v>
      </c>
      <c r="M156" s="302">
        <f t="shared" si="34"/>
        <v>10</v>
      </c>
      <c r="N156" s="302">
        <f t="shared" si="34"/>
        <v>11</v>
      </c>
      <c r="O156" s="302">
        <f t="shared" si="34"/>
        <v>12</v>
      </c>
      <c r="P156" s="302">
        <f t="shared" si="34"/>
        <v>13</v>
      </c>
      <c r="Q156" s="302">
        <f t="shared" si="34"/>
        <v>14</v>
      </c>
      <c r="R156" s="302">
        <f t="shared" si="34"/>
        <v>15</v>
      </c>
      <c r="S156" s="302">
        <f t="shared" si="34"/>
        <v>16</v>
      </c>
      <c r="T156" s="302">
        <f t="shared" si="34"/>
        <v>17</v>
      </c>
      <c r="U156" s="302">
        <f t="shared" si="34"/>
        <v>18</v>
      </c>
      <c r="V156" s="302">
        <f t="shared" si="34"/>
        <v>19</v>
      </c>
      <c r="W156" s="302">
        <f t="shared" si="34"/>
        <v>20</v>
      </c>
      <c r="X156" s="302">
        <f t="shared" si="34"/>
        <v>21</v>
      </c>
      <c r="Y156" s="302">
        <f t="shared" si="34"/>
        <v>22</v>
      </c>
      <c r="Z156" s="302">
        <f t="shared" si="34"/>
        <v>23</v>
      </c>
      <c r="AA156" s="302">
        <f t="shared" si="34"/>
        <v>24</v>
      </c>
      <c r="AB156" s="302">
        <f t="shared" si="34"/>
        <v>25</v>
      </c>
      <c r="AC156" s="302">
        <f t="shared" si="34"/>
        <v>26</v>
      </c>
      <c r="AD156" s="302">
        <f t="shared" si="34"/>
        <v>27</v>
      </c>
      <c r="AE156" s="302">
        <f t="shared" si="34"/>
        <v>28</v>
      </c>
      <c r="AF156" s="302">
        <f t="shared" si="34"/>
        <v>29</v>
      </c>
      <c r="AG156" s="302">
        <f t="shared" si="34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5">SUM(D157:AG157)</f>
        <v>0</v>
      </c>
    </row>
    <row r="158" spans="1:34">
      <c r="C158" s="304">
        <f t="shared" ref="C158:C187" si="36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5"/>
        <v>0</v>
      </c>
    </row>
    <row r="159" spans="1:34">
      <c r="C159" s="304">
        <f t="shared" si="36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5"/>
        <v>#VALUE!</v>
      </c>
    </row>
    <row r="160" spans="1:34">
      <c r="C160" s="304">
        <f t="shared" si="36"/>
        <v>3</v>
      </c>
      <c r="D160" s="305" t="e">
        <f t="shared" ref="D160:O175" si="37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5"/>
        <v>#VALUE!</v>
      </c>
    </row>
    <row r="161" spans="3:34">
      <c r="C161" s="304">
        <f t="shared" si="36"/>
        <v>4</v>
      </c>
      <c r="D161" s="305" t="e">
        <f t="shared" si="37"/>
        <v>#VALUE!</v>
      </c>
      <c r="E161" s="305" t="e">
        <f t="shared" si="37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5"/>
        <v>#VALUE!</v>
      </c>
    </row>
    <row r="162" spans="3:34">
      <c r="C162" s="304">
        <f t="shared" si="36"/>
        <v>5</v>
      </c>
      <c r="D162" s="305" t="e">
        <f t="shared" si="37"/>
        <v>#VALUE!</v>
      </c>
      <c r="E162" s="305" t="e">
        <f t="shared" si="37"/>
        <v>#VALUE!</v>
      </c>
      <c r="F162" s="305" t="e">
        <f t="shared" si="37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5"/>
        <v>#VALUE!</v>
      </c>
    </row>
    <row r="163" spans="3:34">
      <c r="C163" s="304">
        <f t="shared" si="36"/>
        <v>6</v>
      </c>
      <c r="D163" s="305" t="e">
        <f t="shared" si="37"/>
        <v>#VALUE!</v>
      </c>
      <c r="E163" s="305" t="e">
        <f t="shared" si="37"/>
        <v>#VALUE!</v>
      </c>
      <c r="F163" s="305" t="e">
        <f t="shared" si="37"/>
        <v>#VALUE!</v>
      </c>
      <c r="G163" s="305" t="e">
        <f t="shared" si="37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5"/>
        <v>#VALUE!</v>
      </c>
    </row>
    <row r="164" spans="3:34">
      <c r="C164" s="304">
        <f t="shared" si="36"/>
        <v>7</v>
      </c>
      <c r="D164" s="305" t="e">
        <f t="shared" si="37"/>
        <v>#VALUE!</v>
      </c>
      <c r="E164" s="305" t="e">
        <f t="shared" si="37"/>
        <v>#VALUE!</v>
      </c>
      <c r="F164" s="305" t="e">
        <f t="shared" si="37"/>
        <v>#VALUE!</v>
      </c>
      <c r="G164" s="305" t="e">
        <f t="shared" si="37"/>
        <v>#VALUE!</v>
      </c>
      <c r="H164" s="305" t="e">
        <f t="shared" si="37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5"/>
        <v>#VALUE!</v>
      </c>
    </row>
    <row r="165" spans="3:34">
      <c r="C165" s="304">
        <f t="shared" si="36"/>
        <v>8</v>
      </c>
      <c r="D165" s="305" t="e">
        <f t="shared" si="37"/>
        <v>#VALUE!</v>
      </c>
      <c r="E165" s="305" t="e">
        <f t="shared" si="37"/>
        <v>#VALUE!</v>
      </c>
      <c r="F165" s="305" t="e">
        <f t="shared" si="37"/>
        <v>#VALUE!</v>
      </c>
      <c r="G165" s="305" t="e">
        <f t="shared" si="37"/>
        <v>#VALUE!</v>
      </c>
      <c r="H165" s="305" t="e">
        <f t="shared" si="37"/>
        <v>#VALUE!</v>
      </c>
      <c r="I165" s="305" t="e">
        <f t="shared" si="37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5"/>
        <v>#VALUE!</v>
      </c>
    </row>
    <row r="166" spans="3:34">
      <c r="C166" s="304">
        <f t="shared" si="36"/>
        <v>9</v>
      </c>
      <c r="D166" s="305" t="e">
        <f t="shared" si="37"/>
        <v>#VALUE!</v>
      </c>
      <c r="E166" s="305" t="e">
        <f t="shared" si="37"/>
        <v>#VALUE!</v>
      </c>
      <c r="F166" s="305" t="e">
        <f t="shared" si="37"/>
        <v>#VALUE!</v>
      </c>
      <c r="G166" s="305" t="e">
        <f t="shared" si="37"/>
        <v>#VALUE!</v>
      </c>
      <c r="H166" s="305" t="e">
        <f t="shared" si="37"/>
        <v>#VALUE!</v>
      </c>
      <c r="I166" s="305" t="e">
        <f t="shared" si="37"/>
        <v>#VALUE!</v>
      </c>
      <c r="J166" s="305" t="e">
        <f t="shared" si="37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5"/>
        <v>#VALUE!</v>
      </c>
    </row>
    <row r="167" spans="3:34">
      <c r="C167" s="304">
        <f t="shared" si="36"/>
        <v>10</v>
      </c>
      <c r="D167" s="305" t="e">
        <f t="shared" si="37"/>
        <v>#VALUE!</v>
      </c>
      <c r="E167" s="305" t="e">
        <f t="shared" si="37"/>
        <v>#VALUE!</v>
      </c>
      <c r="F167" s="305" t="e">
        <f t="shared" si="37"/>
        <v>#VALUE!</v>
      </c>
      <c r="G167" s="305" t="e">
        <f t="shared" si="37"/>
        <v>#VALUE!</v>
      </c>
      <c r="H167" s="305" t="e">
        <f t="shared" si="37"/>
        <v>#VALUE!</v>
      </c>
      <c r="I167" s="305" t="e">
        <f t="shared" si="37"/>
        <v>#VALUE!</v>
      </c>
      <c r="J167" s="305" t="e">
        <f t="shared" si="37"/>
        <v>#VALUE!</v>
      </c>
      <c r="K167" s="305" t="e">
        <f t="shared" si="37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5"/>
        <v>#VALUE!</v>
      </c>
    </row>
    <row r="168" spans="3:34">
      <c r="C168" s="304">
        <f t="shared" si="36"/>
        <v>11</v>
      </c>
      <c r="D168" s="305" t="e">
        <f t="shared" si="37"/>
        <v>#VALUE!</v>
      </c>
      <c r="E168" s="305" t="e">
        <f t="shared" si="37"/>
        <v>#VALUE!</v>
      </c>
      <c r="F168" s="305" t="e">
        <f t="shared" si="37"/>
        <v>#VALUE!</v>
      </c>
      <c r="G168" s="305" t="e">
        <f t="shared" si="37"/>
        <v>#VALUE!</v>
      </c>
      <c r="H168" s="305" t="e">
        <f t="shared" si="37"/>
        <v>#VALUE!</v>
      </c>
      <c r="I168" s="305" t="e">
        <f t="shared" si="37"/>
        <v>#VALUE!</v>
      </c>
      <c r="J168" s="305" t="e">
        <f t="shared" si="37"/>
        <v>#VALUE!</v>
      </c>
      <c r="K168" s="305" t="e">
        <f t="shared" si="37"/>
        <v>#VALUE!</v>
      </c>
      <c r="L168" s="305" t="e">
        <f t="shared" si="37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5"/>
        <v>#VALUE!</v>
      </c>
    </row>
    <row r="169" spans="3:34">
      <c r="C169" s="304">
        <f t="shared" si="36"/>
        <v>12</v>
      </c>
      <c r="D169" s="305" t="e">
        <f t="shared" si="37"/>
        <v>#VALUE!</v>
      </c>
      <c r="E169" s="305" t="e">
        <f t="shared" si="37"/>
        <v>#VALUE!</v>
      </c>
      <c r="F169" s="305" t="e">
        <f t="shared" si="37"/>
        <v>#VALUE!</v>
      </c>
      <c r="G169" s="305" t="e">
        <f t="shared" si="37"/>
        <v>#VALUE!</v>
      </c>
      <c r="H169" s="305" t="e">
        <f t="shared" si="37"/>
        <v>#VALUE!</v>
      </c>
      <c r="I169" s="305" t="e">
        <f t="shared" si="37"/>
        <v>#VALUE!</v>
      </c>
      <c r="J169" s="305" t="e">
        <f t="shared" si="37"/>
        <v>#VALUE!</v>
      </c>
      <c r="K169" s="305" t="e">
        <f t="shared" si="37"/>
        <v>#VALUE!</v>
      </c>
      <c r="L169" s="305" t="e">
        <f t="shared" si="37"/>
        <v>#VALUE!</v>
      </c>
      <c r="M169" s="305" t="e">
        <f t="shared" si="37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5"/>
        <v>#VALUE!</v>
      </c>
    </row>
    <row r="170" spans="3:34">
      <c r="C170" s="304">
        <f t="shared" si="36"/>
        <v>13</v>
      </c>
      <c r="D170" s="305" t="e">
        <f t="shared" si="37"/>
        <v>#VALUE!</v>
      </c>
      <c r="E170" s="305" t="e">
        <f t="shared" si="37"/>
        <v>#VALUE!</v>
      </c>
      <c r="F170" s="305" t="e">
        <f t="shared" si="37"/>
        <v>#VALUE!</v>
      </c>
      <c r="G170" s="305" t="e">
        <f t="shared" si="37"/>
        <v>#VALUE!</v>
      </c>
      <c r="H170" s="305" t="e">
        <f t="shared" si="37"/>
        <v>#VALUE!</v>
      </c>
      <c r="I170" s="305" t="e">
        <f t="shared" si="37"/>
        <v>#VALUE!</v>
      </c>
      <c r="J170" s="305" t="e">
        <f t="shared" si="37"/>
        <v>#VALUE!</v>
      </c>
      <c r="K170" s="305" t="e">
        <f t="shared" si="37"/>
        <v>#VALUE!</v>
      </c>
      <c r="L170" s="305" t="e">
        <f t="shared" si="37"/>
        <v>#VALUE!</v>
      </c>
      <c r="M170" s="305" t="e">
        <f t="shared" si="37"/>
        <v>#VALUE!</v>
      </c>
      <c r="N170" s="305" t="e">
        <f t="shared" si="37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5"/>
        <v>#VALUE!</v>
      </c>
    </row>
    <row r="171" spans="3:34">
      <c r="C171" s="304">
        <f t="shared" si="36"/>
        <v>14</v>
      </c>
      <c r="D171" s="305"/>
      <c r="E171" s="305" t="e">
        <f t="shared" si="37"/>
        <v>#VALUE!</v>
      </c>
      <c r="F171" s="305" t="e">
        <f t="shared" si="37"/>
        <v>#VALUE!</v>
      </c>
      <c r="G171" s="305" t="e">
        <f t="shared" si="37"/>
        <v>#VALUE!</v>
      </c>
      <c r="H171" s="305" t="e">
        <f t="shared" si="37"/>
        <v>#VALUE!</v>
      </c>
      <c r="I171" s="305" t="e">
        <f t="shared" si="37"/>
        <v>#VALUE!</v>
      </c>
      <c r="J171" s="305" t="e">
        <f t="shared" si="37"/>
        <v>#VALUE!</v>
      </c>
      <c r="K171" s="305" t="e">
        <f t="shared" si="37"/>
        <v>#VALUE!</v>
      </c>
      <c r="L171" s="305" t="e">
        <f t="shared" si="37"/>
        <v>#VALUE!</v>
      </c>
      <c r="M171" s="305" t="e">
        <f t="shared" si="37"/>
        <v>#VALUE!</v>
      </c>
      <c r="N171" s="305" t="e">
        <f t="shared" si="37"/>
        <v>#VALUE!</v>
      </c>
      <c r="O171" s="305" t="e">
        <f t="shared" si="37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5"/>
        <v>#VALUE!</v>
      </c>
    </row>
    <row r="172" spans="3:34">
      <c r="C172" s="304">
        <f t="shared" si="36"/>
        <v>15</v>
      </c>
      <c r="D172" s="305"/>
      <c r="E172" s="305"/>
      <c r="F172" s="305" t="e">
        <f t="shared" si="37"/>
        <v>#VALUE!</v>
      </c>
      <c r="G172" s="305" t="e">
        <f t="shared" si="37"/>
        <v>#VALUE!</v>
      </c>
      <c r="H172" s="305" t="e">
        <f t="shared" si="37"/>
        <v>#VALUE!</v>
      </c>
      <c r="I172" s="305" t="e">
        <f t="shared" si="37"/>
        <v>#VALUE!</v>
      </c>
      <c r="J172" s="305" t="e">
        <f t="shared" si="37"/>
        <v>#VALUE!</v>
      </c>
      <c r="K172" s="305" t="e">
        <f t="shared" si="37"/>
        <v>#VALUE!</v>
      </c>
      <c r="L172" s="305" t="e">
        <f t="shared" si="37"/>
        <v>#VALUE!</v>
      </c>
      <c r="M172" s="305" t="e">
        <f t="shared" si="37"/>
        <v>#VALUE!</v>
      </c>
      <c r="N172" s="305" t="e">
        <f t="shared" si="37"/>
        <v>#VALUE!</v>
      </c>
      <c r="O172" s="305" t="e">
        <f t="shared" si="37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5"/>
        <v>#VALUE!</v>
      </c>
    </row>
    <row r="173" spans="3:34">
      <c r="C173" s="304">
        <f t="shared" si="36"/>
        <v>16</v>
      </c>
      <c r="D173" s="305"/>
      <c r="E173" s="305"/>
      <c r="F173" s="305"/>
      <c r="G173" s="305" t="e">
        <f t="shared" si="37"/>
        <v>#VALUE!</v>
      </c>
      <c r="H173" s="305" t="e">
        <f t="shared" si="37"/>
        <v>#VALUE!</v>
      </c>
      <c r="I173" s="305" t="e">
        <f t="shared" si="37"/>
        <v>#VALUE!</v>
      </c>
      <c r="J173" s="305" t="e">
        <f t="shared" si="37"/>
        <v>#VALUE!</v>
      </c>
      <c r="K173" s="305" t="e">
        <f t="shared" si="37"/>
        <v>#VALUE!</v>
      </c>
      <c r="L173" s="305" t="e">
        <f t="shared" si="37"/>
        <v>#VALUE!</v>
      </c>
      <c r="M173" s="305" t="e">
        <f t="shared" si="37"/>
        <v>#VALUE!</v>
      </c>
      <c r="N173" s="305" t="e">
        <f t="shared" si="37"/>
        <v>#VALUE!</v>
      </c>
      <c r="O173" s="305" t="e">
        <f t="shared" si="37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5"/>
        <v>#VALUE!</v>
      </c>
    </row>
    <row r="174" spans="3:34">
      <c r="C174" s="304">
        <f t="shared" si="36"/>
        <v>17</v>
      </c>
      <c r="D174" s="305"/>
      <c r="E174" s="305"/>
      <c r="F174" s="305"/>
      <c r="G174" s="305"/>
      <c r="H174" s="305" t="e">
        <f t="shared" si="37"/>
        <v>#VALUE!</v>
      </c>
      <c r="I174" s="305" t="e">
        <f t="shared" si="37"/>
        <v>#VALUE!</v>
      </c>
      <c r="J174" s="305" t="e">
        <f t="shared" si="37"/>
        <v>#VALUE!</v>
      </c>
      <c r="K174" s="305" t="e">
        <f t="shared" si="37"/>
        <v>#VALUE!</v>
      </c>
      <c r="L174" s="305" t="e">
        <f t="shared" si="37"/>
        <v>#VALUE!</v>
      </c>
      <c r="M174" s="305" t="e">
        <f t="shared" si="37"/>
        <v>#VALUE!</v>
      </c>
      <c r="N174" s="305" t="e">
        <f t="shared" si="37"/>
        <v>#VALUE!</v>
      </c>
      <c r="O174" s="305" t="e">
        <f t="shared" si="37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5"/>
        <v>#VALUE!</v>
      </c>
    </row>
    <row r="175" spans="3:34">
      <c r="C175" s="304">
        <f t="shared" si="36"/>
        <v>18</v>
      </c>
      <c r="D175" s="305"/>
      <c r="E175" s="305"/>
      <c r="F175" s="305"/>
      <c r="G175" s="305"/>
      <c r="H175" s="305"/>
      <c r="I175" s="305" t="e">
        <f t="shared" si="37"/>
        <v>#VALUE!</v>
      </c>
      <c r="J175" s="305" t="e">
        <f t="shared" si="37"/>
        <v>#VALUE!</v>
      </c>
      <c r="K175" s="305" t="e">
        <f t="shared" si="37"/>
        <v>#VALUE!</v>
      </c>
      <c r="L175" s="305" t="e">
        <f t="shared" si="37"/>
        <v>#VALUE!</v>
      </c>
      <c r="M175" s="305" t="e">
        <f t="shared" si="37"/>
        <v>#VALUE!</v>
      </c>
      <c r="N175" s="305" t="e">
        <f t="shared" si="37"/>
        <v>#VALUE!</v>
      </c>
      <c r="O175" s="305" t="e">
        <f t="shared" si="37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5"/>
        <v>#VALUE!</v>
      </c>
    </row>
    <row r="176" spans="3:34">
      <c r="C176" s="304">
        <f t="shared" si="36"/>
        <v>19</v>
      </c>
      <c r="D176" s="305"/>
      <c r="E176" s="305"/>
      <c r="F176" s="305"/>
      <c r="G176" s="305"/>
      <c r="H176" s="305"/>
      <c r="I176" s="305"/>
      <c r="J176" s="305" t="e">
        <f t="shared" ref="J176:Y187" si="38">J175</f>
        <v>#VALUE!</v>
      </c>
      <c r="K176" s="305" t="e">
        <f t="shared" si="38"/>
        <v>#VALUE!</v>
      </c>
      <c r="L176" s="305" t="e">
        <f t="shared" si="38"/>
        <v>#VALUE!</v>
      </c>
      <c r="M176" s="305" t="e">
        <f t="shared" si="38"/>
        <v>#VALUE!</v>
      </c>
      <c r="N176" s="305" t="e">
        <f t="shared" si="38"/>
        <v>#VALUE!</v>
      </c>
      <c r="O176" s="305" t="e">
        <f t="shared" si="38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5"/>
        <v>#VALUE!</v>
      </c>
    </row>
    <row r="177" spans="1:34">
      <c r="C177" s="304">
        <f t="shared" si="36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8"/>
        <v>#VALUE!</v>
      </c>
      <c r="L177" s="305" t="e">
        <f t="shared" si="38"/>
        <v>#VALUE!</v>
      </c>
      <c r="M177" s="305" t="e">
        <f t="shared" si="38"/>
        <v>#VALUE!</v>
      </c>
      <c r="N177" s="305" t="e">
        <f t="shared" si="38"/>
        <v>#VALUE!</v>
      </c>
      <c r="O177" s="305" t="e">
        <f t="shared" si="38"/>
        <v>#VALUE!</v>
      </c>
      <c r="P177" s="305" t="e">
        <f t="shared" si="38"/>
        <v>#VALUE!</v>
      </c>
      <c r="Q177" s="305" t="e">
        <f t="shared" si="38"/>
        <v>#VALUE!</v>
      </c>
      <c r="R177" s="305" t="e">
        <f t="shared" si="38"/>
        <v>#VALUE!</v>
      </c>
      <c r="S177" s="305" t="e">
        <f t="shared" si="38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5"/>
        <v>#VALUE!</v>
      </c>
    </row>
    <row r="178" spans="1:34">
      <c r="C178" s="304">
        <f t="shared" si="36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8"/>
        <v>#VALUE!</v>
      </c>
      <c r="M178" s="305" t="e">
        <f t="shared" si="38"/>
        <v>#VALUE!</v>
      </c>
      <c r="N178" s="305" t="e">
        <f t="shared" si="38"/>
        <v>#VALUE!</v>
      </c>
      <c r="O178" s="305" t="e">
        <f t="shared" si="38"/>
        <v>#VALUE!</v>
      </c>
      <c r="P178" s="305" t="e">
        <f t="shared" si="38"/>
        <v>#VALUE!</v>
      </c>
      <c r="Q178" s="305" t="e">
        <f t="shared" si="38"/>
        <v>#VALUE!</v>
      </c>
      <c r="R178" s="305" t="e">
        <f t="shared" si="38"/>
        <v>#VALUE!</v>
      </c>
      <c r="S178" s="305" t="e">
        <f t="shared" si="38"/>
        <v>#VALUE!</v>
      </c>
      <c r="T178" s="305" t="e">
        <f t="shared" si="38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5"/>
        <v>#VALUE!</v>
      </c>
    </row>
    <row r="179" spans="1:34">
      <c r="C179" s="330">
        <f t="shared" si="36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8"/>
        <v>#VALUE!</v>
      </c>
      <c r="N179" s="305" t="e">
        <f t="shared" si="38"/>
        <v>#VALUE!</v>
      </c>
      <c r="O179" s="305" t="e">
        <f t="shared" si="38"/>
        <v>#VALUE!</v>
      </c>
      <c r="P179" s="305" t="e">
        <f t="shared" si="38"/>
        <v>#VALUE!</v>
      </c>
      <c r="Q179" s="305" t="e">
        <f t="shared" si="38"/>
        <v>#VALUE!</v>
      </c>
      <c r="R179" s="305" t="e">
        <f t="shared" si="38"/>
        <v>#VALUE!</v>
      </c>
      <c r="S179" s="305" t="e">
        <f t="shared" si="38"/>
        <v>#VALUE!</v>
      </c>
      <c r="T179" s="305" t="e">
        <f t="shared" si="38"/>
        <v>#VALUE!</v>
      </c>
      <c r="U179" s="305" t="e">
        <f t="shared" si="38"/>
        <v>#VALUE!</v>
      </c>
      <c r="V179" s="305" t="e">
        <f t="shared" si="38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5"/>
        <v>#VALUE!</v>
      </c>
    </row>
    <row r="180" spans="1:34">
      <c r="C180" s="330">
        <f t="shared" si="36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8"/>
        <v>#VALUE!</v>
      </c>
      <c r="O180" s="305" t="e">
        <f t="shared" si="38"/>
        <v>#VALUE!</v>
      </c>
      <c r="P180" s="305" t="e">
        <f t="shared" si="38"/>
        <v>#VALUE!</v>
      </c>
      <c r="Q180" s="305" t="e">
        <f t="shared" si="38"/>
        <v>#VALUE!</v>
      </c>
      <c r="R180" s="305" t="e">
        <f t="shared" si="38"/>
        <v>#VALUE!</v>
      </c>
      <c r="S180" s="305" t="e">
        <f t="shared" si="38"/>
        <v>#VALUE!</v>
      </c>
      <c r="T180" s="305" t="e">
        <f t="shared" si="38"/>
        <v>#VALUE!</v>
      </c>
      <c r="U180" s="305" t="e">
        <f t="shared" si="38"/>
        <v>#VALUE!</v>
      </c>
      <c r="V180" s="305" t="e">
        <f t="shared" si="38"/>
        <v>#VALUE!</v>
      </c>
      <c r="W180" s="305" t="e">
        <f t="shared" si="38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5"/>
        <v>#VALUE!</v>
      </c>
    </row>
    <row r="181" spans="1:34">
      <c r="C181" s="330">
        <f t="shared" si="36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8"/>
        <v>#VALUE!</v>
      </c>
      <c r="P181" s="305" t="e">
        <f t="shared" si="38"/>
        <v>#VALUE!</v>
      </c>
      <c r="Q181" s="305" t="e">
        <f t="shared" si="38"/>
        <v>#VALUE!</v>
      </c>
      <c r="R181" s="305" t="e">
        <f t="shared" si="38"/>
        <v>#VALUE!</v>
      </c>
      <c r="S181" s="305" t="e">
        <f t="shared" si="38"/>
        <v>#VALUE!</v>
      </c>
      <c r="T181" s="305" t="e">
        <f t="shared" si="38"/>
        <v>#VALUE!</v>
      </c>
      <c r="U181" s="305" t="e">
        <f t="shared" si="38"/>
        <v>#VALUE!</v>
      </c>
      <c r="V181" s="305" t="e">
        <f t="shared" si="38"/>
        <v>#VALUE!</v>
      </c>
      <c r="W181" s="305" t="e">
        <f t="shared" si="38"/>
        <v>#VALUE!</v>
      </c>
      <c r="X181" s="305" t="e">
        <f t="shared" si="38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5"/>
        <v>#VALUE!</v>
      </c>
    </row>
    <row r="182" spans="1:34">
      <c r="C182" s="330">
        <f t="shared" si="36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8"/>
        <v>#VALUE!</v>
      </c>
      <c r="Q182" s="305" t="e">
        <f t="shared" si="38"/>
        <v>#VALUE!</v>
      </c>
      <c r="R182" s="305" t="e">
        <f t="shared" si="38"/>
        <v>#VALUE!</v>
      </c>
      <c r="S182" s="305" t="e">
        <f t="shared" si="38"/>
        <v>#VALUE!</v>
      </c>
      <c r="T182" s="305" t="e">
        <f t="shared" si="38"/>
        <v>#VALUE!</v>
      </c>
      <c r="U182" s="305" t="e">
        <f t="shared" si="38"/>
        <v>#VALUE!</v>
      </c>
      <c r="V182" s="305" t="e">
        <f t="shared" si="38"/>
        <v>#VALUE!</v>
      </c>
      <c r="W182" s="305" t="e">
        <f t="shared" si="38"/>
        <v>#VALUE!</v>
      </c>
      <c r="X182" s="305" t="e">
        <f t="shared" si="38"/>
        <v>#VALUE!</v>
      </c>
      <c r="Y182" s="305" t="e">
        <f t="shared" si="38"/>
        <v>#VALUE!</v>
      </c>
      <c r="Z182" s="305" t="e">
        <f t="shared" ref="Z182:Z187" si="39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5"/>
        <v>#VALUE!</v>
      </c>
    </row>
    <row r="183" spans="1:34">
      <c r="C183" s="330">
        <f t="shared" si="36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8"/>
        <v>#VALUE!</v>
      </c>
      <c r="R183" s="305" t="e">
        <f t="shared" si="38"/>
        <v>#VALUE!</v>
      </c>
      <c r="S183" s="305" t="e">
        <f t="shared" si="38"/>
        <v>#VALUE!</v>
      </c>
      <c r="T183" s="305" t="e">
        <f t="shared" si="38"/>
        <v>#VALUE!</v>
      </c>
      <c r="U183" s="305" t="e">
        <f t="shared" si="38"/>
        <v>#VALUE!</v>
      </c>
      <c r="V183" s="305" t="e">
        <f t="shared" si="38"/>
        <v>#VALUE!</v>
      </c>
      <c r="W183" s="305" t="e">
        <f t="shared" si="38"/>
        <v>#VALUE!</v>
      </c>
      <c r="X183" s="305" t="e">
        <f t="shared" si="38"/>
        <v>#VALUE!</v>
      </c>
      <c r="Y183" s="305" t="e">
        <f t="shared" si="38"/>
        <v>#VALUE!</v>
      </c>
      <c r="Z183" s="305" t="e">
        <f t="shared" si="39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5"/>
        <v>#VALUE!</v>
      </c>
    </row>
    <row r="184" spans="1:34">
      <c r="C184" s="330">
        <f t="shared" si="36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8"/>
        <v>#VALUE!</v>
      </c>
      <c r="S184" s="305" t="e">
        <f t="shared" si="38"/>
        <v>#VALUE!</v>
      </c>
      <c r="T184" s="305" t="e">
        <f t="shared" si="38"/>
        <v>#VALUE!</v>
      </c>
      <c r="U184" s="305" t="e">
        <f t="shared" si="38"/>
        <v>#VALUE!</v>
      </c>
      <c r="V184" s="305" t="e">
        <f t="shared" si="38"/>
        <v>#VALUE!</v>
      </c>
      <c r="W184" s="305" t="e">
        <f t="shared" si="38"/>
        <v>#VALUE!</v>
      </c>
      <c r="X184" s="305" t="e">
        <f t="shared" si="38"/>
        <v>#VALUE!</v>
      </c>
      <c r="Y184" s="305" t="e">
        <f t="shared" si="38"/>
        <v>#VALUE!</v>
      </c>
      <c r="Z184" s="305" t="e">
        <f t="shared" si="39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5"/>
        <v>#VALUE!</v>
      </c>
    </row>
    <row r="185" spans="1:34">
      <c r="C185" s="330">
        <f t="shared" si="36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8"/>
        <v>#VALUE!</v>
      </c>
      <c r="T185" s="305" t="e">
        <f t="shared" si="38"/>
        <v>#VALUE!</v>
      </c>
      <c r="U185" s="305" t="e">
        <f t="shared" si="38"/>
        <v>#VALUE!</v>
      </c>
      <c r="V185" s="305" t="e">
        <f t="shared" si="38"/>
        <v>#VALUE!</v>
      </c>
      <c r="W185" s="305" t="e">
        <f t="shared" si="38"/>
        <v>#VALUE!</v>
      </c>
      <c r="X185" s="305" t="e">
        <f t="shared" si="38"/>
        <v>#VALUE!</v>
      </c>
      <c r="Y185" s="305" t="e">
        <f t="shared" si="38"/>
        <v>#VALUE!</v>
      </c>
      <c r="Z185" s="305" t="e">
        <f t="shared" si="39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5"/>
        <v>#VALUE!</v>
      </c>
    </row>
    <row r="186" spans="1:34">
      <c r="C186" s="330">
        <f t="shared" si="36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8"/>
        <v>#VALUE!</v>
      </c>
      <c r="U186" s="305" t="e">
        <f t="shared" si="38"/>
        <v>#VALUE!</v>
      </c>
      <c r="V186" s="305" t="e">
        <f t="shared" si="38"/>
        <v>#VALUE!</v>
      </c>
      <c r="W186" s="305" t="e">
        <f t="shared" si="38"/>
        <v>#VALUE!</v>
      </c>
      <c r="X186" s="305" t="e">
        <f t="shared" si="38"/>
        <v>#VALUE!</v>
      </c>
      <c r="Y186" s="305" t="e">
        <f t="shared" si="38"/>
        <v>#VALUE!</v>
      </c>
      <c r="Z186" s="305" t="e">
        <f t="shared" si="39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5"/>
        <v>#VALUE!</v>
      </c>
    </row>
    <row r="187" spans="1:34" ht="13.5" thickBot="1">
      <c r="C187" s="307">
        <f t="shared" si="36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8"/>
        <v>#VALUE!</v>
      </c>
      <c r="V187" s="305" t="e">
        <f t="shared" si="38"/>
        <v>#VALUE!</v>
      </c>
      <c r="W187" s="305" t="e">
        <f t="shared" si="38"/>
        <v>#VALUE!</v>
      </c>
      <c r="X187" s="305" t="e">
        <f t="shared" si="38"/>
        <v>#VALUE!</v>
      </c>
      <c r="Y187" s="305" t="e">
        <f t="shared" si="38"/>
        <v>#VALUE!</v>
      </c>
      <c r="Z187" s="305" t="e">
        <f t="shared" si="39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5"/>
        <v>#VALUE!</v>
      </c>
    </row>
    <row r="188" spans="1:34" ht="14.25" thickTop="1" thickBot="1">
      <c r="C188" s="311" t="s">
        <v>0</v>
      </c>
      <c r="D188" s="328" t="e">
        <f t="shared" ref="D188:AH188" si="40">SUM(D157:D187)</f>
        <v>#VALUE!</v>
      </c>
      <c r="E188" s="328" t="e">
        <f t="shared" si="40"/>
        <v>#VALUE!</v>
      </c>
      <c r="F188" s="328" t="e">
        <f t="shared" si="40"/>
        <v>#VALUE!</v>
      </c>
      <c r="G188" s="328" t="e">
        <f t="shared" si="40"/>
        <v>#VALUE!</v>
      </c>
      <c r="H188" s="328" t="e">
        <f t="shared" si="40"/>
        <v>#VALUE!</v>
      </c>
      <c r="I188" s="328" t="e">
        <f t="shared" si="40"/>
        <v>#VALUE!</v>
      </c>
      <c r="J188" s="328" t="e">
        <f t="shared" si="40"/>
        <v>#VALUE!</v>
      </c>
      <c r="K188" s="328" t="e">
        <f t="shared" si="40"/>
        <v>#VALUE!</v>
      </c>
      <c r="L188" s="328" t="e">
        <f t="shared" si="40"/>
        <v>#VALUE!</v>
      </c>
      <c r="M188" s="328" t="e">
        <f t="shared" si="40"/>
        <v>#VALUE!</v>
      </c>
      <c r="N188" s="328" t="e">
        <f t="shared" si="40"/>
        <v>#VALUE!</v>
      </c>
      <c r="O188" s="328" t="e">
        <f t="shared" si="40"/>
        <v>#VALUE!</v>
      </c>
      <c r="P188" s="328" t="e">
        <f t="shared" si="40"/>
        <v>#VALUE!</v>
      </c>
      <c r="Q188" s="328" t="e">
        <f t="shared" si="40"/>
        <v>#VALUE!</v>
      </c>
      <c r="R188" s="328" t="e">
        <f t="shared" si="40"/>
        <v>#VALUE!</v>
      </c>
      <c r="S188" s="328" t="e">
        <f t="shared" si="40"/>
        <v>#VALUE!</v>
      </c>
      <c r="T188" s="328" t="e">
        <f t="shared" si="40"/>
        <v>#VALUE!</v>
      </c>
      <c r="U188" s="328" t="e">
        <f t="shared" si="40"/>
        <v>#VALUE!</v>
      </c>
      <c r="V188" s="328" t="e">
        <f t="shared" si="40"/>
        <v>#VALUE!</v>
      </c>
      <c r="W188" s="328" t="e">
        <f t="shared" si="40"/>
        <v>#VALUE!</v>
      </c>
      <c r="X188" s="328" t="e">
        <f t="shared" si="40"/>
        <v>#VALUE!</v>
      </c>
      <c r="Y188" s="328" t="e">
        <f t="shared" si="40"/>
        <v>#VALUE!</v>
      </c>
      <c r="Z188" s="328" t="e">
        <f t="shared" si="40"/>
        <v>#VALUE!</v>
      </c>
      <c r="AA188" s="328" t="e">
        <f t="shared" si="40"/>
        <v>#VALUE!</v>
      </c>
      <c r="AB188" s="328" t="e">
        <f t="shared" si="40"/>
        <v>#VALUE!</v>
      </c>
      <c r="AC188" s="328" t="e">
        <f t="shared" si="40"/>
        <v>#VALUE!</v>
      </c>
      <c r="AD188" s="328" t="e">
        <f t="shared" si="40"/>
        <v>#VALUE!</v>
      </c>
      <c r="AE188" s="328" t="e">
        <f t="shared" si="40"/>
        <v>#VALUE!</v>
      </c>
      <c r="AF188" s="329" t="e">
        <f t="shared" si="40"/>
        <v>#VALUE!</v>
      </c>
      <c r="AG188" s="329" t="e">
        <f t="shared" si="40"/>
        <v>#VALUE!</v>
      </c>
      <c r="AH188" s="315" t="e">
        <f t="shared" si="40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1">D193+1</f>
        <v>2</v>
      </c>
      <c r="F193" s="302">
        <f t="shared" si="41"/>
        <v>3</v>
      </c>
      <c r="G193" s="302">
        <f t="shared" si="41"/>
        <v>4</v>
      </c>
      <c r="H193" s="302">
        <f t="shared" si="41"/>
        <v>5</v>
      </c>
      <c r="I193" s="302">
        <f t="shared" si="41"/>
        <v>6</v>
      </c>
      <c r="J193" s="302">
        <f t="shared" si="41"/>
        <v>7</v>
      </c>
      <c r="K193" s="302">
        <f t="shared" si="41"/>
        <v>8</v>
      </c>
      <c r="L193" s="302">
        <f t="shared" si="41"/>
        <v>9</v>
      </c>
      <c r="M193" s="302">
        <f t="shared" si="41"/>
        <v>10</v>
      </c>
      <c r="N193" s="302">
        <f t="shared" si="41"/>
        <v>11</v>
      </c>
      <c r="O193" s="302">
        <f t="shared" si="41"/>
        <v>12</v>
      </c>
      <c r="P193" s="302">
        <f t="shared" si="41"/>
        <v>13</v>
      </c>
      <c r="Q193" s="302">
        <f t="shared" si="41"/>
        <v>14</v>
      </c>
      <c r="R193" s="302">
        <f t="shared" si="41"/>
        <v>15</v>
      </c>
      <c r="S193" s="302">
        <f t="shared" si="41"/>
        <v>16</v>
      </c>
      <c r="T193" s="302">
        <f t="shared" si="41"/>
        <v>17</v>
      </c>
      <c r="U193" s="302">
        <f t="shared" si="41"/>
        <v>18</v>
      </c>
      <c r="V193" s="302">
        <f t="shared" si="41"/>
        <v>19</v>
      </c>
      <c r="W193" s="302">
        <f t="shared" si="41"/>
        <v>20</v>
      </c>
      <c r="X193" s="302">
        <f t="shared" si="41"/>
        <v>21</v>
      </c>
      <c r="Y193" s="302">
        <f t="shared" si="41"/>
        <v>22</v>
      </c>
      <c r="Z193" s="302">
        <f t="shared" si="41"/>
        <v>23</v>
      </c>
      <c r="AA193" s="302">
        <f t="shared" si="41"/>
        <v>24</v>
      </c>
      <c r="AB193" s="302">
        <f t="shared" si="41"/>
        <v>25</v>
      </c>
      <c r="AC193" s="302">
        <f t="shared" si="41"/>
        <v>26</v>
      </c>
      <c r="AD193" s="302">
        <f t="shared" si="41"/>
        <v>27</v>
      </c>
      <c r="AE193" s="302">
        <f t="shared" si="41"/>
        <v>28</v>
      </c>
      <c r="AF193" s="302">
        <f t="shared" si="41"/>
        <v>29</v>
      </c>
      <c r="AG193" s="302">
        <f t="shared" si="41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2">SUM(D194:AG194)</f>
        <v>0</v>
      </c>
    </row>
    <row r="195" spans="3:34">
      <c r="C195" s="307">
        <f t="shared" ref="C195:C224" si="43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2"/>
        <v>0</v>
      </c>
    </row>
    <row r="196" spans="3:34">
      <c r="C196" s="307">
        <f t="shared" si="43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2"/>
        <v>#VALUE!</v>
      </c>
    </row>
    <row r="197" spans="3:34">
      <c r="C197" s="307">
        <f t="shared" si="43"/>
        <v>3</v>
      </c>
      <c r="D197" s="309" t="e">
        <f t="shared" ref="D197:D205" si="44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2"/>
        <v>#VALUE!</v>
      </c>
    </row>
    <row r="198" spans="3:34">
      <c r="C198" s="307">
        <f t="shared" si="43"/>
        <v>4</v>
      </c>
      <c r="D198" s="309" t="e">
        <f t="shared" si="44"/>
        <v>#VALUE!</v>
      </c>
      <c r="E198" s="309" t="e">
        <f t="shared" ref="E198:E206" si="45">E197</f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2"/>
        <v>#VALUE!</v>
      </c>
    </row>
    <row r="199" spans="3:34">
      <c r="C199" s="307">
        <f t="shared" si="43"/>
        <v>5</v>
      </c>
      <c r="D199" s="309" t="e">
        <f t="shared" si="44"/>
        <v>#VALUE!</v>
      </c>
      <c r="E199" s="309" t="e">
        <f t="shared" si="45"/>
        <v>#VALUE!</v>
      </c>
      <c r="F199" s="309" t="e">
        <f t="shared" ref="F199:F207" si="46">F198</f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2"/>
        <v>#VALUE!</v>
      </c>
    </row>
    <row r="200" spans="3:34">
      <c r="C200" s="307">
        <f t="shared" si="43"/>
        <v>6</v>
      </c>
      <c r="D200" s="309" t="e">
        <f t="shared" si="44"/>
        <v>#VALUE!</v>
      </c>
      <c r="E200" s="309" t="e">
        <f t="shared" si="45"/>
        <v>#VALUE!</v>
      </c>
      <c r="F200" s="309" t="e">
        <f t="shared" si="46"/>
        <v>#VALUE!</v>
      </c>
      <c r="G200" s="309" t="e">
        <f t="shared" ref="G200:G208" si="47">G199</f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2"/>
        <v>#VALUE!</v>
      </c>
    </row>
    <row r="201" spans="3:34">
      <c r="C201" s="307">
        <f t="shared" si="43"/>
        <v>7</v>
      </c>
      <c r="D201" s="309" t="e">
        <f t="shared" si="44"/>
        <v>#VALUE!</v>
      </c>
      <c r="E201" s="309" t="e">
        <f t="shared" si="45"/>
        <v>#VALUE!</v>
      </c>
      <c r="F201" s="309" t="e">
        <f t="shared" si="46"/>
        <v>#VALUE!</v>
      </c>
      <c r="G201" s="309" t="e">
        <f t="shared" si="47"/>
        <v>#VALUE!</v>
      </c>
      <c r="H201" s="309" t="e">
        <f t="shared" ref="H201:H209" si="48">H200</f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2"/>
        <v>#VALUE!</v>
      </c>
    </row>
    <row r="202" spans="3:34">
      <c r="C202" s="307">
        <f t="shared" si="43"/>
        <v>8</v>
      </c>
      <c r="D202" s="309" t="e">
        <f t="shared" si="44"/>
        <v>#VALUE!</v>
      </c>
      <c r="E202" s="309" t="e">
        <f t="shared" si="45"/>
        <v>#VALUE!</v>
      </c>
      <c r="F202" s="309" t="e">
        <f t="shared" si="46"/>
        <v>#VALUE!</v>
      </c>
      <c r="G202" s="309" t="e">
        <f t="shared" si="47"/>
        <v>#VALUE!</v>
      </c>
      <c r="H202" s="309" t="e">
        <f t="shared" si="48"/>
        <v>#VALUE!</v>
      </c>
      <c r="I202" s="309" t="e">
        <f t="shared" ref="I202:I210" si="49">I201</f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2"/>
        <v>#VALUE!</v>
      </c>
    </row>
    <row r="203" spans="3:34">
      <c r="C203" s="307">
        <f t="shared" si="43"/>
        <v>9</v>
      </c>
      <c r="D203" s="309" t="e">
        <f t="shared" si="44"/>
        <v>#VALUE!</v>
      </c>
      <c r="E203" s="309" t="e">
        <f t="shared" si="45"/>
        <v>#VALUE!</v>
      </c>
      <c r="F203" s="309" t="e">
        <f t="shared" si="46"/>
        <v>#VALUE!</v>
      </c>
      <c r="G203" s="309" t="e">
        <f t="shared" si="47"/>
        <v>#VALUE!</v>
      </c>
      <c r="H203" s="309" t="e">
        <f t="shared" si="48"/>
        <v>#VALUE!</v>
      </c>
      <c r="I203" s="309" t="e">
        <f t="shared" si="49"/>
        <v>#VALUE!</v>
      </c>
      <c r="J203" s="309" t="e">
        <f t="shared" ref="J203:J211" si="50">J202</f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2"/>
        <v>#VALUE!</v>
      </c>
    </row>
    <row r="204" spans="3:34">
      <c r="C204" s="307">
        <f t="shared" si="43"/>
        <v>10</v>
      </c>
      <c r="D204" s="309" t="e">
        <f t="shared" si="44"/>
        <v>#VALUE!</v>
      </c>
      <c r="E204" s="309" t="e">
        <f t="shared" si="45"/>
        <v>#VALUE!</v>
      </c>
      <c r="F204" s="309" t="e">
        <f t="shared" si="46"/>
        <v>#VALUE!</v>
      </c>
      <c r="G204" s="309" t="e">
        <f t="shared" si="47"/>
        <v>#VALUE!</v>
      </c>
      <c r="H204" s="309" t="e">
        <f t="shared" si="48"/>
        <v>#VALUE!</v>
      </c>
      <c r="I204" s="309" t="e">
        <f t="shared" si="49"/>
        <v>#VALUE!</v>
      </c>
      <c r="J204" s="309" t="e">
        <f t="shared" si="50"/>
        <v>#VALUE!</v>
      </c>
      <c r="K204" s="309" t="e">
        <f t="shared" ref="K204:K212" si="51">K203</f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2"/>
        <v>#VALUE!</v>
      </c>
    </row>
    <row r="205" spans="3:34">
      <c r="C205" s="307">
        <f t="shared" si="43"/>
        <v>11</v>
      </c>
      <c r="D205" s="309" t="e">
        <f t="shared" si="44"/>
        <v>#VALUE!</v>
      </c>
      <c r="E205" s="309" t="e">
        <f t="shared" si="45"/>
        <v>#VALUE!</v>
      </c>
      <c r="F205" s="309" t="e">
        <f t="shared" si="46"/>
        <v>#VALUE!</v>
      </c>
      <c r="G205" s="309" t="e">
        <f t="shared" si="47"/>
        <v>#VALUE!</v>
      </c>
      <c r="H205" s="309" t="e">
        <f t="shared" si="48"/>
        <v>#VALUE!</v>
      </c>
      <c r="I205" s="309" t="e">
        <f t="shared" si="49"/>
        <v>#VALUE!</v>
      </c>
      <c r="J205" s="309" t="e">
        <f t="shared" si="50"/>
        <v>#VALUE!</v>
      </c>
      <c r="K205" s="309" t="e">
        <f t="shared" si="51"/>
        <v>#VALUE!</v>
      </c>
      <c r="L205" s="309" t="e">
        <f t="shared" ref="L205:L212" si="52">L204</f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2"/>
        <v>#VALUE!</v>
      </c>
    </row>
    <row r="206" spans="3:34">
      <c r="C206" s="307">
        <f t="shared" si="43"/>
        <v>12</v>
      </c>
      <c r="D206" s="309"/>
      <c r="E206" s="309" t="e">
        <f t="shared" si="45"/>
        <v>#VALUE!</v>
      </c>
      <c r="F206" s="309" t="e">
        <f t="shared" si="46"/>
        <v>#VALUE!</v>
      </c>
      <c r="G206" s="309" t="e">
        <f t="shared" si="47"/>
        <v>#VALUE!</v>
      </c>
      <c r="H206" s="309" t="e">
        <f t="shared" si="48"/>
        <v>#VALUE!</v>
      </c>
      <c r="I206" s="309" t="e">
        <f t="shared" si="49"/>
        <v>#VALUE!</v>
      </c>
      <c r="J206" s="309" t="e">
        <f t="shared" si="50"/>
        <v>#VALUE!</v>
      </c>
      <c r="K206" s="309" t="e">
        <f t="shared" si="51"/>
        <v>#VALUE!</v>
      </c>
      <c r="L206" s="309" t="e">
        <f t="shared" si="52"/>
        <v>#VALUE!</v>
      </c>
      <c r="M206" s="309" t="e">
        <f t="shared" ref="M206:M212" si="53">M205</f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2"/>
        <v>#VALUE!</v>
      </c>
    </row>
    <row r="207" spans="3:34">
      <c r="C207" s="307">
        <f t="shared" si="43"/>
        <v>13</v>
      </c>
      <c r="D207" s="309"/>
      <c r="E207" s="309"/>
      <c r="F207" s="309" t="e">
        <f t="shared" si="46"/>
        <v>#VALUE!</v>
      </c>
      <c r="G207" s="309" t="e">
        <f t="shared" si="47"/>
        <v>#VALUE!</v>
      </c>
      <c r="H207" s="309" t="e">
        <f t="shared" si="48"/>
        <v>#VALUE!</v>
      </c>
      <c r="I207" s="309" t="e">
        <f t="shared" si="49"/>
        <v>#VALUE!</v>
      </c>
      <c r="J207" s="309" t="e">
        <f t="shared" si="50"/>
        <v>#VALUE!</v>
      </c>
      <c r="K207" s="309" t="e">
        <f t="shared" si="51"/>
        <v>#VALUE!</v>
      </c>
      <c r="L207" s="309" t="e">
        <f t="shared" si="52"/>
        <v>#VALUE!</v>
      </c>
      <c r="M207" s="309" t="e">
        <f t="shared" si="53"/>
        <v>#VALUE!</v>
      </c>
      <c r="N207" s="309" t="e">
        <f t="shared" ref="N207:N212" si="54">N206</f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2"/>
        <v>#VALUE!</v>
      </c>
    </row>
    <row r="208" spans="3:34">
      <c r="C208" s="307">
        <f t="shared" si="43"/>
        <v>14</v>
      </c>
      <c r="D208" s="309"/>
      <c r="E208" s="309"/>
      <c r="F208" s="309"/>
      <c r="G208" s="309" t="e">
        <f t="shared" si="47"/>
        <v>#VALUE!</v>
      </c>
      <c r="H208" s="309" t="e">
        <f t="shared" si="48"/>
        <v>#VALUE!</v>
      </c>
      <c r="I208" s="309" t="e">
        <f t="shared" si="49"/>
        <v>#VALUE!</v>
      </c>
      <c r="J208" s="309" t="e">
        <f t="shared" si="50"/>
        <v>#VALUE!</v>
      </c>
      <c r="K208" s="309" t="e">
        <f t="shared" si="51"/>
        <v>#VALUE!</v>
      </c>
      <c r="L208" s="309" t="e">
        <f t="shared" si="52"/>
        <v>#VALUE!</v>
      </c>
      <c r="M208" s="309" t="e">
        <f t="shared" si="53"/>
        <v>#VALUE!</v>
      </c>
      <c r="N208" s="309" t="e">
        <f t="shared" si="54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2"/>
        <v>#VALUE!</v>
      </c>
    </row>
    <row r="209" spans="3:34">
      <c r="C209" s="307">
        <f t="shared" si="43"/>
        <v>15</v>
      </c>
      <c r="D209" s="309"/>
      <c r="E209" s="309"/>
      <c r="F209" s="309"/>
      <c r="G209" s="309"/>
      <c r="H209" s="309" t="e">
        <f t="shared" si="48"/>
        <v>#VALUE!</v>
      </c>
      <c r="I209" s="309" t="e">
        <f t="shared" si="49"/>
        <v>#VALUE!</v>
      </c>
      <c r="J209" s="309" t="e">
        <f t="shared" si="50"/>
        <v>#VALUE!</v>
      </c>
      <c r="K209" s="309" t="e">
        <f t="shared" si="51"/>
        <v>#VALUE!</v>
      </c>
      <c r="L209" s="309" t="e">
        <f t="shared" si="52"/>
        <v>#VALUE!</v>
      </c>
      <c r="M209" s="309" t="e">
        <f t="shared" si="53"/>
        <v>#VALUE!</v>
      </c>
      <c r="N209" s="309" t="e">
        <f t="shared" si="54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2"/>
        <v>#VALUE!</v>
      </c>
    </row>
    <row r="210" spans="3:34">
      <c r="C210" s="307">
        <f t="shared" si="43"/>
        <v>16</v>
      </c>
      <c r="D210" s="309"/>
      <c r="E210" s="309"/>
      <c r="F210" s="309"/>
      <c r="G210" s="309"/>
      <c r="H210" s="309"/>
      <c r="I210" s="309" t="e">
        <f t="shared" si="49"/>
        <v>#VALUE!</v>
      </c>
      <c r="J210" s="309" t="e">
        <f t="shared" si="50"/>
        <v>#VALUE!</v>
      </c>
      <c r="K210" s="309" t="e">
        <f t="shared" si="51"/>
        <v>#VALUE!</v>
      </c>
      <c r="L210" s="309" t="e">
        <f t="shared" si="52"/>
        <v>#VALUE!</v>
      </c>
      <c r="M210" s="309" t="e">
        <f t="shared" si="53"/>
        <v>#VALUE!</v>
      </c>
      <c r="N210" s="309" t="e">
        <f t="shared" si="54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2"/>
        <v>#VALUE!</v>
      </c>
    </row>
    <row r="211" spans="3:34">
      <c r="C211" s="307">
        <f t="shared" si="43"/>
        <v>17</v>
      </c>
      <c r="D211" s="309"/>
      <c r="E211" s="309"/>
      <c r="F211" s="309"/>
      <c r="G211" s="309"/>
      <c r="H211" s="309"/>
      <c r="I211" s="309"/>
      <c r="J211" s="309" t="e">
        <f t="shared" si="50"/>
        <v>#VALUE!</v>
      </c>
      <c r="K211" s="309" t="e">
        <f t="shared" si="51"/>
        <v>#VALUE!</v>
      </c>
      <c r="L211" s="309" t="e">
        <f t="shared" si="52"/>
        <v>#VALUE!</v>
      </c>
      <c r="M211" s="309" t="e">
        <f t="shared" si="53"/>
        <v>#VALUE!</v>
      </c>
      <c r="N211" s="309" t="e">
        <f t="shared" si="54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2"/>
        <v>#VALUE!</v>
      </c>
    </row>
    <row r="212" spans="3:34">
      <c r="C212" s="307">
        <f t="shared" si="43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51"/>
        <v>#VALUE!</v>
      </c>
      <c r="L212" s="309" t="e">
        <f t="shared" si="52"/>
        <v>#VALUE!</v>
      </c>
      <c r="M212" s="309" t="e">
        <f t="shared" si="53"/>
        <v>#VALUE!</v>
      </c>
      <c r="N212" s="309" t="e">
        <f t="shared" si="54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2"/>
        <v>#VALUE!</v>
      </c>
    </row>
    <row r="213" spans="3:34">
      <c r="C213" s="307">
        <f t="shared" si="43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55">L212</f>
        <v>#VALUE!</v>
      </c>
      <c r="M213" s="309" t="e">
        <f t="shared" si="55"/>
        <v>#VALUE!</v>
      </c>
      <c r="N213" s="309" t="e">
        <f t="shared" si="55"/>
        <v>#VALUE!</v>
      </c>
      <c r="O213" s="309" t="e">
        <f t="shared" si="55"/>
        <v>#VALUE!</v>
      </c>
      <c r="P213" s="309" t="e">
        <f t="shared" si="55"/>
        <v>#VALUE!</v>
      </c>
      <c r="Q213" s="309" t="e">
        <f t="shared" si="55"/>
        <v>#VALUE!</v>
      </c>
      <c r="R213" s="309" t="e">
        <f t="shared" si="55"/>
        <v>#VALUE!</v>
      </c>
      <c r="S213" s="309" t="e">
        <f t="shared" si="55"/>
        <v>#VALUE!</v>
      </c>
      <c r="T213" s="309" t="e">
        <f t="shared" si="55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2"/>
        <v>#VALUE!</v>
      </c>
    </row>
    <row r="214" spans="3:34">
      <c r="C214" s="307">
        <f t="shared" si="43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55"/>
        <v>#VALUE!</v>
      </c>
      <c r="N214" s="309" t="e">
        <f t="shared" si="55"/>
        <v>#VALUE!</v>
      </c>
      <c r="O214" s="309" t="e">
        <f t="shared" si="55"/>
        <v>#VALUE!</v>
      </c>
      <c r="P214" s="309" t="e">
        <f t="shared" si="55"/>
        <v>#VALUE!</v>
      </c>
      <c r="Q214" s="309" t="e">
        <f t="shared" si="55"/>
        <v>#VALUE!</v>
      </c>
      <c r="R214" s="309" t="e">
        <f t="shared" si="55"/>
        <v>#VALUE!</v>
      </c>
      <c r="S214" s="309" t="e">
        <f t="shared" si="55"/>
        <v>#VALUE!</v>
      </c>
      <c r="T214" s="309" t="e">
        <f t="shared" si="55"/>
        <v>#VALUE!</v>
      </c>
      <c r="U214" s="309" t="e">
        <f t="shared" si="55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2"/>
        <v>#VALUE!</v>
      </c>
    </row>
    <row r="215" spans="3:34">
      <c r="C215" s="307">
        <f t="shared" si="43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55"/>
        <v>#VALUE!</v>
      </c>
      <c r="O215" s="309" t="e">
        <f t="shared" si="55"/>
        <v>#VALUE!</v>
      </c>
      <c r="P215" s="309" t="e">
        <f t="shared" si="55"/>
        <v>#VALUE!</v>
      </c>
      <c r="Q215" s="309" t="e">
        <f t="shared" si="55"/>
        <v>#VALUE!</v>
      </c>
      <c r="R215" s="309" t="e">
        <f t="shared" si="55"/>
        <v>#VALUE!</v>
      </c>
      <c r="S215" s="309" t="e">
        <f t="shared" si="55"/>
        <v>#VALUE!</v>
      </c>
      <c r="T215" s="309" t="e">
        <f t="shared" si="55"/>
        <v>#VALUE!</v>
      </c>
      <c r="U215" s="309" t="e">
        <f t="shared" si="55"/>
        <v>#VALUE!</v>
      </c>
      <c r="V215" s="309" t="e">
        <f t="shared" si="55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2"/>
        <v>#VALUE!</v>
      </c>
    </row>
    <row r="216" spans="3:34">
      <c r="C216" s="307">
        <f t="shared" si="43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55"/>
        <v>#VALUE!</v>
      </c>
      <c r="P216" s="309" t="e">
        <f t="shared" si="55"/>
        <v>#VALUE!</v>
      </c>
      <c r="Q216" s="309" t="e">
        <f t="shared" si="55"/>
        <v>#VALUE!</v>
      </c>
      <c r="R216" s="309" t="e">
        <f t="shared" si="55"/>
        <v>#VALUE!</v>
      </c>
      <c r="S216" s="309" t="e">
        <f t="shared" si="55"/>
        <v>#VALUE!</v>
      </c>
      <c r="T216" s="309" t="e">
        <f t="shared" si="55"/>
        <v>#VALUE!</v>
      </c>
      <c r="U216" s="309" t="e">
        <f t="shared" si="55"/>
        <v>#VALUE!</v>
      </c>
      <c r="V216" s="309" t="e">
        <f t="shared" si="55"/>
        <v>#VALUE!</v>
      </c>
      <c r="W216" s="309" t="e">
        <f t="shared" si="55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2"/>
        <v>#VALUE!</v>
      </c>
    </row>
    <row r="217" spans="3:34">
      <c r="C217" s="307">
        <f t="shared" si="43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55"/>
        <v>#VALUE!</v>
      </c>
      <c r="Q217" s="309" t="e">
        <f t="shared" si="55"/>
        <v>#VALUE!</v>
      </c>
      <c r="R217" s="309" t="e">
        <f t="shared" si="55"/>
        <v>#VALUE!</v>
      </c>
      <c r="S217" s="309" t="e">
        <f t="shared" si="55"/>
        <v>#VALUE!</v>
      </c>
      <c r="T217" s="309" t="e">
        <f t="shared" si="55"/>
        <v>#VALUE!</v>
      </c>
      <c r="U217" s="309" t="e">
        <f t="shared" si="55"/>
        <v>#VALUE!</v>
      </c>
      <c r="V217" s="309" t="e">
        <f t="shared" si="55"/>
        <v>#VALUE!</v>
      </c>
      <c r="W217" s="309" t="e">
        <f t="shared" si="55"/>
        <v>#VALUE!</v>
      </c>
      <c r="X217" s="309" t="e">
        <f t="shared" si="55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2"/>
        <v>#VALUE!</v>
      </c>
    </row>
    <row r="218" spans="3:34">
      <c r="C218" s="307">
        <f t="shared" si="43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55"/>
        <v>#VALUE!</v>
      </c>
      <c r="R218" s="309" t="e">
        <f t="shared" si="55"/>
        <v>#VALUE!</v>
      </c>
      <c r="S218" s="309" t="e">
        <f t="shared" si="55"/>
        <v>#VALUE!</v>
      </c>
      <c r="T218" s="309" t="e">
        <f t="shared" si="55"/>
        <v>#VALUE!</v>
      </c>
      <c r="U218" s="309" t="e">
        <f t="shared" si="55"/>
        <v>#VALUE!</v>
      </c>
      <c r="V218" s="309" t="e">
        <f t="shared" si="55"/>
        <v>#VALUE!</v>
      </c>
      <c r="W218" s="309" t="e">
        <f t="shared" si="55"/>
        <v>#VALUE!</v>
      </c>
      <c r="X218" s="309" t="e">
        <f t="shared" si="55"/>
        <v>#VALUE!</v>
      </c>
      <c r="Y218" s="309" t="e">
        <f t="shared" si="55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2"/>
        <v>#VALUE!</v>
      </c>
    </row>
    <row r="219" spans="3:34">
      <c r="C219" s="307">
        <f t="shared" si="43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55"/>
        <v>#VALUE!</v>
      </c>
      <c r="S219" s="309" t="e">
        <f t="shared" si="55"/>
        <v>#VALUE!</v>
      </c>
      <c r="T219" s="309" t="e">
        <f t="shared" si="55"/>
        <v>#VALUE!</v>
      </c>
      <c r="U219" s="309" t="e">
        <f t="shared" si="55"/>
        <v>#VALUE!</v>
      </c>
      <c r="V219" s="309" t="e">
        <f t="shared" si="55"/>
        <v>#VALUE!</v>
      </c>
      <c r="W219" s="309" t="e">
        <f t="shared" si="55"/>
        <v>#VALUE!</v>
      </c>
      <c r="X219" s="309" t="e">
        <f t="shared" si="55"/>
        <v>#VALUE!</v>
      </c>
      <c r="Y219" s="309" t="e">
        <f t="shared" si="55"/>
        <v>#VALUE!</v>
      </c>
      <c r="Z219" s="309" t="e">
        <f t="shared" si="55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2"/>
        <v>#VALUE!</v>
      </c>
    </row>
    <row r="220" spans="3:34">
      <c r="C220" s="307">
        <f t="shared" si="43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55"/>
        <v>#VALUE!</v>
      </c>
      <c r="T220" s="309" t="e">
        <f t="shared" si="55"/>
        <v>#VALUE!</v>
      </c>
      <c r="U220" s="309" t="e">
        <f t="shared" si="55"/>
        <v>#VALUE!</v>
      </c>
      <c r="V220" s="309" t="e">
        <f t="shared" si="55"/>
        <v>#VALUE!</v>
      </c>
      <c r="W220" s="309" t="e">
        <f t="shared" si="55"/>
        <v>#VALUE!</v>
      </c>
      <c r="X220" s="309" t="e">
        <f t="shared" si="55"/>
        <v>#VALUE!</v>
      </c>
      <c r="Y220" s="309" t="e">
        <f t="shared" si="55"/>
        <v>#VALUE!</v>
      </c>
      <c r="Z220" s="309" t="e">
        <f t="shared" si="55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2"/>
        <v>#VALUE!</v>
      </c>
    </row>
    <row r="221" spans="3:34">
      <c r="C221" s="307">
        <f t="shared" si="43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55"/>
        <v>#VALUE!</v>
      </c>
      <c r="U221" s="309" t="e">
        <f t="shared" si="55"/>
        <v>#VALUE!</v>
      </c>
      <c r="V221" s="309" t="e">
        <f t="shared" si="55"/>
        <v>#VALUE!</v>
      </c>
      <c r="W221" s="309" t="e">
        <f t="shared" si="55"/>
        <v>#VALUE!</v>
      </c>
      <c r="X221" s="309" t="e">
        <f t="shared" si="55"/>
        <v>#VALUE!</v>
      </c>
      <c r="Y221" s="309" t="e">
        <f t="shared" si="55"/>
        <v>#VALUE!</v>
      </c>
      <c r="Z221" s="309" t="e">
        <f t="shared" si="55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2"/>
        <v>#VALUE!</v>
      </c>
    </row>
    <row r="222" spans="3:34">
      <c r="C222" s="307">
        <f t="shared" si="43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55"/>
        <v>#VALUE!</v>
      </c>
      <c r="V222" s="309" t="e">
        <f t="shared" si="55"/>
        <v>#VALUE!</v>
      </c>
      <c r="W222" s="309" t="e">
        <f t="shared" si="55"/>
        <v>#VALUE!</v>
      </c>
      <c r="X222" s="309" t="e">
        <f t="shared" si="55"/>
        <v>#VALUE!</v>
      </c>
      <c r="Y222" s="309" t="e">
        <f t="shared" si="55"/>
        <v>#VALUE!</v>
      </c>
      <c r="Z222" s="309" t="e">
        <f t="shared" si="55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2"/>
        <v>#VALUE!</v>
      </c>
    </row>
    <row r="223" spans="3:34">
      <c r="C223" s="307">
        <f t="shared" si="43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55"/>
        <v>#VALUE!</v>
      </c>
      <c r="W223" s="309" t="e">
        <f t="shared" si="55"/>
        <v>#VALUE!</v>
      </c>
      <c r="X223" s="309" t="e">
        <f t="shared" si="55"/>
        <v>#VALUE!</v>
      </c>
      <c r="Y223" s="309" t="e">
        <f t="shared" si="55"/>
        <v>#VALUE!</v>
      </c>
      <c r="Z223" s="309" t="e">
        <f t="shared" si="55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2"/>
        <v>#VALUE!</v>
      </c>
    </row>
    <row r="224" spans="3:34" ht="13.5" thickBot="1">
      <c r="C224" s="307">
        <f t="shared" si="43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55"/>
        <v>#VALUE!</v>
      </c>
      <c r="X224" s="322" t="e">
        <f t="shared" si="55"/>
        <v>#VALUE!</v>
      </c>
      <c r="Y224" s="322" t="e">
        <f t="shared" si="55"/>
        <v>#VALUE!</v>
      </c>
      <c r="Z224" s="322" t="e">
        <f t="shared" si="55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2"/>
        <v>#VALUE!</v>
      </c>
    </row>
    <row r="225" spans="1:34" ht="14.25" thickTop="1" thickBot="1">
      <c r="C225" s="311" t="s">
        <v>0</v>
      </c>
      <c r="D225" s="328" t="e">
        <f t="shared" ref="D225:AG225" si="56">SUM(D194:D224)</f>
        <v>#VALUE!</v>
      </c>
      <c r="E225" s="328" t="e">
        <f t="shared" si="56"/>
        <v>#VALUE!</v>
      </c>
      <c r="F225" s="328" t="e">
        <f t="shared" si="56"/>
        <v>#VALUE!</v>
      </c>
      <c r="G225" s="328" t="e">
        <f t="shared" si="56"/>
        <v>#VALUE!</v>
      </c>
      <c r="H225" s="328" t="e">
        <f t="shared" si="56"/>
        <v>#VALUE!</v>
      </c>
      <c r="I225" s="328" t="e">
        <f t="shared" si="56"/>
        <v>#VALUE!</v>
      </c>
      <c r="J225" s="328" t="e">
        <f t="shared" si="56"/>
        <v>#VALUE!</v>
      </c>
      <c r="K225" s="328" t="e">
        <f t="shared" si="56"/>
        <v>#VALUE!</v>
      </c>
      <c r="L225" s="328" t="e">
        <f t="shared" si="56"/>
        <v>#VALUE!</v>
      </c>
      <c r="M225" s="328" t="e">
        <f t="shared" si="56"/>
        <v>#VALUE!</v>
      </c>
      <c r="N225" s="336" t="e">
        <f t="shared" si="56"/>
        <v>#VALUE!</v>
      </c>
      <c r="O225" s="328" t="e">
        <f t="shared" si="56"/>
        <v>#VALUE!</v>
      </c>
      <c r="P225" s="328" t="e">
        <f t="shared" si="56"/>
        <v>#VALUE!</v>
      </c>
      <c r="Q225" s="328" t="e">
        <f t="shared" si="56"/>
        <v>#VALUE!</v>
      </c>
      <c r="R225" s="328" t="e">
        <f t="shared" si="56"/>
        <v>#VALUE!</v>
      </c>
      <c r="S225" s="328" t="e">
        <f t="shared" si="56"/>
        <v>#VALUE!</v>
      </c>
      <c r="T225" s="328" t="e">
        <f t="shared" si="56"/>
        <v>#VALUE!</v>
      </c>
      <c r="U225" s="328" t="e">
        <f t="shared" si="56"/>
        <v>#VALUE!</v>
      </c>
      <c r="V225" s="328" t="e">
        <f t="shared" si="56"/>
        <v>#VALUE!</v>
      </c>
      <c r="W225" s="328" t="e">
        <f t="shared" si="56"/>
        <v>#VALUE!</v>
      </c>
      <c r="X225" s="328" t="e">
        <f t="shared" si="56"/>
        <v>#VALUE!</v>
      </c>
      <c r="Y225" s="328" t="e">
        <f t="shared" si="56"/>
        <v>#VALUE!</v>
      </c>
      <c r="Z225" s="328" t="e">
        <f t="shared" si="56"/>
        <v>#VALUE!</v>
      </c>
      <c r="AA225" s="328" t="e">
        <f t="shared" si="56"/>
        <v>#VALUE!</v>
      </c>
      <c r="AB225" s="328" t="e">
        <f t="shared" si="56"/>
        <v>#VALUE!</v>
      </c>
      <c r="AC225" s="328" t="e">
        <f t="shared" si="56"/>
        <v>#VALUE!</v>
      </c>
      <c r="AD225" s="328" t="e">
        <f t="shared" si="56"/>
        <v>#VALUE!</v>
      </c>
      <c r="AE225" s="328" t="e">
        <f t="shared" si="56"/>
        <v>#VALUE!</v>
      </c>
      <c r="AF225" s="329" t="e">
        <f t="shared" si="56"/>
        <v>#VALUE!</v>
      </c>
      <c r="AG225" s="329" t="e">
        <f t="shared" si="56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57">D229+1</f>
        <v>2</v>
      </c>
      <c r="F229" s="302">
        <f t="shared" si="57"/>
        <v>3</v>
      </c>
      <c r="G229" s="302">
        <f t="shared" si="57"/>
        <v>4</v>
      </c>
      <c r="H229" s="302">
        <f t="shared" si="57"/>
        <v>5</v>
      </c>
      <c r="I229" s="302">
        <f t="shared" si="57"/>
        <v>6</v>
      </c>
      <c r="J229" s="302">
        <f t="shared" si="57"/>
        <v>7</v>
      </c>
      <c r="K229" s="302">
        <f t="shared" si="57"/>
        <v>8</v>
      </c>
      <c r="L229" s="302">
        <f t="shared" si="57"/>
        <v>9</v>
      </c>
      <c r="M229" s="302">
        <f t="shared" si="57"/>
        <v>10</v>
      </c>
      <c r="N229" s="302">
        <f t="shared" si="57"/>
        <v>11</v>
      </c>
      <c r="O229" s="302">
        <f t="shared" si="57"/>
        <v>12</v>
      </c>
      <c r="P229" s="302">
        <f t="shared" si="57"/>
        <v>13</v>
      </c>
      <c r="Q229" s="302">
        <f t="shared" si="57"/>
        <v>14</v>
      </c>
      <c r="R229" s="302">
        <f t="shared" si="57"/>
        <v>15</v>
      </c>
      <c r="S229" s="302">
        <f t="shared" si="57"/>
        <v>16</v>
      </c>
      <c r="T229" s="302">
        <f t="shared" si="57"/>
        <v>17</v>
      </c>
      <c r="U229" s="302">
        <f t="shared" si="57"/>
        <v>18</v>
      </c>
      <c r="V229" s="302">
        <f t="shared" si="57"/>
        <v>19</v>
      </c>
      <c r="W229" s="302">
        <f t="shared" si="57"/>
        <v>20</v>
      </c>
      <c r="X229" s="302">
        <f t="shared" si="57"/>
        <v>21</v>
      </c>
      <c r="Y229" s="302">
        <f t="shared" si="57"/>
        <v>22</v>
      </c>
      <c r="Z229" s="302">
        <f t="shared" si="57"/>
        <v>23</v>
      </c>
      <c r="AA229" s="302">
        <f t="shared" si="57"/>
        <v>24</v>
      </c>
      <c r="AB229" s="302">
        <f t="shared" si="57"/>
        <v>25</v>
      </c>
      <c r="AC229" s="302">
        <f t="shared" si="57"/>
        <v>26</v>
      </c>
      <c r="AD229" s="302">
        <f t="shared" si="57"/>
        <v>27</v>
      </c>
      <c r="AE229" s="302">
        <f t="shared" si="57"/>
        <v>28</v>
      </c>
      <c r="AF229" s="302">
        <f t="shared" si="57"/>
        <v>29</v>
      </c>
      <c r="AG229" s="302">
        <f t="shared" si="57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58">SUM(D230:AG230)</f>
        <v>0</v>
      </c>
    </row>
    <row r="231" spans="1:34">
      <c r="C231" s="304">
        <f t="shared" ref="C231:C260" si="59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58"/>
        <v>0</v>
      </c>
    </row>
    <row r="232" spans="1:34">
      <c r="C232" s="304">
        <f t="shared" si="59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58"/>
        <v>#VALUE!</v>
      </c>
    </row>
    <row r="233" spans="1:34">
      <c r="C233" s="304">
        <f t="shared" si="59"/>
        <v>3</v>
      </c>
      <c r="D233" s="305" t="e">
        <f t="shared" ref="D233:D238" si="60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58"/>
        <v>#VALUE!</v>
      </c>
    </row>
    <row r="234" spans="1:34">
      <c r="C234" s="304">
        <f t="shared" si="59"/>
        <v>4</v>
      </c>
      <c r="D234" s="305" t="e">
        <f t="shared" si="60"/>
        <v>#VALUE!</v>
      </c>
      <c r="E234" s="305" t="e">
        <f t="shared" ref="E234:E239" si="61">E233</f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58"/>
        <v>#VALUE!</v>
      </c>
    </row>
    <row r="235" spans="1:34">
      <c r="C235" s="304">
        <f t="shared" si="59"/>
        <v>5</v>
      </c>
      <c r="D235" s="305" t="e">
        <f t="shared" si="60"/>
        <v>#VALUE!</v>
      </c>
      <c r="E235" s="305" t="e">
        <f t="shared" si="61"/>
        <v>#VALUE!</v>
      </c>
      <c r="F235" s="305" t="e">
        <f t="shared" ref="F235:F240" si="62">F234</f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58"/>
        <v>#VALUE!</v>
      </c>
    </row>
    <row r="236" spans="1:34">
      <c r="C236" s="304">
        <f t="shared" si="59"/>
        <v>6</v>
      </c>
      <c r="D236" s="305" t="e">
        <f t="shared" si="60"/>
        <v>#VALUE!</v>
      </c>
      <c r="E236" s="305" t="e">
        <f t="shared" si="61"/>
        <v>#VALUE!</v>
      </c>
      <c r="F236" s="305" t="e">
        <f t="shared" si="62"/>
        <v>#VALUE!</v>
      </c>
      <c r="G236" s="305" t="e">
        <f t="shared" ref="G236:G241" si="63">G235</f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58"/>
        <v>#VALUE!</v>
      </c>
    </row>
    <row r="237" spans="1:34">
      <c r="C237" s="304">
        <f t="shared" si="59"/>
        <v>7</v>
      </c>
      <c r="D237" s="305" t="e">
        <f t="shared" si="60"/>
        <v>#VALUE!</v>
      </c>
      <c r="E237" s="305" t="e">
        <f t="shared" si="61"/>
        <v>#VALUE!</v>
      </c>
      <c r="F237" s="305" t="e">
        <f t="shared" si="62"/>
        <v>#VALUE!</v>
      </c>
      <c r="G237" s="305" t="e">
        <f t="shared" si="63"/>
        <v>#VALUE!</v>
      </c>
      <c r="H237" s="305" t="e">
        <f t="shared" ref="H237:H242" si="64">H236</f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58"/>
        <v>#VALUE!</v>
      </c>
    </row>
    <row r="238" spans="1:34">
      <c r="C238" s="304">
        <f t="shared" si="59"/>
        <v>8</v>
      </c>
      <c r="D238" s="305" t="e">
        <f t="shared" si="60"/>
        <v>#VALUE!</v>
      </c>
      <c r="E238" s="305" t="e">
        <f t="shared" si="61"/>
        <v>#VALUE!</v>
      </c>
      <c r="F238" s="305" t="e">
        <f t="shared" si="62"/>
        <v>#VALUE!</v>
      </c>
      <c r="G238" s="305" t="e">
        <f t="shared" si="63"/>
        <v>#VALUE!</v>
      </c>
      <c r="H238" s="305" t="e">
        <f t="shared" si="64"/>
        <v>#VALUE!</v>
      </c>
      <c r="I238" s="305" t="e">
        <f t="shared" ref="I238:I243" si="65">I237</f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58"/>
        <v>#VALUE!</v>
      </c>
    </row>
    <row r="239" spans="1:34">
      <c r="C239" s="304">
        <f t="shared" si="59"/>
        <v>9</v>
      </c>
      <c r="D239" s="305"/>
      <c r="E239" s="305" t="e">
        <f t="shared" si="61"/>
        <v>#VALUE!</v>
      </c>
      <c r="F239" s="305" t="e">
        <f t="shared" si="62"/>
        <v>#VALUE!</v>
      </c>
      <c r="G239" s="305" t="e">
        <f t="shared" si="63"/>
        <v>#VALUE!</v>
      </c>
      <c r="H239" s="305" t="e">
        <f t="shared" si="64"/>
        <v>#VALUE!</v>
      </c>
      <c r="I239" s="305" t="e">
        <f t="shared" si="65"/>
        <v>#VALUE!</v>
      </c>
      <c r="J239" s="305" t="e">
        <f t="shared" ref="J239:J244" si="66">J238</f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58"/>
        <v>#VALUE!</v>
      </c>
    </row>
    <row r="240" spans="1:34">
      <c r="C240" s="304">
        <f t="shared" si="59"/>
        <v>10</v>
      </c>
      <c r="D240" s="305"/>
      <c r="E240" s="305"/>
      <c r="F240" s="305" t="e">
        <f t="shared" si="62"/>
        <v>#VALUE!</v>
      </c>
      <c r="G240" s="305" t="e">
        <f t="shared" si="63"/>
        <v>#VALUE!</v>
      </c>
      <c r="H240" s="305" t="e">
        <f t="shared" si="64"/>
        <v>#VALUE!</v>
      </c>
      <c r="I240" s="305" t="e">
        <f t="shared" si="65"/>
        <v>#VALUE!</v>
      </c>
      <c r="J240" s="305" t="e">
        <f t="shared" si="66"/>
        <v>#VALUE!</v>
      </c>
      <c r="K240" s="305" t="e">
        <f t="shared" ref="K240:K245" si="67">K239</f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58"/>
        <v>#VALUE!</v>
      </c>
    </row>
    <row r="241" spans="3:34">
      <c r="C241" s="304">
        <f t="shared" si="59"/>
        <v>11</v>
      </c>
      <c r="D241" s="305"/>
      <c r="E241" s="305"/>
      <c r="F241" s="305"/>
      <c r="G241" s="305" t="e">
        <f t="shared" si="63"/>
        <v>#VALUE!</v>
      </c>
      <c r="H241" s="305" t="e">
        <f t="shared" si="64"/>
        <v>#VALUE!</v>
      </c>
      <c r="I241" s="305" t="e">
        <f t="shared" si="65"/>
        <v>#VALUE!</v>
      </c>
      <c r="J241" s="305" t="e">
        <f t="shared" si="66"/>
        <v>#VALUE!</v>
      </c>
      <c r="K241" s="305" t="e">
        <f t="shared" si="67"/>
        <v>#VALUE!</v>
      </c>
      <c r="L241" s="305" t="e">
        <f t="shared" ref="L241:L246" si="68">L240</f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58"/>
        <v>#VALUE!</v>
      </c>
    </row>
    <row r="242" spans="3:34">
      <c r="C242" s="304">
        <f t="shared" si="59"/>
        <v>12</v>
      </c>
      <c r="D242" s="305"/>
      <c r="E242" s="305"/>
      <c r="F242" s="305"/>
      <c r="G242" s="305"/>
      <c r="H242" s="305" t="e">
        <f t="shared" si="64"/>
        <v>#VALUE!</v>
      </c>
      <c r="I242" s="305" t="e">
        <f t="shared" si="65"/>
        <v>#VALUE!</v>
      </c>
      <c r="J242" s="305" t="e">
        <f t="shared" si="66"/>
        <v>#VALUE!</v>
      </c>
      <c r="K242" s="305" t="e">
        <f t="shared" si="67"/>
        <v>#VALUE!</v>
      </c>
      <c r="L242" s="305" t="e">
        <f t="shared" si="68"/>
        <v>#VALUE!</v>
      </c>
      <c r="M242" s="305" t="e">
        <f t="shared" ref="M242:M247" si="69">M241</f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58"/>
        <v>#VALUE!</v>
      </c>
    </row>
    <row r="243" spans="3:34">
      <c r="C243" s="304">
        <f t="shared" si="59"/>
        <v>13</v>
      </c>
      <c r="D243" s="305"/>
      <c r="E243" s="305"/>
      <c r="F243" s="305"/>
      <c r="G243" s="305"/>
      <c r="H243" s="305"/>
      <c r="I243" s="305" t="e">
        <f t="shared" si="65"/>
        <v>#VALUE!</v>
      </c>
      <c r="J243" s="305" t="e">
        <f t="shared" si="66"/>
        <v>#VALUE!</v>
      </c>
      <c r="K243" s="305" t="e">
        <f t="shared" si="67"/>
        <v>#VALUE!</v>
      </c>
      <c r="L243" s="305" t="e">
        <f t="shared" si="68"/>
        <v>#VALUE!</v>
      </c>
      <c r="M243" s="305" t="e">
        <f t="shared" si="69"/>
        <v>#VALUE!</v>
      </c>
      <c r="N243" s="305" t="e">
        <f t="shared" ref="N243:N248" si="70">N242</f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58"/>
        <v>#VALUE!</v>
      </c>
    </row>
    <row r="244" spans="3:34">
      <c r="C244" s="304">
        <f t="shared" si="59"/>
        <v>14</v>
      </c>
      <c r="D244" s="305"/>
      <c r="E244" s="305"/>
      <c r="F244" s="305"/>
      <c r="G244" s="305"/>
      <c r="H244" s="305"/>
      <c r="I244" s="305"/>
      <c r="J244" s="305" t="e">
        <f t="shared" si="66"/>
        <v>#VALUE!</v>
      </c>
      <c r="K244" s="305" t="e">
        <f t="shared" si="67"/>
        <v>#VALUE!</v>
      </c>
      <c r="L244" s="305" t="e">
        <f t="shared" si="68"/>
        <v>#VALUE!</v>
      </c>
      <c r="M244" s="305" t="e">
        <f t="shared" si="69"/>
        <v>#VALUE!</v>
      </c>
      <c r="N244" s="305" t="e">
        <f t="shared" si="70"/>
        <v>#VALUE!</v>
      </c>
      <c r="O244" s="305" t="e">
        <f t="shared" ref="O244:O249" si="71">O243</f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58"/>
        <v>#VALUE!</v>
      </c>
    </row>
    <row r="245" spans="3:34">
      <c r="C245" s="304">
        <f t="shared" si="59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67"/>
        <v>#VALUE!</v>
      </c>
      <c r="L245" s="305" t="e">
        <f t="shared" si="68"/>
        <v>#VALUE!</v>
      </c>
      <c r="M245" s="305" t="e">
        <f t="shared" si="69"/>
        <v>#VALUE!</v>
      </c>
      <c r="N245" s="305" t="e">
        <f t="shared" si="70"/>
        <v>#VALUE!</v>
      </c>
      <c r="O245" s="305" t="e">
        <f t="shared" si="71"/>
        <v>#VALUE!</v>
      </c>
      <c r="P245" s="305" t="e">
        <f t="shared" ref="P245:P250" si="72">P244</f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58"/>
        <v>#VALUE!</v>
      </c>
    </row>
    <row r="246" spans="3:34">
      <c r="C246" s="304">
        <f t="shared" si="59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68"/>
        <v>#VALUE!</v>
      </c>
      <c r="M246" s="305" t="e">
        <f t="shared" si="69"/>
        <v>#VALUE!</v>
      </c>
      <c r="N246" s="305" t="e">
        <f t="shared" si="70"/>
        <v>#VALUE!</v>
      </c>
      <c r="O246" s="305" t="e">
        <f t="shared" si="71"/>
        <v>#VALUE!</v>
      </c>
      <c r="P246" s="305" t="e">
        <f t="shared" si="72"/>
        <v>#VALUE!</v>
      </c>
      <c r="Q246" s="305" t="e">
        <f t="shared" ref="Q246:Q251" si="73">Q245</f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58"/>
        <v>#VALUE!</v>
      </c>
    </row>
    <row r="247" spans="3:34">
      <c r="C247" s="304">
        <f t="shared" si="59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69"/>
        <v>#VALUE!</v>
      </c>
      <c r="N247" s="305" t="e">
        <f t="shared" si="70"/>
        <v>#VALUE!</v>
      </c>
      <c r="O247" s="305" t="e">
        <f t="shared" si="71"/>
        <v>#VALUE!</v>
      </c>
      <c r="P247" s="305" t="e">
        <f t="shared" si="72"/>
        <v>#VALUE!</v>
      </c>
      <c r="Q247" s="305" t="e">
        <f t="shared" si="73"/>
        <v>#VALUE!</v>
      </c>
      <c r="R247" s="305" t="e">
        <f t="shared" ref="R247:R252" si="74">R246</f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58"/>
        <v>#VALUE!</v>
      </c>
    </row>
    <row r="248" spans="3:34">
      <c r="C248" s="304">
        <f t="shared" si="59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70"/>
        <v>#VALUE!</v>
      </c>
      <c r="O248" s="305" t="e">
        <f t="shared" si="71"/>
        <v>#VALUE!</v>
      </c>
      <c r="P248" s="305" t="e">
        <f t="shared" si="72"/>
        <v>#VALUE!</v>
      </c>
      <c r="Q248" s="305" t="e">
        <f t="shared" si="73"/>
        <v>#VALUE!</v>
      </c>
      <c r="R248" s="305" t="e">
        <f t="shared" si="74"/>
        <v>#VALUE!</v>
      </c>
      <c r="S248" s="305" t="e">
        <f t="shared" ref="S248:S253" si="75">S247</f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58"/>
        <v>#VALUE!</v>
      </c>
    </row>
    <row r="249" spans="3:34">
      <c r="C249" s="304">
        <f t="shared" si="59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si="71"/>
        <v>#VALUE!</v>
      </c>
      <c r="P249" s="305" t="e">
        <f t="shared" si="72"/>
        <v>#VALUE!</v>
      </c>
      <c r="Q249" s="305" t="e">
        <f t="shared" si="73"/>
        <v>#VALUE!</v>
      </c>
      <c r="R249" s="305" t="e">
        <f t="shared" si="74"/>
        <v>#VALUE!</v>
      </c>
      <c r="S249" s="305" t="e">
        <f t="shared" si="75"/>
        <v>#VALUE!</v>
      </c>
      <c r="T249" s="305" t="e">
        <f t="shared" ref="T249:T254" si="76">T248</f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58"/>
        <v>#VALUE!</v>
      </c>
    </row>
    <row r="250" spans="3:34">
      <c r="C250" s="304">
        <f t="shared" si="59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72"/>
        <v>#VALUE!</v>
      </c>
      <c r="Q250" s="305" t="e">
        <f t="shared" si="73"/>
        <v>#VALUE!</v>
      </c>
      <c r="R250" s="305" t="e">
        <f t="shared" si="74"/>
        <v>#VALUE!</v>
      </c>
      <c r="S250" s="305" t="e">
        <f t="shared" si="75"/>
        <v>#VALUE!</v>
      </c>
      <c r="T250" s="305" t="e">
        <f t="shared" si="76"/>
        <v>#VALUE!</v>
      </c>
      <c r="U250" s="305" t="e">
        <f t="shared" ref="U250:U255" si="77">U249</f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58"/>
        <v>#VALUE!</v>
      </c>
    </row>
    <row r="251" spans="3:34">
      <c r="C251" s="304">
        <f t="shared" si="59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73"/>
        <v>#VALUE!</v>
      </c>
      <c r="R251" s="305" t="e">
        <f t="shared" si="74"/>
        <v>#VALUE!</v>
      </c>
      <c r="S251" s="305" t="e">
        <f t="shared" si="75"/>
        <v>#VALUE!</v>
      </c>
      <c r="T251" s="305" t="e">
        <f t="shared" si="76"/>
        <v>#VALUE!</v>
      </c>
      <c r="U251" s="305" t="e">
        <f t="shared" si="77"/>
        <v>#VALUE!</v>
      </c>
      <c r="V251" s="305" t="e">
        <f t="shared" ref="V251:V256" si="78">V250</f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58"/>
        <v>#VALUE!</v>
      </c>
    </row>
    <row r="252" spans="3:34">
      <c r="C252" s="304">
        <f t="shared" si="59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74"/>
        <v>#VALUE!</v>
      </c>
      <c r="S252" s="305" t="e">
        <f t="shared" si="75"/>
        <v>#VALUE!</v>
      </c>
      <c r="T252" s="305" t="e">
        <f t="shared" si="76"/>
        <v>#VALUE!</v>
      </c>
      <c r="U252" s="305" t="e">
        <f t="shared" si="77"/>
        <v>#VALUE!</v>
      </c>
      <c r="V252" s="305" t="e">
        <f t="shared" si="78"/>
        <v>#VALUE!</v>
      </c>
      <c r="W252" s="305" t="e">
        <f t="shared" ref="W252:W257" si="79">W251</f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58"/>
        <v>#VALUE!</v>
      </c>
    </row>
    <row r="253" spans="3:34">
      <c r="C253" s="304">
        <f t="shared" si="59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75"/>
        <v>#VALUE!</v>
      </c>
      <c r="T253" s="305" t="e">
        <f t="shared" si="76"/>
        <v>#VALUE!</v>
      </c>
      <c r="U253" s="305" t="e">
        <f t="shared" si="77"/>
        <v>#VALUE!</v>
      </c>
      <c r="V253" s="305" t="e">
        <f t="shared" si="78"/>
        <v>#VALUE!</v>
      </c>
      <c r="W253" s="305" t="e">
        <f t="shared" si="79"/>
        <v>#VALUE!</v>
      </c>
      <c r="X253" s="305" t="e">
        <f t="shared" ref="X253:X258" si="80">X252</f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58"/>
        <v>#VALUE!</v>
      </c>
    </row>
    <row r="254" spans="3:34">
      <c r="C254" s="304">
        <f t="shared" si="59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76"/>
        <v>#VALUE!</v>
      </c>
      <c r="U254" s="305" t="e">
        <f t="shared" si="77"/>
        <v>#VALUE!</v>
      </c>
      <c r="V254" s="305" t="e">
        <f t="shared" si="78"/>
        <v>#VALUE!</v>
      </c>
      <c r="W254" s="305" t="e">
        <f t="shared" si="79"/>
        <v>#VALUE!</v>
      </c>
      <c r="X254" s="305" t="e">
        <f t="shared" si="80"/>
        <v>#VALUE!</v>
      </c>
      <c r="Y254" s="305" t="e">
        <f t="shared" ref="Y254:Y259" si="81">Y253</f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58"/>
        <v>#VALUE!</v>
      </c>
    </row>
    <row r="255" spans="3:34">
      <c r="C255" s="304">
        <f t="shared" si="59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77"/>
        <v>#VALUE!</v>
      </c>
      <c r="V255" s="305" t="e">
        <f t="shared" si="78"/>
        <v>#VALUE!</v>
      </c>
      <c r="W255" s="305" t="e">
        <f t="shared" si="79"/>
        <v>#VALUE!</v>
      </c>
      <c r="X255" s="305" t="e">
        <f t="shared" si="80"/>
        <v>#VALUE!</v>
      </c>
      <c r="Y255" s="305" t="e">
        <f t="shared" si="81"/>
        <v>#VALUE!</v>
      </c>
      <c r="Z255" s="305" t="e">
        <f t="shared" ref="Z255:Z260" si="82">Z254</f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58"/>
        <v>#VALUE!</v>
      </c>
    </row>
    <row r="256" spans="3:34">
      <c r="C256" s="304">
        <f t="shared" si="59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78"/>
        <v>#VALUE!</v>
      </c>
      <c r="W256" s="305" t="e">
        <f t="shared" si="79"/>
        <v>#VALUE!</v>
      </c>
      <c r="X256" s="305" t="e">
        <f t="shared" si="80"/>
        <v>#VALUE!</v>
      </c>
      <c r="Y256" s="305" t="e">
        <f t="shared" si="81"/>
        <v>#VALUE!</v>
      </c>
      <c r="Z256" s="305" t="e">
        <f t="shared" si="82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58"/>
        <v>#VALUE!</v>
      </c>
    </row>
    <row r="257" spans="1:34">
      <c r="C257" s="304">
        <f t="shared" si="59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79"/>
        <v>#VALUE!</v>
      </c>
      <c r="X257" s="305" t="e">
        <f t="shared" si="80"/>
        <v>#VALUE!</v>
      </c>
      <c r="Y257" s="305" t="e">
        <f t="shared" si="81"/>
        <v>#VALUE!</v>
      </c>
      <c r="Z257" s="305" t="e">
        <f t="shared" si="82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58"/>
        <v>#VALUE!</v>
      </c>
    </row>
    <row r="258" spans="1:34">
      <c r="C258" s="304">
        <f t="shared" si="59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80"/>
        <v>#VALUE!</v>
      </c>
      <c r="Y258" s="305" t="e">
        <f t="shared" si="81"/>
        <v>#VALUE!</v>
      </c>
      <c r="Z258" s="305" t="e">
        <f t="shared" si="82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58"/>
        <v>#VALUE!</v>
      </c>
    </row>
    <row r="259" spans="1:34">
      <c r="C259" s="304">
        <f t="shared" si="59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81"/>
        <v>#VALUE!</v>
      </c>
      <c r="Z259" s="305" t="e">
        <f t="shared" si="82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58"/>
        <v>#VALUE!</v>
      </c>
    </row>
    <row r="260" spans="1:34" ht="13.5" thickBot="1">
      <c r="C260" s="304">
        <f t="shared" si="59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82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58"/>
        <v>#VALUE!</v>
      </c>
    </row>
    <row r="261" spans="1:34" ht="14.25" thickTop="1" thickBot="1">
      <c r="C261" s="311" t="s">
        <v>0</v>
      </c>
      <c r="D261" s="328" t="e">
        <f t="shared" ref="D261:AH261" si="83">SUM(D230:D260)</f>
        <v>#VALUE!</v>
      </c>
      <c r="E261" s="328" t="e">
        <f t="shared" si="83"/>
        <v>#VALUE!</v>
      </c>
      <c r="F261" s="328" t="e">
        <f t="shared" si="83"/>
        <v>#VALUE!</v>
      </c>
      <c r="G261" s="328" t="e">
        <f t="shared" si="83"/>
        <v>#VALUE!</v>
      </c>
      <c r="H261" s="328" t="e">
        <f t="shared" si="83"/>
        <v>#VALUE!</v>
      </c>
      <c r="I261" s="328" t="e">
        <f t="shared" si="83"/>
        <v>#VALUE!</v>
      </c>
      <c r="J261" s="328" t="e">
        <f t="shared" si="83"/>
        <v>#VALUE!</v>
      </c>
      <c r="K261" s="328" t="e">
        <f t="shared" si="83"/>
        <v>#VALUE!</v>
      </c>
      <c r="L261" s="328" t="e">
        <f t="shared" si="83"/>
        <v>#VALUE!</v>
      </c>
      <c r="M261" s="328" t="e">
        <f t="shared" si="83"/>
        <v>#VALUE!</v>
      </c>
      <c r="N261" s="328" t="e">
        <f t="shared" si="83"/>
        <v>#VALUE!</v>
      </c>
      <c r="O261" s="328" t="e">
        <f t="shared" si="83"/>
        <v>#VALUE!</v>
      </c>
      <c r="P261" s="328" t="e">
        <f t="shared" si="83"/>
        <v>#VALUE!</v>
      </c>
      <c r="Q261" s="328" t="e">
        <f t="shared" si="83"/>
        <v>#VALUE!</v>
      </c>
      <c r="R261" s="328" t="e">
        <f t="shared" si="83"/>
        <v>#VALUE!</v>
      </c>
      <c r="S261" s="328" t="e">
        <f t="shared" si="83"/>
        <v>#VALUE!</v>
      </c>
      <c r="T261" s="328" t="e">
        <f t="shared" si="83"/>
        <v>#VALUE!</v>
      </c>
      <c r="U261" s="328" t="e">
        <f t="shared" si="83"/>
        <v>#VALUE!</v>
      </c>
      <c r="V261" s="328" t="e">
        <f t="shared" si="83"/>
        <v>#VALUE!</v>
      </c>
      <c r="W261" s="328" t="e">
        <f t="shared" si="83"/>
        <v>#VALUE!</v>
      </c>
      <c r="X261" s="328" t="e">
        <f t="shared" si="83"/>
        <v>#VALUE!</v>
      </c>
      <c r="Y261" s="328" t="e">
        <f t="shared" si="83"/>
        <v>#VALUE!</v>
      </c>
      <c r="Z261" s="328" t="e">
        <f t="shared" si="83"/>
        <v>#VALUE!</v>
      </c>
      <c r="AA261" s="328" t="e">
        <f t="shared" si="83"/>
        <v>#VALUE!</v>
      </c>
      <c r="AB261" s="328" t="e">
        <f t="shared" si="83"/>
        <v>#VALUE!</v>
      </c>
      <c r="AC261" s="328" t="e">
        <f t="shared" si="83"/>
        <v>#VALUE!</v>
      </c>
      <c r="AD261" s="328" t="e">
        <f t="shared" si="83"/>
        <v>#VALUE!</v>
      </c>
      <c r="AE261" s="328" t="e">
        <f t="shared" si="83"/>
        <v>#VALUE!</v>
      </c>
      <c r="AF261" s="329" t="e">
        <f t="shared" si="83"/>
        <v>#VALUE!</v>
      </c>
      <c r="AG261" s="328" t="e">
        <f t="shared" si="83"/>
        <v>#VALUE!</v>
      </c>
      <c r="AH261" s="315" t="e">
        <f t="shared" si="83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84">D267+1</f>
        <v>2</v>
      </c>
      <c r="F267" s="302">
        <f t="shared" si="84"/>
        <v>3</v>
      </c>
      <c r="G267" s="302">
        <f t="shared" si="84"/>
        <v>4</v>
      </c>
      <c r="H267" s="302">
        <f t="shared" si="84"/>
        <v>5</v>
      </c>
      <c r="I267" s="302">
        <f t="shared" si="84"/>
        <v>6</v>
      </c>
      <c r="J267" s="302">
        <f t="shared" si="84"/>
        <v>7</v>
      </c>
      <c r="K267" s="302">
        <f t="shared" si="84"/>
        <v>8</v>
      </c>
      <c r="L267" s="302">
        <f t="shared" si="84"/>
        <v>9</v>
      </c>
      <c r="M267" s="302">
        <f t="shared" si="84"/>
        <v>10</v>
      </c>
      <c r="N267" s="302">
        <f t="shared" si="84"/>
        <v>11</v>
      </c>
      <c r="O267" s="302">
        <f t="shared" si="84"/>
        <v>12</v>
      </c>
      <c r="P267" s="302">
        <f t="shared" si="84"/>
        <v>13</v>
      </c>
      <c r="Q267" s="302">
        <f t="shared" si="84"/>
        <v>14</v>
      </c>
      <c r="R267" s="302">
        <f t="shared" si="84"/>
        <v>15</v>
      </c>
      <c r="S267" s="302">
        <f t="shared" si="84"/>
        <v>16</v>
      </c>
      <c r="T267" s="302">
        <f t="shared" si="84"/>
        <v>17</v>
      </c>
      <c r="U267" s="302">
        <f t="shared" si="84"/>
        <v>18</v>
      </c>
      <c r="V267" s="302">
        <f t="shared" si="84"/>
        <v>19</v>
      </c>
      <c r="W267" s="302">
        <f t="shared" si="84"/>
        <v>20</v>
      </c>
      <c r="X267" s="302">
        <f t="shared" si="84"/>
        <v>21</v>
      </c>
      <c r="Y267" s="302">
        <f t="shared" si="84"/>
        <v>22</v>
      </c>
      <c r="Z267" s="302">
        <f t="shared" si="84"/>
        <v>23</v>
      </c>
      <c r="AA267" s="302">
        <f t="shared" si="84"/>
        <v>24</v>
      </c>
      <c r="AB267" s="302">
        <f t="shared" si="84"/>
        <v>25</v>
      </c>
      <c r="AC267" s="302">
        <f t="shared" si="84"/>
        <v>26</v>
      </c>
      <c r="AD267" s="302">
        <f t="shared" si="84"/>
        <v>27</v>
      </c>
      <c r="AE267" s="302">
        <f t="shared" si="84"/>
        <v>28</v>
      </c>
      <c r="AF267" s="302">
        <f t="shared" si="84"/>
        <v>29</v>
      </c>
      <c r="AG267" s="302">
        <f t="shared" si="84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85">SUM(D268:AG268)</f>
        <v>0</v>
      </c>
    </row>
    <row r="269" spans="1:34">
      <c r="C269" s="307">
        <f t="shared" ref="C269:C298" si="86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85"/>
        <v>0</v>
      </c>
    </row>
    <row r="270" spans="1:34">
      <c r="C270" s="307">
        <f t="shared" si="86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85"/>
        <v>#VALUE!</v>
      </c>
    </row>
    <row r="271" spans="1:34">
      <c r="C271" s="307">
        <f t="shared" si="86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85"/>
        <v>#VALUE!</v>
      </c>
    </row>
    <row r="272" spans="1:34">
      <c r="C272" s="307">
        <f t="shared" si="86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85"/>
        <v>#VALUE!</v>
      </c>
    </row>
    <row r="273" spans="3:34">
      <c r="C273" s="307">
        <f t="shared" si="86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85"/>
        <v>#VALUE!</v>
      </c>
    </row>
    <row r="274" spans="3:34">
      <c r="C274" s="307">
        <f t="shared" si="86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85"/>
        <v>#VALUE!</v>
      </c>
    </row>
    <row r="275" spans="3:34">
      <c r="C275" s="307">
        <f t="shared" si="86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85"/>
        <v>#VALUE!</v>
      </c>
    </row>
    <row r="276" spans="3:34">
      <c r="C276" s="307">
        <f t="shared" si="86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85"/>
        <v>#VALUE!</v>
      </c>
    </row>
    <row r="277" spans="3:34">
      <c r="C277" s="307">
        <f t="shared" si="86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85"/>
        <v>#VALUE!</v>
      </c>
    </row>
    <row r="278" spans="3:34">
      <c r="C278" s="307">
        <f t="shared" si="86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85"/>
        <v>#VALUE!</v>
      </c>
    </row>
    <row r="279" spans="3:34">
      <c r="C279" s="307">
        <f t="shared" si="86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85"/>
        <v>#VALUE!</v>
      </c>
    </row>
    <row r="280" spans="3:34">
      <c r="C280" s="307">
        <f t="shared" si="86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85"/>
        <v>#VALUE!</v>
      </c>
    </row>
    <row r="281" spans="3:34">
      <c r="C281" s="307">
        <f t="shared" si="86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85"/>
        <v>#VALUE!</v>
      </c>
    </row>
    <row r="282" spans="3:34">
      <c r="C282" s="307">
        <f t="shared" si="86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85"/>
        <v>#VALUE!</v>
      </c>
    </row>
    <row r="283" spans="3:34">
      <c r="C283" s="307">
        <f t="shared" si="86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85"/>
        <v>#VALUE!</v>
      </c>
    </row>
    <row r="284" spans="3:34">
      <c r="C284" s="307">
        <f t="shared" si="86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85"/>
        <v>#VALUE!</v>
      </c>
    </row>
    <row r="285" spans="3:34">
      <c r="C285" s="307">
        <f t="shared" si="86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85"/>
        <v>#VALUE!</v>
      </c>
    </row>
    <row r="286" spans="3:34">
      <c r="C286" s="307">
        <f t="shared" si="86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85"/>
        <v>#VALUE!</v>
      </c>
    </row>
    <row r="287" spans="3:34">
      <c r="C287" s="307">
        <f t="shared" si="86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85"/>
        <v>#VALUE!</v>
      </c>
    </row>
    <row r="288" spans="3:34">
      <c r="C288" s="307">
        <f t="shared" si="86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85"/>
        <v>#VALUE!</v>
      </c>
    </row>
    <row r="289" spans="1:34">
      <c r="C289" s="307">
        <f t="shared" si="86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85"/>
        <v>#VALUE!</v>
      </c>
    </row>
    <row r="290" spans="1:34">
      <c r="C290" s="307">
        <f t="shared" si="86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85"/>
        <v>#VALUE!</v>
      </c>
    </row>
    <row r="291" spans="1:34">
      <c r="C291" s="307">
        <f t="shared" si="86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85"/>
        <v>#VALUE!</v>
      </c>
    </row>
    <row r="292" spans="1:34">
      <c r="C292" s="307">
        <f t="shared" si="86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85"/>
        <v>#VALUE!</v>
      </c>
    </row>
    <row r="293" spans="1:34">
      <c r="C293" s="307">
        <f t="shared" si="86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85"/>
        <v>#VALUE!</v>
      </c>
    </row>
    <row r="294" spans="1:34">
      <c r="C294" s="307">
        <f t="shared" si="86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85"/>
        <v>#VALUE!</v>
      </c>
    </row>
    <row r="295" spans="1:34">
      <c r="C295" s="307">
        <f t="shared" si="86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85"/>
        <v>#VALUE!</v>
      </c>
    </row>
    <row r="296" spans="1:34">
      <c r="C296" s="307">
        <f t="shared" si="86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85"/>
        <v>#VALUE!</v>
      </c>
    </row>
    <row r="297" spans="1:34">
      <c r="C297" s="307">
        <f t="shared" si="86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85"/>
        <v>#VALUE!</v>
      </c>
    </row>
    <row r="298" spans="1:34" ht="13.5" thickBot="1">
      <c r="C298" s="307">
        <f t="shared" si="86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85"/>
        <v>#VALUE!</v>
      </c>
    </row>
    <row r="299" spans="1:34" ht="14.25" thickTop="1" thickBot="1">
      <c r="C299" s="311" t="s">
        <v>0</v>
      </c>
      <c r="D299" s="328" t="e">
        <f t="shared" ref="D299:AH299" si="87">SUM(D268:D298)</f>
        <v>#VALUE!</v>
      </c>
      <c r="E299" s="328" t="e">
        <f t="shared" si="87"/>
        <v>#VALUE!</v>
      </c>
      <c r="F299" s="328" t="e">
        <f t="shared" si="87"/>
        <v>#VALUE!</v>
      </c>
      <c r="G299" s="328" t="e">
        <f t="shared" si="87"/>
        <v>#VALUE!</v>
      </c>
      <c r="H299" s="328" t="e">
        <f t="shared" si="87"/>
        <v>#VALUE!</v>
      </c>
      <c r="I299" s="328" t="e">
        <f t="shared" si="87"/>
        <v>#VALUE!</v>
      </c>
      <c r="J299" s="328" t="e">
        <f t="shared" si="87"/>
        <v>#VALUE!</v>
      </c>
      <c r="K299" s="328" t="e">
        <f t="shared" si="87"/>
        <v>#VALUE!</v>
      </c>
      <c r="L299" s="340" t="e">
        <f t="shared" si="87"/>
        <v>#VALUE!</v>
      </c>
      <c r="M299" s="340" t="e">
        <f t="shared" si="87"/>
        <v>#VALUE!</v>
      </c>
      <c r="N299" s="328" t="e">
        <f t="shared" si="87"/>
        <v>#VALUE!</v>
      </c>
      <c r="O299" s="328" t="e">
        <f t="shared" si="87"/>
        <v>#VALUE!</v>
      </c>
      <c r="P299" s="328" t="e">
        <f t="shared" si="87"/>
        <v>#VALUE!</v>
      </c>
      <c r="Q299" s="328" t="e">
        <f t="shared" si="87"/>
        <v>#VALUE!</v>
      </c>
      <c r="R299" s="328" t="e">
        <f t="shared" si="87"/>
        <v>#VALUE!</v>
      </c>
      <c r="S299" s="328" t="e">
        <f t="shared" si="87"/>
        <v>#VALUE!</v>
      </c>
      <c r="T299" s="328" t="e">
        <f t="shared" si="87"/>
        <v>#VALUE!</v>
      </c>
      <c r="U299" s="328" t="e">
        <f t="shared" si="87"/>
        <v>#VALUE!</v>
      </c>
      <c r="V299" s="328" t="e">
        <f t="shared" si="87"/>
        <v>#VALUE!</v>
      </c>
      <c r="W299" s="328" t="e">
        <f t="shared" si="87"/>
        <v>#VALUE!</v>
      </c>
      <c r="X299" s="328" t="e">
        <f t="shared" si="87"/>
        <v>#VALUE!</v>
      </c>
      <c r="Y299" s="328" t="e">
        <f t="shared" si="87"/>
        <v>#VALUE!</v>
      </c>
      <c r="Z299" s="328" t="e">
        <f t="shared" si="87"/>
        <v>#VALUE!</v>
      </c>
      <c r="AA299" s="328" t="e">
        <f t="shared" si="87"/>
        <v>#VALUE!</v>
      </c>
      <c r="AB299" s="328" t="e">
        <f t="shared" si="87"/>
        <v>#VALUE!</v>
      </c>
      <c r="AC299" s="328" t="e">
        <f t="shared" si="87"/>
        <v>#VALUE!</v>
      </c>
      <c r="AD299" s="328" t="e">
        <f t="shared" si="87"/>
        <v>#VALUE!</v>
      </c>
      <c r="AE299" s="328" t="e">
        <f t="shared" si="87"/>
        <v>#VALUE!</v>
      </c>
      <c r="AF299" s="329" t="e">
        <f t="shared" si="87"/>
        <v>#VALUE!</v>
      </c>
      <c r="AG299" s="328" t="e">
        <f t="shared" si="87"/>
        <v>#VALUE!</v>
      </c>
      <c r="AH299" s="315" t="e">
        <f t="shared" si="87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88">D305+1</f>
        <v>2</v>
      </c>
      <c r="F305" s="302">
        <f t="shared" si="88"/>
        <v>3</v>
      </c>
      <c r="G305" s="302">
        <f t="shared" si="88"/>
        <v>4</v>
      </c>
      <c r="H305" s="302">
        <f t="shared" si="88"/>
        <v>5</v>
      </c>
      <c r="I305" s="302">
        <f t="shared" si="88"/>
        <v>6</v>
      </c>
      <c r="J305" s="302">
        <f t="shared" si="88"/>
        <v>7</v>
      </c>
      <c r="K305" s="302">
        <f t="shared" si="88"/>
        <v>8</v>
      </c>
      <c r="L305" s="302">
        <f t="shared" si="88"/>
        <v>9</v>
      </c>
      <c r="M305" s="302">
        <f t="shared" si="88"/>
        <v>10</v>
      </c>
      <c r="N305" s="302">
        <f t="shared" si="88"/>
        <v>11</v>
      </c>
      <c r="O305" s="302">
        <f t="shared" si="88"/>
        <v>12</v>
      </c>
      <c r="P305" s="302">
        <f t="shared" si="88"/>
        <v>13</v>
      </c>
      <c r="Q305" s="302">
        <f t="shared" si="88"/>
        <v>14</v>
      </c>
      <c r="R305" s="302">
        <f t="shared" si="88"/>
        <v>15</v>
      </c>
      <c r="S305" s="302">
        <f t="shared" si="88"/>
        <v>16</v>
      </c>
      <c r="T305" s="302">
        <f t="shared" si="88"/>
        <v>17</v>
      </c>
      <c r="U305" s="302">
        <f t="shared" si="88"/>
        <v>18</v>
      </c>
      <c r="V305" s="302">
        <f t="shared" si="88"/>
        <v>19</v>
      </c>
      <c r="W305" s="302">
        <f t="shared" si="88"/>
        <v>20</v>
      </c>
      <c r="X305" s="302">
        <f t="shared" si="88"/>
        <v>21</v>
      </c>
      <c r="Y305" s="302">
        <f t="shared" si="88"/>
        <v>22</v>
      </c>
      <c r="Z305" s="302">
        <f t="shared" si="88"/>
        <v>23</v>
      </c>
      <c r="AA305" s="302">
        <f t="shared" si="88"/>
        <v>24</v>
      </c>
      <c r="AB305" s="302">
        <f t="shared" si="88"/>
        <v>25</v>
      </c>
      <c r="AC305" s="302">
        <f t="shared" si="88"/>
        <v>26</v>
      </c>
      <c r="AD305" s="302">
        <f t="shared" si="88"/>
        <v>27</v>
      </c>
      <c r="AE305" s="302">
        <f t="shared" si="88"/>
        <v>28</v>
      </c>
      <c r="AF305" s="302">
        <f t="shared" si="88"/>
        <v>29</v>
      </c>
      <c r="AG305" s="302">
        <f t="shared" si="88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89">SUM(D306:AG306)</f>
        <v>0</v>
      </c>
    </row>
    <row r="307" spans="3:34">
      <c r="C307" s="307">
        <f t="shared" ref="C307:C336" si="90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89"/>
        <v>0</v>
      </c>
    </row>
    <row r="308" spans="3:34">
      <c r="C308" s="307">
        <f t="shared" si="90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89"/>
        <v>#VALUE!</v>
      </c>
    </row>
    <row r="309" spans="3:34">
      <c r="C309" s="307">
        <f t="shared" si="90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89"/>
        <v>#VALUE!</v>
      </c>
    </row>
    <row r="310" spans="3:34">
      <c r="C310" s="307">
        <f t="shared" si="90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89"/>
        <v>#VALUE!</v>
      </c>
    </row>
    <row r="311" spans="3:34">
      <c r="C311" s="307">
        <f t="shared" si="90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89"/>
        <v>#VALUE!</v>
      </c>
    </row>
    <row r="312" spans="3:34">
      <c r="C312" s="307">
        <f t="shared" si="90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89"/>
        <v>#VALUE!</v>
      </c>
    </row>
    <row r="313" spans="3:34">
      <c r="C313" s="307">
        <f t="shared" si="90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89"/>
        <v>#VALUE!</v>
      </c>
    </row>
    <row r="314" spans="3:34">
      <c r="C314" s="307">
        <f t="shared" si="90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89"/>
        <v>#VALUE!</v>
      </c>
    </row>
    <row r="315" spans="3:34">
      <c r="C315" s="307">
        <f t="shared" si="90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89"/>
        <v>#VALUE!</v>
      </c>
    </row>
    <row r="316" spans="3:34">
      <c r="C316" s="307">
        <f t="shared" si="90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89"/>
        <v>#VALUE!</v>
      </c>
    </row>
    <row r="317" spans="3:34">
      <c r="C317" s="307">
        <f t="shared" si="90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89"/>
        <v>#VALUE!</v>
      </c>
    </row>
    <row r="318" spans="3:34">
      <c r="C318" s="307">
        <f t="shared" si="90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89"/>
        <v>#VALUE!</v>
      </c>
    </row>
    <row r="319" spans="3:34">
      <c r="C319" s="307">
        <f t="shared" si="90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89"/>
        <v>#VALUE!</v>
      </c>
    </row>
    <row r="320" spans="3:34">
      <c r="C320" s="307">
        <f t="shared" si="90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89"/>
        <v>#VALUE!</v>
      </c>
    </row>
    <row r="321" spans="3:34">
      <c r="C321" s="307">
        <f t="shared" si="90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89"/>
        <v>#VALUE!</v>
      </c>
    </row>
    <row r="322" spans="3:34">
      <c r="C322" s="307">
        <f t="shared" si="90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89"/>
        <v>#VALUE!</v>
      </c>
    </row>
    <row r="323" spans="3:34">
      <c r="C323" s="307">
        <f t="shared" si="90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89"/>
        <v>#VALUE!</v>
      </c>
    </row>
    <row r="324" spans="3:34">
      <c r="C324" s="307">
        <f t="shared" si="90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89"/>
        <v>#VALUE!</v>
      </c>
    </row>
    <row r="325" spans="3:34">
      <c r="C325" s="307">
        <f t="shared" si="90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89"/>
        <v>#VALUE!</v>
      </c>
    </row>
    <row r="326" spans="3:34">
      <c r="C326" s="307">
        <f t="shared" si="90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89"/>
        <v>#VALUE!</v>
      </c>
    </row>
    <row r="327" spans="3:34">
      <c r="C327" s="307">
        <f t="shared" si="90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89"/>
        <v>#VALUE!</v>
      </c>
    </row>
    <row r="328" spans="3:34">
      <c r="C328" s="307">
        <f t="shared" si="90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89"/>
        <v>#VALUE!</v>
      </c>
    </row>
    <row r="329" spans="3:34">
      <c r="C329" s="307">
        <f t="shared" si="90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89"/>
        <v>#VALUE!</v>
      </c>
    </row>
    <row r="330" spans="3:34">
      <c r="C330" s="307">
        <f t="shared" si="90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89"/>
        <v>#VALUE!</v>
      </c>
    </row>
    <row r="331" spans="3:34">
      <c r="C331" s="307">
        <f t="shared" si="90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89"/>
        <v>#VALUE!</v>
      </c>
    </row>
    <row r="332" spans="3:34">
      <c r="C332" s="307">
        <f t="shared" si="90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89"/>
        <v>#VALUE!</v>
      </c>
    </row>
    <row r="333" spans="3:34">
      <c r="C333" s="307">
        <f t="shared" si="90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89"/>
        <v>#VALUE!</v>
      </c>
    </row>
    <row r="334" spans="3:34">
      <c r="C334" s="307">
        <f t="shared" si="90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89"/>
        <v>#VALUE!</v>
      </c>
    </row>
    <row r="335" spans="3:34">
      <c r="C335" s="307">
        <f t="shared" si="90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89"/>
        <v>#VALUE!</v>
      </c>
    </row>
    <row r="336" spans="3:34" ht="13.5" thickBot="1">
      <c r="C336" s="307">
        <f t="shared" si="90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89"/>
        <v>#VALUE!</v>
      </c>
    </row>
    <row r="337" spans="3:34" ht="14.25" thickTop="1" thickBot="1">
      <c r="C337" s="311" t="s">
        <v>0</v>
      </c>
      <c r="D337" s="328" t="e">
        <f t="shared" ref="D337:AH337" si="91">SUM(D306:D336)</f>
        <v>#VALUE!</v>
      </c>
      <c r="E337" s="328" t="e">
        <f t="shared" si="91"/>
        <v>#VALUE!</v>
      </c>
      <c r="F337" s="328" t="e">
        <f t="shared" si="91"/>
        <v>#VALUE!</v>
      </c>
      <c r="G337" s="328" t="e">
        <f t="shared" si="91"/>
        <v>#VALUE!</v>
      </c>
      <c r="H337" s="328" t="e">
        <f t="shared" si="91"/>
        <v>#VALUE!</v>
      </c>
      <c r="I337" s="328" t="e">
        <f t="shared" si="91"/>
        <v>#VALUE!</v>
      </c>
      <c r="J337" s="328" t="e">
        <f t="shared" si="91"/>
        <v>#VALUE!</v>
      </c>
      <c r="K337" s="328" t="e">
        <f t="shared" si="91"/>
        <v>#VALUE!</v>
      </c>
      <c r="L337" s="328" t="e">
        <f t="shared" si="91"/>
        <v>#VALUE!</v>
      </c>
      <c r="M337" s="336" t="e">
        <f t="shared" si="91"/>
        <v>#VALUE!</v>
      </c>
      <c r="N337" s="328" t="e">
        <f t="shared" si="91"/>
        <v>#VALUE!</v>
      </c>
      <c r="O337" s="328" t="e">
        <f t="shared" si="91"/>
        <v>#VALUE!</v>
      </c>
      <c r="P337" s="328" t="e">
        <f t="shared" si="91"/>
        <v>#VALUE!</v>
      </c>
      <c r="Q337" s="328" t="e">
        <f t="shared" si="91"/>
        <v>#VALUE!</v>
      </c>
      <c r="R337" s="328" t="e">
        <f t="shared" si="91"/>
        <v>#VALUE!</v>
      </c>
      <c r="S337" s="328" t="e">
        <f t="shared" si="91"/>
        <v>#VALUE!</v>
      </c>
      <c r="T337" s="328" t="e">
        <f t="shared" si="91"/>
        <v>#VALUE!</v>
      </c>
      <c r="U337" s="328" t="e">
        <f t="shared" si="91"/>
        <v>#VALUE!</v>
      </c>
      <c r="V337" s="328" t="e">
        <f t="shared" si="91"/>
        <v>#VALUE!</v>
      </c>
      <c r="W337" s="328" t="e">
        <f t="shared" si="91"/>
        <v>#VALUE!</v>
      </c>
      <c r="X337" s="328" t="e">
        <f t="shared" si="91"/>
        <v>#VALUE!</v>
      </c>
      <c r="Y337" s="328" t="e">
        <f t="shared" si="91"/>
        <v>#VALUE!</v>
      </c>
      <c r="Z337" s="328" t="e">
        <f t="shared" si="91"/>
        <v>#VALUE!</v>
      </c>
      <c r="AA337" s="328" t="e">
        <f t="shared" si="91"/>
        <v>#VALUE!</v>
      </c>
      <c r="AB337" s="328" t="e">
        <f t="shared" si="91"/>
        <v>#VALUE!</v>
      </c>
      <c r="AC337" s="328" t="e">
        <f t="shared" si="91"/>
        <v>#VALUE!</v>
      </c>
      <c r="AD337" s="328" t="e">
        <f t="shared" si="91"/>
        <v>#VALUE!</v>
      </c>
      <c r="AE337" s="328" t="e">
        <f t="shared" si="91"/>
        <v>#VALUE!</v>
      </c>
      <c r="AF337" s="329" t="e">
        <f t="shared" si="91"/>
        <v>#VALUE!</v>
      </c>
      <c r="AG337" s="329" t="e">
        <f t="shared" si="91"/>
        <v>#VALUE!</v>
      </c>
      <c r="AH337" s="315" t="e">
        <f t="shared" si="91"/>
        <v>#VALUE!</v>
      </c>
    </row>
    <row r="340" spans="3:34">
      <c r="C340" s="301" t="s">
        <v>1</v>
      </c>
      <c r="D340" s="302">
        <v>1</v>
      </c>
      <c r="E340" s="302">
        <f t="shared" ref="E340:AG340" si="92">D340+1</f>
        <v>2</v>
      </c>
      <c r="F340" s="302">
        <f t="shared" si="92"/>
        <v>3</v>
      </c>
      <c r="G340" s="302">
        <f t="shared" si="92"/>
        <v>4</v>
      </c>
      <c r="H340" s="302">
        <f t="shared" si="92"/>
        <v>5</v>
      </c>
      <c r="I340" s="302">
        <f t="shared" si="92"/>
        <v>6</v>
      </c>
      <c r="J340" s="302">
        <f t="shared" si="92"/>
        <v>7</v>
      </c>
      <c r="K340" s="302">
        <f t="shared" si="92"/>
        <v>8</v>
      </c>
      <c r="L340" s="302">
        <f t="shared" si="92"/>
        <v>9</v>
      </c>
      <c r="M340" s="302">
        <f t="shared" si="92"/>
        <v>10</v>
      </c>
      <c r="N340" s="302">
        <f t="shared" si="92"/>
        <v>11</v>
      </c>
      <c r="O340" s="302">
        <f t="shared" si="92"/>
        <v>12</v>
      </c>
      <c r="P340" s="302">
        <f t="shared" si="92"/>
        <v>13</v>
      </c>
      <c r="Q340" s="302">
        <f t="shared" si="92"/>
        <v>14</v>
      </c>
      <c r="R340" s="302">
        <f t="shared" si="92"/>
        <v>15</v>
      </c>
      <c r="S340" s="302">
        <f t="shared" si="92"/>
        <v>16</v>
      </c>
      <c r="T340" s="302">
        <f t="shared" si="92"/>
        <v>17</v>
      </c>
      <c r="U340" s="302">
        <f t="shared" si="92"/>
        <v>18</v>
      </c>
      <c r="V340" s="302">
        <f t="shared" si="92"/>
        <v>19</v>
      </c>
      <c r="W340" s="302">
        <f t="shared" si="92"/>
        <v>20</v>
      </c>
      <c r="X340" s="302">
        <f t="shared" si="92"/>
        <v>21</v>
      </c>
      <c r="Y340" s="302">
        <f t="shared" si="92"/>
        <v>22</v>
      </c>
      <c r="Z340" s="302">
        <f t="shared" si="92"/>
        <v>23</v>
      </c>
      <c r="AA340" s="302">
        <f t="shared" si="92"/>
        <v>24</v>
      </c>
      <c r="AB340" s="302">
        <f t="shared" si="92"/>
        <v>25</v>
      </c>
      <c r="AC340" s="302">
        <f t="shared" si="92"/>
        <v>26</v>
      </c>
      <c r="AD340" s="302">
        <f t="shared" si="92"/>
        <v>27</v>
      </c>
      <c r="AE340" s="302">
        <f t="shared" si="92"/>
        <v>28</v>
      </c>
      <c r="AF340" s="302">
        <f t="shared" si="92"/>
        <v>29</v>
      </c>
      <c r="AG340" s="302">
        <f t="shared" si="92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93">1+C341</f>
        <v>1</v>
      </c>
      <c r="AH342" s="341">
        <f t="shared" ref="AH342:AH371" ca="1" si="94">SUMIF($C$9:$AH$336,C342,$AH$9:$AH$336)</f>
        <v>0</v>
      </c>
    </row>
    <row r="343" spans="3:34">
      <c r="C343" s="307">
        <f t="shared" si="93"/>
        <v>2</v>
      </c>
      <c r="AH343" s="341" t="e">
        <f t="shared" ca="1" si="94"/>
        <v>#VALUE!</v>
      </c>
    </row>
    <row r="344" spans="3:34">
      <c r="C344" s="307">
        <f t="shared" si="93"/>
        <v>3</v>
      </c>
      <c r="AH344" s="341" t="e">
        <f t="shared" ca="1" si="94"/>
        <v>#VALUE!</v>
      </c>
    </row>
    <row r="345" spans="3:34">
      <c r="C345" s="307">
        <f t="shared" si="93"/>
        <v>4</v>
      </c>
      <c r="AH345" s="341" t="e">
        <f t="shared" ca="1" si="94"/>
        <v>#VALUE!</v>
      </c>
    </row>
    <row r="346" spans="3:34">
      <c r="C346" s="307">
        <f t="shared" si="93"/>
        <v>5</v>
      </c>
      <c r="AH346" s="341" t="e">
        <f t="shared" ca="1" si="94"/>
        <v>#VALUE!</v>
      </c>
    </row>
    <row r="347" spans="3:34">
      <c r="C347" s="307">
        <f t="shared" si="93"/>
        <v>6</v>
      </c>
      <c r="AH347" s="341" t="e">
        <f t="shared" ca="1" si="94"/>
        <v>#VALUE!</v>
      </c>
    </row>
    <row r="348" spans="3:34">
      <c r="C348" s="307">
        <f t="shared" si="93"/>
        <v>7</v>
      </c>
      <c r="AH348" s="341" t="e">
        <f t="shared" ca="1" si="94"/>
        <v>#VALUE!</v>
      </c>
    </row>
    <row r="349" spans="3:34">
      <c r="C349" s="307">
        <f t="shared" si="93"/>
        <v>8</v>
      </c>
      <c r="AH349" s="341" t="e">
        <f t="shared" ca="1" si="94"/>
        <v>#VALUE!</v>
      </c>
    </row>
    <row r="350" spans="3:34">
      <c r="C350" s="307">
        <f t="shared" si="93"/>
        <v>9</v>
      </c>
      <c r="AH350" s="341" t="e">
        <f t="shared" ca="1" si="94"/>
        <v>#VALUE!</v>
      </c>
    </row>
    <row r="351" spans="3:34">
      <c r="C351" s="307">
        <f t="shared" si="93"/>
        <v>10</v>
      </c>
      <c r="AH351" s="341" t="e">
        <f t="shared" ca="1" si="94"/>
        <v>#VALUE!</v>
      </c>
    </row>
    <row r="352" spans="3:34">
      <c r="C352" s="307">
        <f t="shared" si="93"/>
        <v>11</v>
      </c>
      <c r="AH352" s="341" t="e">
        <f t="shared" ca="1" si="94"/>
        <v>#VALUE!</v>
      </c>
    </row>
    <row r="353" spans="3:34">
      <c r="C353" s="307">
        <f t="shared" si="93"/>
        <v>12</v>
      </c>
      <c r="AH353" s="341" t="e">
        <f t="shared" ca="1" si="94"/>
        <v>#VALUE!</v>
      </c>
    </row>
    <row r="354" spans="3:34">
      <c r="C354" s="307">
        <f t="shared" si="93"/>
        <v>13</v>
      </c>
      <c r="AH354" s="341" t="e">
        <f t="shared" ca="1" si="94"/>
        <v>#VALUE!</v>
      </c>
    </row>
    <row r="355" spans="3:34">
      <c r="C355" s="307">
        <f t="shared" si="93"/>
        <v>14</v>
      </c>
      <c r="AH355" s="341" t="e">
        <f t="shared" ca="1" si="94"/>
        <v>#VALUE!</v>
      </c>
    </row>
    <row r="356" spans="3:34">
      <c r="C356" s="307">
        <f t="shared" si="93"/>
        <v>15</v>
      </c>
      <c r="AH356" s="341" t="e">
        <f t="shared" ca="1" si="94"/>
        <v>#VALUE!</v>
      </c>
    </row>
    <row r="357" spans="3:34">
      <c r="C357" s="307">
        <f t="shared" si="93"/>
        <v>16</v>
      </c>
      <c r="AH357" s="341" t="e">
        <f t="shared" ca="1" si="94"/>
        <v>#VALUE!</v>
      </c>
    </row>
    <row r="358" spans="3:34">
      <c r="C358" s="307">
        <f t="shared" si="93"/>
        <v>17</v>
      </c>
      <c r="AH358" s="341" t="e">
        <f t="shared" ca="1" si="94"/>
        <v>#VALUE!</v>
      </c>
    </row>
    <row r="359" spans="3:34">
      <c r="C359" s="307">
        <f t="shared" si="93"/>
        <v>18</v>
      </c>
      <c r="AH359" s="341" t="e">
        <f t="shared" ca="1" si="94"/>
        <v>#VALUE!</v>
      </c>
    </row>
    <row r="360" spans="3:34">
      <c r="C360" s="307">
        <f t="shared" si="93"/>
        <v>19</v>
      </c>
      <c r="AH360" s="341" t="e">
        <f t="shared" ca="1" si="94"/>
        <v>#VALUE!</v>
      </c>
    </row>
    <row r="361" spans="3:34">
      <c r="C361" s="307">
        <f t="shared" si="93"/>
        <v>20</v>
      </c>
      <c r="AH361" s="341" t="e">
        <f t="shared" ca="1" si="94"/>
        <v>#VALUE!</v>
      </c>
    </row>
    <row r="362" spans="3:34">
      <c r="C362" s="307">
        <f t="shared" si="93"/>
        <v>21</v>
      </c>
      <c r="AH362" s="341" t="e">
        <f t="shared" ca="1" si="94"/>
        <v>#VALUE!</v>
      </c>
    </row>
    <row r="363" spans="3:34">
      <c r="C363" s="307">
        <f t="shared" si="93"/>
        <v>22</v>
      </c>
      <c r="AH363" s="341" t="e">
        <f t="shared" ca="1" si="94"/>
        <v>#VALUE!</v>
      </c>
    </row>
    <row r="364" spans="3:34">
      <c r="C364" s="307">
        <f t="shared" si="93"/>
        <v>23</v>
      </c>
      <c r="AH364" s="341" t="e">
        <f t="shared" ca="1" si="94"/>
        <v>#VALUE!</v>
      </c>
    </row>
    <row r="365" spans="3:34">
      <c r="C365" s="307">
        <f t="shared" si="93"/>
        <v>24</v>
      </c>
      <c r="AH365" s="341" t="e">
        <f t="shared" ca="1" si="94"/>
        <v>#VALUE!</v>
      </c>
    </row>
    <row r="366" spans="3:34">
      <c r="C366" s="307">
        <f t="shared" si="93"/>
        <v>25</v>
      </c>
      <c r="AH366" s="341" t="e">
        <f t="shared" ca="1" si="94"/>
        <v>#VALUE!</v>
      </c>
    </row>
    <row r="367" spans="3:34">
      <c r="C367" s="307">
        <f t="shared" si="93"/>
        <v>26</v>
      </c>
      <c r="AH367" s="341" t="e">
        <f t="shared" ca="1" si="94"/>
        <v>#VALUE!</v>
      </c>
    </row>
    <row r="368" spans="3:34">
      <c r="C368" s="307">
        <f t="shared" si="93"/>
        <v>27</v>
      </c>
      <c r="AH368" s="341" t="e">
        <f t="shared" ca="1" si="94"/>
        <v>#VALUE!</v>
      </c>
    </row>
    <row r="369" spans="3:34">
      <c r="C369" s="307">
        <f t="shared" si="93"/>
        <v>28</v>
      </c>
      <c r="AH369" s="341" t="e">
        <f t="shared" ca="1" si="94"/>
        <v>#VALUE!</v>
      </c>
    </row>
    <row r="370" spans="3:34">
      <c r="C370" s="307">
        <f t="shared" si="93"/>
        <v>29</v>
      </c>
      <c r="AH370" s="341" t="e">
        <f t="shared" ca="1" si="94"/>
        <v>#VALUE!</v>
      </c>
    </row>
    <row r="371" spans="3:34">
      <c r="C371" s="307">
        <f t="shared" si="93"/>
        <v>30</v>
      </c>
      <c r="AH371" s="341" t="e">
        <f t="shared" ca="1" si="94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D5E63-8C60-4A45-91BB-EE1BE9CD81C7}">
  <sheetPr>
    <tabColor theme="0"/>
  </sheetPr>
  <dimension ref="A1:AJ58"/>
  <sheetViews>
    <sheetView showGridLines="0" zoomScale="70" zoomScaleNormal="70" workbookViewId="0">
      <selection activeCell="B20" sqref="B20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" width="17.7109375" style="41" customWidth="1"/>
    <col min="4" max="4" width="17.28515625" style="41" bestFit="1" customWidth="1"/>
    <col min="5" max="6" width="17.7109375" style="41" bestFit="1" customWidth="1"/>
    <col min="7" max="7" width="16.7109375" style="41" bestFit="1" customWidth="1"/>
    <col min="8" max="8" width="17.28515625" style="41" bestFit="1" customWidth="1"/>
    <col min="9" max="9" width="17.7109375" style="41" bestFit="1" customWidth="1"/>
    <col min="10" max="10" width="17.28515625" style="41" bestFit="1" customWidth="1"/>
    <col min="11" max="11" width="17.7109375" style="41" bestFit="1" customWidth="1"/>
    <col min="12" max="32" width="14.4257812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1" spans="1:36" ht="27" customHeight="1">
      <c r="B1" s="359" t="s">
        <v>509</v>
      </c>
      <c r="C1" s="89" t="s">
        <v>359</v>
      </c>
      <c r="D1" s="359"/>
      <c r="E1" s="359"/>
      <c r="F1" s="89"/>
      <c r="G1" s="89"/>
      <c r="H1" s="89"/>
      <c r="I1" s="89"/>
      <c r="J1" s="89"/>
      <c r="K1" s="89"/>
      <c r="L1" s="89"/>
      <c r="M1" s="89" t="s">
        <v>359</v>
      </c>
      <c r="O1" s="109"/>
      <c r="P1" s="109"/>
      <c r="Q1" s="109"/>
      <c r="R1" s="89"/>
      <c r="S1" s="89"/>
      <c r="T1" s="89"/>
      <c r="U1" s="89"/>
      <c r="V1" s="89"/>
      <c r="W1" s="89" t="s">
        <v>359</v>
      </c>
      <c r="X1" s="89"/>
      <c r="Y1" s="89"/>
      <c r="Z1" s="89"/>
      <c r="AA1" s="89"/>
      <c r="AB1" s="89"/>
      <c r="AC1" s="89"/>
      <c r="AD1" s="89"/>
      <c r="AE1" s="89"/>
      <c r="AF1" s="89"/>
      <c r="AG1" s="89"/>
    </row>
    <row r="2" spans="1:36" ht="16.149999999999999" customHeight="1" thickBot="1">
      <c r="G2" s="467"/>
      <c r="L2" s="467" t="s">
        <v>264</v>
      </c>
      <c r="Q2" s="467"/>
      <c r="V2" s="467" t="s">
        <v>264</v>
      </c>
      <c r="AG2" s="467" t="s">
        <v>264</v>
      </c>
    </row>
    <row r="3" spans="1:36" ht="30" customHeight="1">
      <c r="B3" s="415" t="s">
        <v>172</v>
      </c>
      <c r="C3" s="880" t="s">
        <v>173</v>
      </c>
      <c r="D3" s="880" t="s">
        <v>174</v>
      </c>
      <c r="E3" s="880" t="s">
        <v>259</v>
      </c>
      <c r="F3" s="880" t="s">
        <v>175</v>
      </c>
      <c r="G3" s="963" t="s">
        <v>176</v>
      </c>
      <c r="H3" s="963" t="s">
        <v>177</v>
      </c>
      <c r="I3" s="963" t="s">
        <v>178</v>
      </c>
      <c r="J3" s="963" t="s">
        <v>179</v>
      </c>
      <c r="K3" s="963" t="s">
        <v>180</v>
      </c>
      <c r="L3" s="963" t="s">
        <v>181</v>
      </c>
      <c r="M3" s="963" t="s">
        <v>182</v>
      </c>
      <c r="N3" s="963" t="s">
        <v>183</v>
      </c>
      <c r="O3" s="963" t="s">
        <v>184</v>
      </c>
      <c r="P3" s="963" t="s">
        <v>185</v>
      </c>
      <c r="Q3" s="963" t="s">
        <v>186</v>
      </c>
      <c r="R3" s="963" t="s">
        <v>187</v>
      </c>
      <c r="S3" s="963" t="s">
        <v>188</v>
      </c>
      <c r="T3" s="963" t="s">
        <v>189</v>
      </c>
      <c r="U3" s="963" t="s">
        <v>190</v>
      </c>
      <c r="V3" s="963" t="s">
        <v>191</v>
      </c>
      <c r="W3" s="963" t="s">
        <v>192</v>
      </c>
      <c r="X3" s="963" t="s">
        <v>193</v>
      </c>
      <c r="Y3" s="963" t="s">
        <v>194</v>
      </c>
      <c r="Z3" s="963" t="s">
        <v>195</v>
      </c>
      <c r="AA3" s="963" t="s">
        <v>196</v>
      </c>
      <c r="AB3" s="963" t="s">
        <v>197</v>
      </c>
      <c r="AC3" s="963" t="s">
        <v>198</v>
      </c>
      <c r="AD3" s="963" t="s">
        <v>199</v>
      </c>
      <c r="AE3" s="963" t="s">
        <v>200</v>
      </c>
      <c r="AF3" s="963" t="s">
        <v>201</v>
      </c>
      <c r="AG3" s="964" t="s">
        <v>0</v>
      </c>
    </row>
    <row r="4" spans="1:36" s="89" customFormat="1" ht="20.25" customHeight="1">
      <c r="A4" s="1127"/>
      <c r="B4" s="1128" t="s">
        <v>202</v>
      </c>
      <c r="C4" s="1139">
        <f>SUM(C5:C7)</f>
        <v>2302818.334183454</v>
      </c>
      <c r="D4" s="1139">
        <f t="shared" ref="D4:AF4" si="0">SUM(D5:D7)</f>
        <v>2589085.4613156808</v>
      </c>
      <c r="E4" s="1139">
        <f t="shared" si="0"/>
        <v>2818858.1047381544</v>
      </c>
      <c r="F4" s="1139">
        <f t="shared" si="0"/>
        <v>2920406.9946195232</v>
      </c>
      <c r="G4" s="965">
        <f t="shared" si="0"/>
        <v>2997193.0318223308</v>
      </c>
      <c r="H4" s="965">
        <f t="shared" si="0"/>
        <v>3300463.4410477728</v>
      </c>
      <c r="I4" s="965">
        <f t="shared" si="0"/>
        <v>3708341.8851871886</v>
      </c>
      <c r="J4" s="965">
        <f t="shared" si="0"/>
        <v>4008029.4952593418</v>
      </c>
      <c r="K4" s="965">
        <f t="shared" si="0"/>
        <v>4073699.9550725189</v>
      </c>
      <c r="L4" s="965">
        <f t="shared" si="0"/>
        <v>4168530.9301507464</v>
      </c>
      <c r="M4" s="965">
        <f t="shared" si="0"/>
        <v>4364999.8344247555</v>
      </c>
      <c r="N4" s="965">
        <f t="shared" si="0"/>
        <v>4663100.202262952</v>
      </c>
      <c r="O4" s="965">
        <f t="shared" si="0"/>
        <v>4665542.6642718697</v>
      </c>
      <c r="P4" s="965">
        <f t="shared" si="0"/>
        <v>4672249.2421313887</v>
      </c>
      <c r="Q4" s="965">
        <f t="shared" si="0"/>
        <v>4678955.8199909087</v>
      </c>
      <c r="R4" s="965">
        <f t="shared" si="0"/>
        <v>4685103.5163621325</v>
      </c>
      <c r="S4" s="965">
        <f t="shared" si="0"/>
        <v>4690692.3312450647</v>
      </c>
      <c r="T4" s="965">
        <f t="shared" si="0"/>
        <v>4696281.1461279979</v>
      </c>
      <c r="U4" s="965">
        <f t="shared" si="0"/>
        <v>4701869.9610109283</v>
      </c>
      <c r="V4" s="965">
        <f t="shared" si="0"/>
        <v>4706899.8944055689</v>
      </c>
      <c r="W4" s="965">
        <f t="shared" si="0"/>
        <v>4713047.5907767965</v>
      </c>
      <c r="X4" s="965">
        <f t="shared" si="0"/>
        <v>4719195.2871480193</v>
      </c>
      <c r="Y4" s="965">
        <f t="shared" si="0"/>
        <v>4723666.3390543666</v>
      </c>
      <c r="Z4" s="965">
        <f t="shared" si="0"/>
        <v>4728137.390960712</v>
      </c>
      <c r="AA4" s="965">
        <f t="shared" si="0"/>
        <v>4732608.4428670583</v>
      </c>
      <c r="AB4" s="965">
        <f t="shared" si="0"/>
        <v>4738197.2577499906</v>
      </c>
      <c r="AC4" s="965">
        <f t="shared" si="0"/>
        <v>4743786.0726329209</v>
      </c>
      <c r="AD4" s="965">
        <f t="shared" si="0"/>
        <v>4748816.0060275607</v>
      </c>
      <c r="AE4" s="965">
        <f t="shared" si="0"/>
        <v>4754404.8209104948</v>
      </c>
      <c r="AF4" s="965">
        <f t="shared" si="0"/>
        <v>4758316.9913285477</v>
      </c>
      <c r="AG4" s="966">
        <f t="shared" ref="AG4:AG12" si="1">SUM(C4:AF4)</f>
        <v>126773298.44508675</v>
      </c>
    </row>
    <row r="5" spans="1:36" ht="20.25" customHeight="1">
      <c r="A5" s="1142"/>
      <c r="B5" s="1143" t="s">
        <v>203</v>
      </c>
      <c r="C5" s="1140">
        <f>'14 R1 FAT 2'!C5</f>
        <v>1523597.081238748</v>
      </c>
      <c r="D5" s="1140">
        <f>'14 R1 FAT 2'!C6</f>
        <v>1700315.1510136535</v>
      </c>
      <c r="E5" s="1140">
        <f>'14 R1 FAT 2'!C7</f>
        <v>1854061.9660526102</v>
      </c>
      <c r="F5" s="1140">
        <f>'14 R1 FAT 2'!C8</f>
        <v>1912815.2651806301</v>
      </c>
      <c r="G5" s="1125">
        <f>'14 R1 FAT 2'!C9</f>
        <v>1980000</v>
      </c>
      <c r="H5" s="967">
        <f>'14 R1 FAT 2'!C10</f>
        <v>2033976.6216092038</v>
      </c>
      <c r="I5" s="967">
        <f>'14 R1 FAT 2'!C11</f>
        <v>2137438.513626555</v>
      </c>
      <c r="J5" s="967">
        <f>'14 R1 FAT 2'!C12</f>
        <v>2245693.2442389107</v>
      </c>
      <c r="K5" s="967">
        <f>'14 R1 FAT 2'!C13</f>
        <v>2236337.5618390017</v>
      </c>
      <c r="L5" s="967">
        <f>'14 R1 FAT 2'!C14</f>
        <v>2231422.6329661855</v>
      </c>
      <c r="M5" s="967">
        <f>'14 R1 FAT 2'!C15</f>
        <v>2230697.1871795147</v>
      </c>
      <c r="N5" s="967">
        <f>'14 R1 FAT 2'!C16</f>
        <v>2231802.0443904921</v>
      </c>
      <c r="O5" s="967">
        <f>'14 R1 FAT 2'!C17</f>
        <v>2230786.8367805546</v>
      </c>
      <c r="P5" s="967">
        <f>'14 R1 FAT 2'!C18</f>
        <v>2233993.5260524</v>
      </c>
      <c r="Q5" s="967">
        <f>'14 R1 FAT 2'!C19</f>
        <v>2237200.2153242463</v>
      </c>
      <c r="R5" s="967">
        <f>'14 R1 FAT 2'!C20</f>
        <v>2240139.680490104</v>
      </c>
      <c r="S5" s="967">
        <f>'14 R1 FAT 2'!C21</f>
        <v>2242811.9215499754</v>
      </c>
      <c r="T5" s="967">
        <f>'14 R1 FAT 2'!C22</f>
        <v>2245484.1626098468</v>
      </c>
      <c r="U5" s="967">
        <f>'14 R1 FAT 2'!C23</f>
        <v>2248156.4036697173</v>
      </c>
      <c r="V5" s="967">
        <f>'14 R1 FAT 2'!C24</f>
        <v>2250561.4206236023</v>
      </c>
      <c r="W5" s="967">
        <f>'14 R1 FAT 2'!C25</f>
        <v>2253500.8857894614</v>
      </c>
      <c r="X5" s="967">
        <f>'14 R1 FAT 2'!C26</f>
        <v>2256440.3509553187</v>
      </c>
      <c r="Y5" s="967">
        <f>'14 R1 FAT 2'!C27</f>
        <v>2258578.1438032161</v>
      </c>
      <c r="Z5" s="967">
        <f>'14 R1 FAT 2'!C28</f>
        <v>2260715.9366511134</v>
      </c>
      <c r="AA5" s="967">
        <f>'14 R1 FAT 2'!C29</f>
        <v>2262853.7294990104</v>
      </c>
      <c r="AB5" s="967">
        <f>'14 R1 FAT 2'!C30</f>
        <v>2265525.9705588818</v>
      </c>
      <c r="AC5" s="967">
        <f>'14 R1 FAT 2'!C31</f>
        <v>2268198.2116187527</v>
      </c>
      <c r="AD5" s="967">
        <f>'14 R1 FAT 2'!C32</f>
        <v>2270603.2285726368</v>
      </c>
      <c r="AE5" s="967">
        <f>'14 R1 FAT 2'!C33</f>
        <v>2273275.4696325082</v>
      </c>
      <c r="AF5" s="967">
        <f>'14 R1 FAT 2'!C34</f>
        <v>2275146.0383744184</v>
      </c>
      <c r="AG5" s="966">
        <f t="shared" si="1"/>
        <v>64892129.401891261</v>
      </c>
    </row>
    <row r="6" spans="1:36" ht="20.25" customHeight="1">
      <c r="A6" s="1142"/>
      <c r="B6" s="1143" t="s">
        <v>204</v>
      </c>
      <c r="C6" s="1140">
        <f>'14 R1 FAT 2'!D5</f>
        <v>755927.22474067716</v>
      </c>
      <c r="D6" s="1140">
        <f>'14 R1 FAT 2'!D6</f>
        <v>864024.61729416624</v>
      </c>
      <c r="E6" s="1140">
        <f>'14 R1 FAT 2'!D7</f>
        <v>921110.0796396106</v>
      </c>
      <c r="F6" s="1140">
        <f>'14 R1 FAT 2'!D8</f>
        <v>945261.79093005392</v>
      </c>
      <c r="G6" s="967">
        <f>'14 R1 FAT 2'!D9</f>
        <v>987517.85328943643</v>
      </c>
      <c r="H6" s="967">
        <f>'14 R1 FAT 2'!D10</f>
        <v>1233808.963586611</v>
      </c>
      <c r="I6" s="967">
        <f>'14 R1 FAT 2'!D11</f>
        <v>1534187.1152716517</v>
      </c>
      <c r="J6" s="967">
        <f>'14 R1 FAT 2'!D12</f>
        <v>1722652.7906713283</v>
      </c>
      <c r="K6" s="967">
        <f>'14 R1 FAT 2'!D13</f>
        <v>1797028.7303120072</v>
      </c>
      <c r="L6" s="967">
        <f>'14 R1 FAT 2'!D14</f>
        <v>1895835.7137177221</v>
      </c>
      <c r="M6" s="967">
        <f>'14 R1 FAT 2'!D15</f>
        <v>2091084.8271024216</v>
      </c>
      <c r="N6" s="967">
        <f>'14 R1 FAT 2'!D16</f>
        <v>2385128.8489391641</v>
      </c>
      <c r="O6" s="967">
        <f>'14 R1 FAT 2'!D17</f>
        <v>2388562.3357658512</v>
      </c>
      <c r="P6" s="967">
        <f>'14 R1 FAT 2'!D18</f>
        <v>2391995.8225925392</v>
      </c>
      <c r="Q6" s="967">
        <f>'14 R1 FAT 2'!D19</f>
        <v>2395429.3094192278</v>
      </c>
      <c r="R6" s="967">
        <f>'14 R1 FAT 2'!D20</f>
        <v>2398576.6723436909</v>
      </c>
      <c r="S6" s="967">
        <f>'14 R1 FAT 2'!D21</f>
        <v>2401437.9113659309</v>
      </c>
      <c r="T6" s="967">
        <f>'14 R1 FAT 2'!D22</f>
        <v>2404299.1503881705</v>
      </c>
      <c r="U6" s="967">
        <f>'14 R1 FAT 2'!D23</f>
        <v>2407160.3894104101</v>
      </c>
      <c r="V6" s="967">
        <f>'14 R1 FAT 2'!D24</f>
        <v>2409735.5045304266</v>
      </c>
      <c r="W6" s="967">
        <f>'14 R1 FAT 2'!D25</f>
        <v>2412882.8674548911</v>
      </c>
      <c r="X6" s="967">
        <f>'14 R1 FAT 2'!D26</f>
        <v>2416030.2303793547</v>
      </c>
      <c r="Y6" s="967">
        <f>'14 R1 FAT 2'!D27</f>
        <v>2418319.2215971467</v>
      </c>
      <c r="Z6" s="967">
        <f>'14 R1 FAT 2'!D28</f>
        <v>2420608.2128149383</v>
      </c>
      <c r="AA6" s="967">
        <f>'14 R1 FAT 2'!D29</f>
        <v>2422897.2040327298</v>
      </c>
      <c r="AB6" s="967">
        <f>'14 R1 FAT 2'!D30</f>
        <v>2425758.4430549708</v>
      </c>
      <c r="AC6" s="967">
        <f>'14 R1 FAT 2'!D31</f>
        <v>2428619.6820772095</v>
      </c>
      <c r="AD6" s="967">
        <f>'14 R1 FAT 2'!D32</f>
        <v>2431194.7971972255</v>
      </c>
      <c r="AE6" s="967">
        <f>'14 R1 FAT 2'!D33</f>
        <v>2434056.036219466</v>
      </c>
      <c r="AF6" s="967">
        <f>'14 R1 FAT 2'!D34</f>
        <v>2436058.903535034</v>
      </c>
      <c r="AG6" s="966">
        <f t="shared" si="1"/>
        <v>60577191.249674059</v>
      </c>
    </row>
    <row r="7" spans="1:36" ht="20.25" customHeight="1">
      <c r="A7" s="1142"/>
      <c r="B7" s="1143" t="s">
        <v>205</v>
      </c>
      <c r="C7" s="1140">
        <f>'14 R1 FAT 2'!E5</f>
        <v>23294.028204029146</v>
      </c>
      <c r="D7" s="1140">
        <f>'14 R1 FAT 2'!E6</f>
        <v>24745.693007860991</v>
      </c>
      <c r="E7" s="1140">
        <f>'14 R1 FAT 2'!E7</f>
        <v>43686.059045933551</v>
      </c>
      <c r="F7" s="1140">
        <f>'14 R1 FAT 2'!E8</f>
        <v>62329.938508839361</v>
      </c>
      <c r="G7" s="967">
        <f>'14 R1 FAT 2'!E9</f>
        <v>29675.178532894366</v>
      </c>
      <c r="H7" s="967">
        <f>'14 R1 FAT 2'!E10</f>
        <v>32677.855851958149</v>
      </c>
      <c r="I7" s="967">
        <f>'14 R1 FAT 2'!E11</f>
        <v>36716.256288982069</v>
      </c>
      <c r="J7" s="967">
        <f>'14 R1 FAT 2'!E12</f>
        <v>39683.460349102395</v>
      </c>
      <c r="K7" s="967">
        <f>'14 R1 FAT 2'!E13</f>
        <v>40333.662921510091</v>
      </c>
      <c r="L7" s="967">
        <f>'14 R1 FAT 2'!E14</f>
        <v>41272.583466839074</v>
      </c>
      <c r="M7" s="967">
        <f>'14 R1 FAT 2'!E15</f>
        <v>43217.820142819364</v>
      </c>
      <c r="N7" s="967">
        <f>'14 R1 FAT 2'!E16</f>
        <v>46169.308933296561</v>
      </c>
      <c r="O7" s="967">
        <f>'14 R1 FAT 2'!E17</f>
        <v>46193.491725464053</v>
      </c>
      <c r="P7" s="967">
        <f>'14 R1 FAT 2'!E18</f>
        <v>46259.893486449393</v>
      </c>
      <c r="Q7" s="967">
        <f>'14 R1 FAT 2'!E19</f>
        <v>46326.29524743474</v>
      </c>
      <c r="R7" s="967">
        <f>'14 R1 FAT 2'!E20</f>
        <v>46387.163528337944</v>
      </c>
      <c r="S7" s="967">
        <f>'14 R1 FAT 2'!E21</f>
        <v>46442.498329159062</v>
      </c>
      <c r="T7" s="967">
        <f>'14 R1 FAT 2'!E22</f>
        <v>46497.833129980172</v>
      </c>
      <c r="U7" s="967">
        <f>'14 R1 FAT 2'!E23</f>
        <v>46553.167930801268</v>
      </c>
      <c r="V7" s="967">
        <f>'14 R1 FAT 2'!E24</f>
        <v>46602.969251540286</v>
      </c>
      <c r="W7" s="967">
        <f>'14 R1 FAT 2'!E25</f>
        <v>46663.837532443526</v>
      </c>
      <c r="X7" s="967">
        <f>'14 R1 FAT 2'!E26</f>
        <v>46724.705813346729</v>
      </c>
      <c r="Y7" s="967">
        <f>'14 R1 FAT 2'!E27</f>
        <v>46768.973654003632</v>
      </c>
      <c r="Z7" s="967">
        <f>'14 R1 FAT 2'!E28</f>
        <v>46813.24149466052</v>
      </c>
      <c r="AA7" s="967">
        <f>'14 R1 FAT 2'!E29</f>
        <v>46857.509335317409</v>
      </c>
      <c r="AB7" s="967">
        <f>'14 R1 FAT 2'!E30</f>
        <v>46912.844136138519</v>
      </c>
      <c r="AC7" s="967">
        <f>'14 R1 FAT 2'!E31</f>
        <v>46968.178936959615</v>
      </c>
      <c r="AD7" s="967">
        <f>'14 R1 FAT 2'!E32</f>
        <v>47017.980257698626</v>
      </c>
      <c r="AE7" s="967">
        <f>'14 R1 FAT 2'!E33</f>
        <v>47073.315058519751</v>
      </c>
      <c r="AF7" s="967">
        <f>'14 R1 FAT 2'!E34</f>
        <v>47112.049419094532</v>
      </c>
      <c r="AG7" s="966">
        <f t="shared" si="1"/>
        <v>1303977.793521415</v>
      </c>
    </row>
    <row r="8" spans="1:36" s="89" customFormat="1" ht="20.25" customHeight="1">
      <c r="A8" s="1127"/>
      <c r="B8" s="1128" t="s">
        <v>206</v>
      </c>
      <c r="C8" s="1139">
        <f>-SUM(C9:C10)</f>
        <v>-179421.96504071998</v>
      </c>
      <c r="D8" s="1139">
        <f t="shared" ref="D8:AF8" si="2">-SUM(D9:D10)</f>
        <v>-234617.19486967311</v>
      </c>
      <c r="E8" s="1139">
        <f t="shared" si="2"/>
        <v>-255067.11447188459</v>
      </c>
      <c r="F8" s="1139">
        <f t="shared" si="2"/>
        <v>-266470.53804765607</v>
      </c>
      <c r="G8" s="965">
        <f t="shared" si="2"/>
        <v>-277240.35544356558</v>
      </c>
      <c r="H8" s="965">
        <f t="shared" si="2"/>
        <v>-305292.86829691898</v>
      </c>
      <c r="I8" s="965">
        <f t="shared" si="2"/>
        <v>-343021.62437981495</v>
      </c>
      <c r="J8" s="965">
        <f t="shared" si="2"/>
        <v>-370742.7283114891</v>
      </c>
      <c r="K8" s="965">
        <f t="shared" si="2"/>
        <v>-376817.245844208</v>
      </c>
      <c r="L8" s="965">
        <f t="shared" si="2"/>
        <v>-385589.11103894399</v>
      </c>
      <c r="M8" s="965">
        <f t="shared" si="2"/>
        <v>-403762.4846842899</v>
      </c>
      <c r="N8" s="965">
        <f t="shared" si="2"/>
        <v>-431336.76870932308</v>
      </c>
      <c r="O8" s="965">
        <f t="shared" si="2"/>
        <v>-431562.69644514797</v>
      </c>
      <c r="P8" s="965">
        <f t="shared" si="2"/>
        <v>-432183.05489715346</v>
      </c>
      <c r="Q8" s="965">
        <f t="shared" si="2"/>
        <v>-432803.41334915906</v>
      </c>
      <c r="R8" s="965">
        <f t="shared" si="2"/>
        <v>-433372.0752634973</v>
      </c>
      <c r="S8" s="965">
        <f t="shared" si="2"/>
        <v>-433889.04064016847</v>
      </c>
      <c r="T8" s="965">
        <f t="shared" si="2"/>
        <v>-434406.00601683982</v>
      </c>
      <c r="U8" s="965">
        <f t="shared" si="2"/>
        <v>-434922.97139351082</v>
      </c>
      <c r="V8" s="965">
        <f t="shared" si="2"/>
        <v>-435388.24023251515</v>
      </c>
      <c r="W8" s="965">
        <f t="shared" si="2"/>
        <v>-435956.90214685362</v>
      </c>
      <c r="X8" s="965">
        <f t="shared" si="2"/>
        <v>-436525.56406119181</v>
      </c>
      <c r="Y8" s="965">
        <f t="shared" si="2"/>
        <v>-436939.13636252889</v>
      </c>
      <c r="Z8" s="965">
        <f t="shared" si="2"/>
        <v>-437352.70866386587</v>
      </c>
      <c r="AA8" s="965">
        <f t="shared" si="2"/>
        <v>-437766.2809652029</v>
      </c>
      <c r="AB8" s="965">
        <f t="shared" si="2"/>
        <v>-438283.24634187412</v>
      </c>
      <c r="AC8" s="965">
        <f t="shared" si="2"/>
        <v>-438800.21171854518</v>
      </c>
      <c r="AD8" s="965">
        <f t="shared" si="2"/>
        <v>-439265.48055754934</v>
      </c>
      <c r="AE8" s="965">
        <f t="shared" si="2"/>
        <v>-439782.4459342208</v>
      </c>
      <c r="AF8" s="965">
        <f t="shared" si="2"/>
        <v>-440144.32169789064</v>
      </c>
      <c r="AG8" s="966">
        <f t="shared" si="1"/>
        <v>-11678723.795826206</v>
      </c>
    </row>
    <row r="9" spans="1:36" ht="20.25" customHeight="1">
      <c r="B9" s="1143" t="s">
        <v>207</v>
      </c>
      <c r="C9" s="1140">
        <v>147448.94630089999</v>
      </c>
      <c r="D9" s="1140">
        <v>192742.64791063301</v>
      </c>
      <c r="E9" s="1140">
        <v>209568.66704207199</v>
      </c>
      <c r="F9" s="1140">
        <v>218937.955418909</v>
      </c>
      <c r="G9" s="967">
        <f t="shared" ref="G9:AF9" si="3">0.076*G4</f>
        <v>227786.67041849715</v>
      </c>
      <c r="H9" s="967">
        <f t="shared" si="3"/>
        <v>250835.22151963072</v>
      </c>
      <c r="I9" s="967">
        <f t="shared" si="3"/>
        <v>281833.98327422631</v>
      </c>
      <c r="J9" s="967">
        <f t="shared" si="3"/>
        <v>304610.24163970997</v>
      </c>
      <c r="K9" s="967">
        <f t="shared" si="3"/>
        <v>309601.19658551144</v>
      </c>
      <c r="L9" s="967">
        <f t="shared" si="3"/>
        <v>316808.3506914567</v>
      </c>
      <c r="M9" s="967">
        <f t="shared" si="3"/>
        <v>331739.98741628142</v>
      </c>
      <c r="N9" s="967">
        <f t="shared" si="3"/>
        <v>354395.61537198437</v>
      </c>
      <c r="O9" s="967">
        <f t="shared" si="3"/>
        <v>354581.2424846621</v>
      </c>
      <c r="P9" s="967">
        <f t="shared" si="3"/>
        <v>355090.94240198552</v>
      </c>
      <c r="Q9" s="967">
        <f t="shared" si="3"/>
        <v>355600.64231930906</v>
      </c>
      <c r="R9" s="967">
        <f t="shared" si="3"/>
        <v>356067.86724352208</v>
      </c>
      <c r="S9" s="967">
        <f t="shared" si="3"/>
        <v>356492.61717462493</v>
      </c>
      <c r="T9" s="967">
        <f t="shared" si="3"/>
        <v>356917.36710572784</v>
      </c>
      <c r="U9" s="967">
        <f t="shared" si="3"/>
        <v>357342.11703683052</v>
      </c>
      <c r="V9" s="967">
        <f t="shared" si="3"/>
        <v>357724.39197482326</v>
      </c>
      <c r="W9" s="967">
        <f t="shared" si="3"/>
        <v>358191.61689903651</v>
      </c>
      <c r="X9" s="967">
        <f t="shared" si="3"/>
        <v>358658.84182324947</v>
      </c>
      <c r="Y9" s="967">
        <f t="shared" si="3"/>
        <v>358998.64176813187</v>
      </c>
      <c r="Z9" s="967">
        <f t="shared" si="3"/>
        <v>359338.44171301409</v>
      </c>
      <c r="AA9" s="967">
        <f t="shared" si="3"/>
        <v>359678.24165789643</v>
      </c>
      <c r="AB9" s="967">
        <f t="shared" si="3"/>
        <v>360102.99158899928</v>
      </c>
      <c r="AC9" s="967">
        <f t="shared" si="3"/>
        <v>360527.74152010196</v>
      </c>
      <c r="AD9" s="967">
        <f t="shared" si="3"/>
        <v>360910.01645809459</v>
      </c>
      <c r="AE9" s="967">
        <f t="shared" si="3"/>
        <v>361334.76638919761</v>
      </c>
      <c r="AF9" s="967">
        <f t="shared" si="3"/>
        <v>361632.09134096961</v>
      </c>
      <c r="AG9" s="966">
        <f t="shared" si="1"/>
        <v>9595500.0624899883</v>
      </c>
    </row>
    <row r="10" spans="1:36" ht="20.25" customHeight="1">
      <c r="B10" s="1143" t="s">
        <v>208</v>
      </c>
      <c r="C10" s="1140">
        <v>31973.01873982</v>
      </c>
      <c r="D10" s="1140">
        <v>41874.546959040097</v>
      </c>
      <c r="E10" s="1140">
        <v>45498.447429812601</v>
      </c>
      <c r="F10" s="1140">
        <v>47532.582628747099</v>
      </c>
      <c r="G10" s="967">
        <f t="shared" ref="G10:AF10" si="4">0.0165*G4</f>
        <v>49453.685025068458</v>
      </c>
      <c r="H10" s="967">
        <f t="shared" si="4"/>
        <v>54457.646777288253</v>
      </c>
      <c r="I10" s="967">
        <f t="shared" si="4"/>
        <v>61187.641105588613</v>
      </c>
      <c r="J10" s="967">
        <f t="shared" si="4"/>
        <v>66132.486671779145</v>
      </c>
      <c r="K10" s="967">
        <f t="shared" si="4"/>
        <v>67216.04925869657</v>
      </c>
      <c r="L10" s="967">
        <f t="shared" si="4"/>
        <v>68780.760347487318</v>
      </c>
      <c r="M10" s="967">
        <f t="shared" si="4"/>
        <v>72022.497268008476</v>
      </c>
      <c r="N10" s="967">
        <f t="shared" si="4"/>
        <v>76941.153337338706</v>
      </c>
      <c r="O10" s="967">
        <f t="shared" si="4"/>
        <v>76981.453960485858</v>
      </c>
      <c r="P10" s="967">
        <f t="shared" si="4"/>
        <v>77092.112495167923</v>
      </c>
      <c r="Q10" s="967">
        <f t="shared" si="4"/>
        <v>77202.771029850002</v>
      </c>
      <c r="R10" s="967">
        <f t="shared" si="4"/>
        <v>77304.208019975194</v>
      </c>
      <c r="S10" s="967">
        <f t="shared" si="4"/>
        <v>77396.423465543572</v>
      </c>
      <c r="T10" s="967">
        <f t="shared" si="4"/>
        <v>77488.638911111964</v>
      </c>
      <c r="U10" s="967">
        <f t="shared" si="4"/>
        <v>77580.854356680313</v>
      </c>
      <c r="V10" s="967">
        <f t="shared" si="4"/>
        <v>77663.84825769189</v>
      </c>
      <c r="W10" s="967">
        <f t="shared" si="4"/>
        <v>77765.285247817141</v>
      </c>
      <c r="X10" s="967">
        <f t="shared" si="4"/>
        <v>77866.722237942318</v>
      </c>
      <c r="Y10" s="967">
        <f t="shared" si="4"/>
        <v>77940.494594397052</v>
      </c>
      <c r="Z10" s="967">
        <f t="shared" si="4"/>
        <v>78014.266950851757</v>
      </c>
      <c r="AA10" s="967">
        <f t="shared" si="4"/>
        <v>78088.039307306462</v>
      </c>
      <c r="AB10" s="967">
        <f t="shared" si="4"/>
        <v>78180.254752874855</v>
      </c>
      <c r="AC10" s="967">
        <f t="shared" si="4"/>
        <v>78272.470198443203</v>
      </c>
      <c r="AD10" s="967">
        <f t="shared" si="4"/>
        <v>78355.464099454752</v>
      </c>
      <c r="AE10" s="967">
        <f t="shared" si="4"/>
        <v>78447.679545023173</v>
      </c>
      <c r="AF10" s="967">
        <f t="shared" si="4"/>
        <v>78512.230356921034</v>
      </c>
      <c r="AG10" s="966">
        <f t="shared" si="1"/>
        <v>2083223.7333362137</v>
      </c>
    </row>
    <row r="11" spans="1:36" s="89" customFormat="1" ht="20.25" customHeight="1">
      <c r="B11" s="1128" t="s">
        <v>209</v>
      </c>
      <c r="C11" s="1141">
        <v>-240325.14992063027</v>
      </c>
      <c r="D11" s="1141">
        <v>-5731.8357714316808</v>
      </c>
      <c r="E11" s="1141">
        <v>44055.680904777721</v>
      </c>
      <c r="F11" s="1141">
        <v>19240.19274912728</v>
      </c>
      <c r="G11" s="965">
        <f>-('15 R1 ARREC'!F9-'15 R1 ARREC'!F8)</f>
        <v>24596.90771402698</v>
      </c>
      <c r="H11" s="965">
        <f>-('15 R1 ARREC'!F10-'15 R1 ARREC'!F9)</f>
        <v>14808.40985695133</v>
      </c>
      <c r="I11" s="965">
        <f>-('15 R1 ARREC'!F11-'15 R1 ARREC'!F10)</f>
        <v>-20393.922206970863</v>
      </c>
      <c r="J11" s="965">
        <f>-('15 R1 ARREC'!F12-'15 R1 ARREC'!F11)</f>
        <v>-14984.380503607448</v>
      </c>
      <c r="K11" s="965">
        <f>-('15 R1 ARREC'!F13-'15 R1 ARREC'!F12)</f>
        <v>-3283.5229906593449</v>
      </c>
      <c r="L11" s="965">
        <f>-('15 R1 ARREC'!F14-'15 R1 ARREC'!F13)</f>
        <v>-4741.5487539111637</v>
      </c>
      <c r="M11" s="965">
        <f>-('15 R1 ARREC'!F15-'15 R1 ARREC'!F14)</f>
        <v>-9823.4452137006447</v>
      </c>
      <c r="N11" s="965">
        <f>-('15 R1 ARREC'!F16-'15 R1 ARREC'!F15)</f>
        <v>-14905.018391910009</v>
      </c>
      <c r="O11" s="965">
        <f>-('15 R1 ARREC'!F17-'15 R1 ARREC'!F16)</f>
        <v>-122.12310044560581</v>
      </c>
      <c r="P11" s="965">
        <f>-('15 R1 ARREC'!F18-'15 R1 ARREC'!F17)</f>
        <v>-335.32889297604561</v>
      </c>
      <c r="Q11" s="965">
        <f>-('15 R1 ARREC'!F19-'15 R1 ARREC'!F18)</f>
        <v>-335.32889297604561</v>
      </c>
      <c r="R11" s="965">
        <f>-('15 R1 ARREC'!F20-'15 R1 ARREC'!F19)</f>
        <v>-307.38481856044382</v>
      </c>
      <c r="S11" s="965">
        <f>-('15 R1 ARREC'!F21-'15 R1 ARREC'!F20)</f>
        <v>-279.44074414670467</v>
      </c>
      <c r="T11" s="965">
        <f>-('15 R1 ARREC'!F22-'15 R1 ARREC'!F21)</f>
        <v>-279.44074414670467</v>
      </c>
      <c r="U11" s="965">
        <f>-('15 R1 ARREC'!F23-'15 R1 ARREC'!F22)</f>
        <v>-279.44074414670467</v>
      </c>
      <c r="V11" s="965">
        <f>-('15 R1 ARREC'!F24-'15 R1 ARREC'!F23)</f>
        <v>-251.49666973203421</v>
      </c>
      <c r="W11" s="965">
        <f>-('15 R1 ARREC'!F25-'15 R1 ARREC'!F24)</f>
        <v>-307.38481856137514</v>
      </c>
      <c r="X11" s="965">
        <f>-('15 R1 ARREC'!F26-'15 R1 ARREC'!F25)</f>
        <v>-307.38481856137514</v>
      </c>
      <c r="Y11" s="965">
        <f>-('15 R1 ARREC'!F27-'15 R1 ARREC'!F26)</f>
        <v>-223.55259531736374</v>
      </c>
      <c r="Z11" s="965">
        <f>-('15 R1 ARREC'!F28-'15 R1 ARREC'!F27)</f>
        <v>-223.55259531736374</v>
      </c>
      <c r="AA11" s="965">
        <f>-('15 R1 ARREC'!F29-'15 R1 ARREC'!F28)</f>
        <v>-223.55259531736374</v>
      </c>
      <c r="AB11" s="965">
        <f>-('15 R1 ARREC'!F30-'15 R1 ARREC'!F29)</f>
        <v>-279.44074414670467</v>
      </c>
      <c r="AC11" s="965">
        <f>-('15 R1 ARREC'!F31-'15 R1 ARREC'!F30)</f>
        <v>-279.44074414577335</v>
      </c>
      <c r="AD11" s="965">
        <f>-('15 R1 ARREC'!F32-'15 R1 ARREC'!F31)</f>
        <v>-251.49666973203421</v>
      </c>
      <c r="AE11" s="965">
        <f>-('15 R1 ARREC'!F33-'15 R1 ARREC'!F32)</f>
        <v>-279.44074414670467</v>
      </c>
      <c r="AF11" s="965">
        <f>-('15 R1 ARREC'!F34-'15 R1 ARREC'!F33)</f>
        <v>-195.60852090269327</v>
      </c>
      <c r="AG11" s="966">
        <f t="shared" si="1"/>
        <v>-216248.47198121715</v>
      </c>
    </row>
    <row r="12" spans="1:36" s="89" customFormat="1" ht="20.25" customHeight="1">
      <c r="A12" s="1127"/>
      <c r="B12" s="1128" t="s">
        <v>210</v>
      </c>
      <c r="C12" s="1139">
        <f>C4+C8+C11</f>
        <v>1883071.2192221037</v>
      </c>
      <c r="D12" s="1139">
        <f t="shared" ref="D12:AF12" si="5">D4+D8+D11</f>
        <v>2348736.4306745757</v>
      </c>
      <c r="E12" s="1139">
        <f t="shared" si="5"/>
        <v>2607846.6711710477</v>
      </c>
      <c r="F12" s="1139">
        <f t="shared" si="5"/>
        <v>2673176.6493209945</v>
      </c>
      <c r="G12" s="965">
        <f t="shared" si="5"/>
        <v>2744549.5840927921</v>
      </c>
      <c r="H12" s="965">
        <f t="shared" si="5"/>
        <v>3009978.9826078052</v>
      </c>
      <c r="I12" s="965">
        <f t="shared" si="5"/>
        <v>3344926.3386004027</v>
      </c>
      <c r="J12" s="965">
        <f t="shared" si="5"/>
        <v>3622302.386444245</v>
      </c>
      <c r="K12" s="965">
        <f t="shared" si="5"/>
        <v>3693599.1862376514</v>
      </c>
      <c r="L12" s="965">
        <f t="shared" si="5"/>
        <v>3778200.2703578915</v>
      </c>
      <c r="M12" s="965">
        <f t="shared" si="5"/>
        <v>3951413.904526765</v>
      </c>
      <c r="N12" s="965">
        <f t="shared" si="5"/>
        <v>4216858.4151617186</v>
      </c>
      <c r="O12" s="965">
        <f t="shared" si="5"/>
        <v>4233857.8447262766</v>
      </c>
      <c r="P12" s="965">
        <f t="shared" si="5"/>
        <v>4239730.858341259</v>
      </c>
      <c r="Q12" s="965">
        <f t="shared" si="5"/>
        <v>4245817.0777487736</v>
      </c>
      <c r="R12" s="965">
        <f t="shared" si="5"/>
        <v>4251424.0562800746</v>
      </c>
      <c r="S12" s="965">
        <f t="shared" si="5"/>
        <v>4256523.8498607492</v>
      </c>
      <c r="T12" s="965">
        <f t="shared" si="5"/>
        <v>4261595.699367011</v>
      </c>
      <c r="U12" s="965">
        <f t="shared" si="5"/>
        <v>4266667.5488732709</v>
      </c>
      <c r="V12" s="965">
        <f t="shared" si="5"/>
        <v>4271260.1575033218</v>
      </c>
      <c r="W12" s="965">
        <f t="shared" si="5"/>
        <v>4276783.3038113816</v>
      </c>
      <c r="X12" s="965">
        <f t="shared" si="5"/>
        <v>4282362.3382682661</v>
      </c>
      <c r="Y12" s="965">
        <f t="shared" si="5"/>
        <v>4286503.6500965208</v>
      </c>
      <c r="Z12" s="965">
        <f t="shared" si="5"/>
        <v>4290561.1297015287</v>
      </c>
      <c r="AA12" s="965">
        <f t="shared" si="5"/>
        <v>4294618.6093065385</v>
      </c>
      <c r="AB12" s="965">
        <f t="shared" si="5"/>
        <v>4299634.57066397</v>
      </c>
      <c r="AC12" s="965">
        <f t="shared" si="5"/>
        <v>4304706.4201702299</v>
      </c>
      <c r="AD12" s="965">
        <f t="shared" si="5"/>
        <v>4309299.0288002789</v>
      </c>
      <c r="AE12" s="965">
        <f t="shared" si="5"/>
        <v>4314342.9342321269</v>
      </c>
      <c r="AF12" s="965">
        <f t="shared" si="5"/>
        <v>4317977.0611097543</v>
      </c>
      <c r="AG12" s="966">
        <f t="shared" si="1"/>
        <v>114878326.17727935</v>
      </c>
    </row>
    <row r="13" spans="1:36" s="89" customFormat="1" ht="20.25" customHeight="1">
      <c r="B13" s="468" t="s">
        <v>211</v>
      </c>
      <c r="C13" s="579">
        <f>C14+C15</f>
        <v>-462068.86326204147</v>
      </c>
      <c r="D13" s="579">
        <f t="shared" ref="D13:AF13" si="6">D14+D15</f>
        <v>-369565.70052795502</v>
      </c>
      <c r="E13" s="579">
        <f t="shared" si="6"/>
        <v>-372990.80023137957</v>
      </c>
      <c r="F13" s="579">
        <f t="shared" si="6"/>
        <v>-365825.26800000004</v>
      </c>
      <c r="G13" s="965">
        <f t="shared" si="6"/>
        <v>-364530.62316929037</v>
      </c>
      <c r="H13" s="965">
        <f t="shared" si="6"/>
        <v>-386664.99739602057</v>
      </c>
      <c r="I13" s="965">
        <f t="shared" si="6"/>
        <v>-368051.52738592168</v>
      </c>
      <c r="J13" s="965">
        <f t="shared" si="6"/>
        <v>-369563.79094887548</v>
      </c>
      <c r="K13" s="965">
        <f t="shared" si="6"/>
        <v>-374710.74257447</v>
      </c>
      <c r="L13" s="965">
        <f t="shared" si="6"/>
        <v>-362395.04255699547</v>
      </c>
      <c r="M13" s="965">
        <f t="shared" si="6"/>
        <v>-362481.33999999997</v>
      </c>
      <c r="N13" s="965">
        <f t="shared" si="6"/>
        <v>-362490.34070234851</v>
      </c>
      <c r="O13" s="965">
        <f t="shared" si="6"/>
        <v>-362536.99326174881</v>
      </c>
      <c r="P13" s="965">
        <f t="shared" si="6"/>
        <v>-362583.70954566193</v>
      </c>
      <c r="Q13" s="965">
        <f t="shared" si="6"/>
        <v>-362630.4975196523</v>
      </c>
      <c r="R13" s="965">
        <f t="shared" si="6"/>
        <v>-362696.54000000004</v>
      </c>
      <c r="S13" s="965">
        <f t="shared" si="6"/>
        <v>-362712.66594447545</v>
      </c>
      <c r="T13" s="965">
        <f t="shared" si="6"/>
        <v>-362751.99800359353</v>
      </c>
      <c r="U13" s="965">
        <f t="shared" si="6"/>
        <v>-362789.80886980717</v>
      </c>
      <c r="V13" s="965">
        <f t="shared" si="6"/>
        <v>-362825.60956597811</v>
      </c>
      <c r="W13" s="965">
        <f t="shared" si="6"/>
        <v>-362857.98</v>
      </c>
      <c r="X13" s="965">
        <f t="shared" si="6"/>
        <v>-362911.24421609647</v>
      </c>
      <c r="Y13" s="965">
        <f t="shared" si="6"/>
        <v>-362943.6906476072</v>
      </c>
      <c r="Z13" s="965">
        <f t="shared" si="6"/>
        <v>-362978.11100334622</v>
      </c>
      <c r="AA13" s="965">
        <f t="shared" si="6"/>
        <v>-363012.92385767959</v>
      </c>
      <c r="AB13" s="965">
        <f t="shared" si="6"/>
        <v>-363097.00400000002</v>
      </c>
      <c r="AC13" s="965">
        <f t="shared" si="6"/>
        <v>-363097.00762754027</v>
      </c>
      <c r="AD13" s="965">
        <f t="shared" si="6"/>
        <v>-363135.18987865513</v>
      </c>
      <c r="AE13" s="965">
        <f t="shared" si="6"/>
        <v>-363180.18092086643</v>
      </c>
      <c r="AF13" s="965">
        <f t="shared" si="6"/>
        <v>-363220.56991323736</v>
      </c>
      <c r="AG13" s="966">
        <f t="shared" ref="AG13:AG20" si="7">SUM(C13:AF13)</f>
        <v>-11053300.761531249</v>
      </c>
      <c r="AJ13" s="136"/>
    </row>
    <row r="14" spans="1:36" s="89" customFormat="1" ht="20.25" customHeight="1">
      <c r="B14" s="477" t="s">
        <v>212</v>
      </c>
      <c r="C14" s="578">
        <f>-TRANSPOSE('16 R1 OPEX'!$H$5:$H$34)</f>
        <v>-222919.5</v>
      </c>
      <c r="D14" s="578">
        <f>-TRANSPOSE('16 R1 OPEX'!$H$5:$H$34)</f>
        <v>-222919.5</v>
      </c>
      <c r="E14" s="578">
        <f>-TRANSPOSE('16 R1 OPEX'!$H$5:$H$34)</f>
        <v>-222919.5</v>
      </c>
      <c r="F14" s="578">
        <f>-TRANSPOSE('16 R1 OPEX'!$H$5:$H$34)</f>
        <v>-222919.5</v>
      </c>
      <c r="G14" s="967">
        <f>-TRANSPOSE('16 R1 OPEX'!$H$5:$H$34)</f>
        <v>-222919.5</v>
      </c>
      <c r="H14" s="967">
        <f>-TRANSPOSE('16 R1 OPEX'!$H$5:$H$34)</f>
        <v>-222919.5</v>
      </c>
      <c r="I14" s="967">
        <f>-TRANSPOSE('16 R1 OPEX'!$H$5:$H$34)</f>
        <v>-222919.5</v>
      </c>
      <c r="J14" s="967">
        <f>-TRANSPOSE('16 R1 OPEX'!$H$5:$H$34)</f>
        <v>-222919.5</v>
      </c>
      <c r="K14" s="967">
        <f>-TRANSPOSE('16 R1 OPEX'!$H$5:$H$34)</f>
        <v>-222919.5</v>
      </c>
      <c r="L14" s="967">
        <f>-TRANSPOSE('16 R1 OPEX'!$H$5:$H$34)</f>
        <v>-222919.5</v>
      </c>
      <c r="M14" s="967">
        <f>-TRANSPOSE('16 R1 OPEX'!$H$5:$H$34)</f>
        <v>-222919.5</v>
      </c>
      <c r="N14" s="967">
        <f>-TRANSPOSE('16 R1 OPEX'!$H$5:$H$34)</f>
        <v>-222919.5</v>
      </c>
      <c r="O14" s="967">
        <f>-TRANSPOSE('16 R1 OPEX'!$H$5:$H$34)</f>
        <v>-222919.5</v>
      </c>
      <c r="P14" s="967">
        <f>-TRANSPOSE('16 R1 OPEX'!$H$5:$H$34)</f>
        <v>-222919.5</v>
      </c>
      <c r="Q14" s="967">
        <f>-TRANSPOSE('16 R1 OPEX'!$H$5:$H$34)</f>
        <v>-222919.5</v>
      </c>
      <c r="R14" s="967">
        <f>-TRANSPOSE('16 R1 OPEX'!$H$5:$H$34)</f>
        <v>-222919.5</v>
      </c>
      <c r="S14" s="967">
        <f>-TRANSPOSE('16 R1 OPEX'!$H$5:$H$34)</f>
        <v>-222919.5</v>
      </c>
      <c r="T14" s="967">
        <f>-TRANSPOSE('16 R1 OPEX'!$H$5:$H$34)</f>
        <v>-222919.5</v>
      </c>
      <c r="U14" s="967">
        <f>-TRANSPOSE('16 R1 OPEX'!$H$5:$H$34)</f>
        <v>-222919.5</v>
      </c>
      <c r="V14" s="967">
        <f>-TRANSPOSE('16 R1 OPEX'!$H$5:$H$34)</f>
        <v>-222919.5</v>
      </c>
      <c r="W14" s="967">
        <f>-TRANSPOSE('16 R1 OPEX'!$H$5:$H$34)</f>
        <v>-222919.5</v>
      </c>
      <c r="X14" s="967">
        <f>-TRANSPOSE('16 R1 OPEX'!$H$5:$H$34)</f>
        <v>-222919.5</v>
      </c>
      <c r="Y14" s="967">
        <f>-TRANSPOSE('16 R1 OPEX'!$H$5:$H$34)</f>
        <v>-222919.5</v>
      </c>
      <c r="Z14" s="967">
        <f>-TRANSPOSE('16 R1 OPEX'!$H$5:$H$34)</f>
        <v>-222919.5</v>
      </c>
      <c r="AA14" s="967">
        <f>-TRANSPOSE('16 R1 OPEX'!$H$5:$H$34)</f>
        <v>-222919.5</v>
      </c>
      <c r="AB14" s="967">
        <f>-TRANSPOSE('16 R1 OPEX'!$H$5:$H$34)</f>
        <v>-222919.5</v>
      </c>
      <c r="AC14" s="967">
        <f>-TRANSPOSE('16 R1 OPEX'!$H$5:$H$34)</f>
        <v>-222919.5</v>
      </c>
      <c r="AD14" s="967">
        <f>-TRANSPOSE('16 R1 OPEX'!$H$5:$H$34)</f>
        <v>-222919.5</v>
      </c>
      <c r="AE14" s="967">
        <f>-TRANSPOSE('16 R1 OPEX'!$H$5:$H$34)</f>
        <v>-222919.5</v>
      </c>
      <c r="AF14" s="967">
        <f>-TRANSPOSE('16 R1 OPEX'!$H$5:$H$34)</f>
        <v>-222919.5</v>
      </c>
      <c r="AG14" s="968">
        <f t="shared" si="7"/>
        <v>-6687585</v>
      </c>
    </row>
    <row r="15" spans="1:36" s="89" customFormat="1" ht="20.25" customHeight="1">
      <c r="B15" s="477" t="s">
        <v>213</v>
      </c>
      <c r="C15" s="578">
        <f>-'16 R1 OPEX'!I5</f>
        <v>-239149.36326204147</v>
      </c>
      <c r="D15" s="578">
        <f>-'16 R1 OPEX'!I6</f>
        <v>-146646.20052795502</v>
      </c>
      <c r="E15" s="578">
        <f>-'16 R1 OPEX'!I7</f>
        <v>-150071.30023137954</v>
      </c>
      <c r="F15" s="578">
        <f>-'16 R1 OPEX'!I8</f>
        <v>-142905.76800000001</v>
      </c>
      <c r="G15" s="967">
        <f>-'16 R1 OPEX'!I9</f>
        <v>-141611.1231692904</v>
      </c>
      <c r="H15" s="967">
        <f>-'16 R1 OPEX'!I10</f>
        <v>-163745.49739602054</v>
      </c>
      <c r="I15" s="967">
        <f>-'16 R1 OPEX'!I11</f>
        <v>-145132.02738592165</v>
      </c>
      <c r="J15" s="967">
        <f>-'16 R1 OPEX'!I12</f>
        <v>-146644.29094887545</v>
      </c>
      <c r="K15" s="967">
        <f>-'16 R1 OPEX'!I13</f>
        <v>-151791.24257447</v>
      </c>
      <c r="L15" s="967">
        <f>-'16 R1 OPEX'!I14</f>
        <v>-139475.54255699547</v>
      </c>
      <c r="M15" s="967">
        <f>-'16 R1 OPEX'!I15</f>
        <v>-139561.84</v>
      </c>
      <c r="N15" s="967">
        <f>-'16 R1 OPEX'!I16</f>
        <v>-139570.84070234848</v>
      </c>
      <c r="O15" s="967">
        <f>-'16 R1 OPEX'!I17</f>
        <v>-139617.49326174878</v>
      </c>
      <c r="P15" s="967">
        <f>-'16 R1 OPEX'!I18</f>
        <v>-139664.20954566196</v>
      </c>
      <c r="Q15" s="967">
        <f>-'16 R1 OPEX'!I19</f>
        <v>-139710.9975196523</v>
      </c>
      <c r="R15" s="967">
        <f>-'16 R1 OPEX'!I20</f>
        <v>-139777.04</v>
      </c>
      <c r="S15" s="967">
        <f>-'16 R1 OPEX'!I21</f>
        <v>-139793.16594447548</v>
      </c>
      <c r="T15" s="967">
        <f>-'16 R1 OPEX'!I22</f>
        <v>-139832.49800359353</v>
      </c>
      <c r="U15" s="967">
        <f>-'16 R1 OPEX'!I23</f>
        <v>-139870.30886980714</v>
      </c>
      <c r="V15" s="967">
        <f>-'16 R1 OPEX'!I24</f>
        <v>-139906.10956597811</v>
      </c>
      <c r="W15" s="967">
        <f>-'16 R1 OPEX'!I25</f>
        <v>-139938.48000000001</v>
      </c>
      <c r="X15" s="967">
        <f>-'16 R1 OPEX'!I26</f>
        <v>-139991.74421609644</v>
      </c>
      <c r="Y15" s="967">
        <f>-'16 R1 OPEX'!I27</f>
        <v>-140024.19064760717</v>
      </c>
      <c r="Z15" s="967">
        <f>-'16 R1 OPEX'!I28</f>
        <v>-140058.61100334622</v>
      </c>
      <c r="AA15" s="967">
        <f>-'16 R1 OPEX'!I29</f>
        <v>-140093.42385767962</v>
      </c>
      <c r="AB15" s="967">
        <f>-'16 R1 OPEX'!I30</f>
        <v>-140177.50400000002</v>
      </c>
      <c r="AC15" s="967">
        <f>-'16 R1 OPEX'!I31</f>
        <v>-140177.5076275403</v>
      </c>
      <c r="AD15" s="967">
        <f>-'16 R1 OPEX'!I32</f>
        <v>-140215.68987865516</v>
      </c>
      <c r="AE15" s="967">
        <f>-'16 R1 OPEX'!I33</f>
        <v>-140260.68092086641</v>
      </c>
      <c r="AF15" s="967">
        <f>-'16 R1 OPEX'!I34</f>
        <v>-140301.06991323733</v>
      </c>
      <c r="AG15" s="968">
        <f t="shared" si="7"/>
        <v>-4365715.761531245</v>
      </c>
    </row>
    <row r="16" spans="1:36" ht="20.25" customHeight="1">
      <c r="B16" s="468" t="s">
        <v>214</v>
      </c>
      <c r="C16" s="579">
        <f>C17+C18+C19+C20</f>
        <v>-1057719.184271723</v>
      </c>
      <c r="D16" s="579">
        <f t="shared" ref="D16:AF16" si="8">D17+D18+D19+D20</f>
        <v>-1230326.5123160521</v>
      </c>
      <c r="E16" s="579">
        <f t="shared" si="8"/>
        <v>-1446948.7737891045</v>
      </c>
      <c r="F16" s="579">
        <f t="shared" si="8"/>
        <v>-1394729.7694170631</v>
      </c>
      <c r="G16" s="965">
        <f t="shared" si="8"/>
        <v>-1372431.1735002932</v>
      </c>
      <c r="H16" s="965">
        <f t="shared" si="8"/>
        <v>-1372166.094364627</v>
      </c>
      <c r="I16" s="965">
        <f t="shared" si="8"/>
        <v>-1366336.9765073925</v>
      </c>
      <c r="J16" s="965">
        <f t="shared" si="8"/>
        <v>-1415767.7581980655</v>
      </c>
      <c r="K16" s="965">
        <f t="shared" si="8"/>
        <v>-1438887.6579406383</v>
      </c>
      <c r="L16" s="965">
        <f t="shared" si="8"/>
        <v>-1459699.627200658</v>
      </c>
      <c r="M16" s="965">
        <f t="shared" si="8"/>
        <v>-1460821.3663060188</v>
      </c>
      <c r="N16" s="965">
        <f t="shared" si="8"/>
        <v>-1462045.7635940488</v>
      </c>
      <c r="O16" s="965">
        <f t="shared" si="8"/>
        <v>-1462837.8367342837</v>
      </c>
      <c r="P16" s="965">
        <f t="shared" si="8"/>
        <v>-1463629.9098745186</v>
      </c>
      <c r="Q16" s="965">
        <f t="shared" si="8"/>
        <v>-1464421.9830147536</v>
      </c>
      <c r="R16" s="965">
        <f t="shared" si="8"/>
        <v>-1465073.8827858537</v>
      </c>
      <c r="S16" s="965">
        <f t="shared" si="8"/>
        <v>-1465719.7318946985</v>
      </c>
      <c r="T16" s="965">
        <f t="shared" si="8"/>
        <v>-1466364.5052424648</v>
      </c>
      <c r="U16" s="965">
        <f t="shared" si="8"/>
        <v>-1467109.2785902307</v>
      </c>
      <c r="V16" s="965">
        <f t="shared" si="8"/>
        <v>-1467754.0519379969</v>
      </c>
      <c r="W16" s="965">
        <f t="shared" si="8"/>
        <v>-1468528.6735217113</v>
      </c>
      <c r="X16" s="965">
        <f t="shared" si="8"/>
        <v>-1469110.8389274431</v>
      </c>
      <c r="Y16" s="965">
        <f t="shared" si="8"/>
        <v>-1469661.4495864294</v>
      </c>
      <c r="Z16" s="965">
        <f t="shared" si="8"/>
        <v>-1470212.0602454157</v>
      </c>
      <c r="AA16" s="965">
        <f t="shared" si="8"/>
        <v>-1470762.6709044017</v>
      </c>
      <c r="AB16" s="965">
        <f t="shared" si="8"/>
        <v>-1471525.5055295818</v>
      </c>
      <c r="AC16" s="965">
        <f t="shared" si="8"/>
        <v>-1472131.1268811177</v>
      </c>
      <c r="AD16" s="965">
        <f t="shared" si="8"/>
        <v>-1472720.3189069431</v>
      </c>
      <c r="AE16" s="965">
        <f t="shared" si="8"/>
        <v>-1473335.4033433762</v>
      </c>
      <c r="AF16" s="965">
        <f t="shared" si="8"/>
        <v>-1473706.477100356</v>
      </c>
      <c r="AG16" s="966">
        <f t="shared" si="7"/>
        <v>-42912486.362427264</v>
      </c>
    </row>
    <row r="17" spans="1:35" ht="20.25" customHeight="1">
      <c r="B17" s="477" t="s">
        <v>215</v>
      </c>
      <c r="C17" s="578">
        <f>-'16 R1 OPEX'!D5</f>
        <v>-550936.15119900031</v>
      </c>
      <c r="D17" s="578">
        <f>-'16 R1 OPEX'!D6</f>
        <v>-520720.01266633545</v>
      </c>
      <c r="E17" s="578">
        <f>-'16 R1 OPEX'!D7</f>
        <v>-477268.91245393129</v>
      </c>
      <c r="F17" s="578">
        <f>-'16 R1 OPEX'!D8</f>
        <v>-344396.7516912701</v>
      </c>
      <c r="G17" s="967">
        <f>-'16 R1 OPEX'!D9</f>
        <v>-453766.16256899503</v>
      </c>
      <c r="H17" s="967">
        <f>-'16 R1 OPEX'!D10</f>
        <v>-452504.37082250707</v>
      </c>
      <c r="I17" s="967">
        <f>-'16 R1 OPEX'!D11</f>
        <v>-446472.24784560606</v>
      </c>
      <c r="J17" s="967">
        <f>-'16 R1 OPEX'!D12</f>
        <v>-475713.8977125652</v>
      </c>
      <c r="K17" s="967">
        <f>-'16 R1 OPEX'!D13</f>
        <v>-483412.18706838228</v>
      </c>
      <c r="L17" s="967">
        <f>-'16 R1 OPEX'!D14</f>
        <v>-489442.6019993478</v>
      </c>
      <c r="M17" s="967">
        <f>-'16 R1 OPEX'!D15</f>
        <v>-490208.95603734476</v>
      </c>
      <c r="N17" s="967">
        <f>-'16 R1 OPEX'!D16</f>
        <v>-490920.5570620927</v>
      </c>
      <c r="O17" s="967">
        <f>-'16 R1 OPEX'!D17</f>
        <v>-491624.76348001952</v>
      </c>
      <c r="P17" s="967">
        <f>-'16 R1 OPEX'!D18</f>
        <v>-492328.96989794611</v>
      </c>
      <c r="Q17" s="967">
        <f>-'16 R1 OPEX'!D19</f>
        <v>-493033.1763158727</v>
      </c>
      <c r="R17" s="967">
        <f>-'16 R1 OPEX'!D20</f>
        <v>-493612.01936735166</v>
      </c>
      <c r="S17" s="967">
        <f>-'16 R1 OPEX'!D21</f>
        <v>-494186.17130256217</v>
      </c>
      <c r="T17" s="967">
        <f>-'16 R1 OPEX'!D22</f>
        <v>-494759.40497506119</v>
      </c>
      <c r="U17" s="967">
        <f>-'16 R1 OPEX'!D23</f>
        <v>-495332.63864756015</v>
      </c>
      <c r="V17" s="967">
        <f>-'16 R1 OPEX'!D24</f>
        <v>-495905.87232005922</v>
      </c>
      <c r="W17" s="967">
        <f>-'16 R1 OPEX'!D25</f>
        <v>-496595.18385540805</v>
      </c>
      <c r="X17" s="967">
        <f>-'16 R1 OPEX'!D26</f>
        <v>-497111.64190462325</v>
      </c>
      <c r="Y17" s="967">
        <f>-'16 R1 OPEX'!D27</f>
        <v>-497601.16502573498</v>
      </c>
      <c r="Z17" s="967">
        <f>-'16 R1 OPEX'!D28</f>
        <v>-498090.68814684672</v>
      </c>
      <c r="AA17" s="967">
        <f>-'16 R1 OPEX'!D29</f>
        <v>-498580.2112679584</v>
      </c>
      <c r="AB17" s="967">
        <f>-'16 R1 OPEX'!D30</f>
        <v>-499259.46152948157</v>
      </c>
      <c r="AC17" s="967">
        <f>-'16 R1 OPEX'!D31</f>
        <v>-499796.89372358366</v>
      </c>
      <c r="AD17" s="967">
        <f>-'16 R1 OPEX'!D32</f>
        <v>-500320.77892254677</v>
      </c>
      <c r="AE17" s="967">
        <f>-'16 R1 OPEX'!D33</f>
        <v>-500867.7180223316</v>
      </c>
      <c r="AF17" s="967">
        <f>-'16 R1 OPEX'!D34</f>
        <v>-501196.36969936022</v>
      </c>
      <c r="AG17" s="968">
        <f t="shared" si="7"/>
        <v>-14615965.937531687</v>
      </c>
      <c r="AI17" s="478"/>
    </row>
    <row r="18" spans="1:35" ht="20.25" customHeight="1">
      <c r="B18" s="477" t="s">
        <v>216</v>
      </c>
      <c r="C18" s="578">
        <f>-'16 R1 OPEX'!E5</f>
        <v>-17403.0139314964</v>
      </c>
      <c r="D18" s="578">
        <f>-'16 R1 OPEX'!E6</f>
        <v>-16416.846413093408</v>
      </c>
      <c r="E18" s="578">
        <f>-'16 R1 OPEX'!E7</f>
        <v>-15048.679461448424</v>
      </c>
      <c r="F18" s="578">
        <f>-'16 R1 OPEX'!E8</f>
        <v>-14145.078118748261</v>
      </c>
      <c r="G18" s="967">
        <f>-'16 R1 OPEX'!E9</f>
        <v>-14599.065768930037</v>
      </c>
      <c r="H18" s="967">
        <f>-'16 R1 OPEX'!E10</f>
        <v>-15057.798117373999</v>
      </c>
      <c r="I18" s="967">
        <f>-'16 R1 OPEX'!E11</f>
        <v>-15064.87973247327</v>
      </c>
      <c r="J18" s="967">
        <f>-'16 R1 OPEX'!E12</f>
        <v>-15072.495622356846</v>
      </c>
      <c r="K18" s="967">
        <f>-'16 R1 OPEX'!E13</f>
        <v>-15192.826253067265</v>
      </c>
      <c r="L18" s="967">
        <f>-'16 R1 OPEX'!E14</f>
        <v>-15347.122255394672</v>
      </c>
      <c r="M18" s="967">
        <f>-'16 R1 OPEX'!E15</f>
        <v>-15631.795172996442</v>
      </c>
      <c r="N18" s="967">
        <f>-'16 R1 OPEX'!E16</f>
        <v>-16078.51764681211</v>
      </c>
      <c r="O18" s="967">
        <f>-'16 R1 OPEX'!E17</f>
        <v>-16101.57888608165</v>
      </c>
      <c r="P18" s="967">
        <f>-'16 R1 OPEX'!E18</f>
        <v>-16124.640125351203</v>
      </c>
      <c r="Q18" s="967">
        <f>-'16 R1 OPEX'!E19</f>
        <v>-16147.701364620751</v>
      </c>
      <c r="R18" s="967">
        <f>-'16 R1 OPEX'!E20</f>
        <v>-16166.143434356836</v>
      </c>
      <c r="S18" s="967">
        <f>-'16 R1 OPEX'!E21</f>
        <v>-16184.911737817845</v>
      </c>
      <c r="T18" s="967">
        <f>-'16 R1 OPEX'!E22</f>
        <v>-16203.680041278865</v>
      </c>
      <c r="U18" s="967">
        <f>-'16 R1 OPEX'!E23</f>
        <v>-16222.448344739874</v>
      </c>
      <c r="V18" s="967">
        <f>-'16 R1 OPEX'!E24</f>
        <v>-16241.216648200887</v>
      </c>
      <c r="W18" s="967">
        <f>-'16 R1 OPEX'!E25</f>
        <v>-16264.319313534354</v>
      </c>
      <c r="X18" s="967">
        <f>-'16 R1 OPEX'!E26</f>
        <v>-16280.34814305808</v>
      </c>
      <c r="Y18" s="967">
        <f>-'16 R1 OPEX'!E27</f>
        <v>-16296.376972581807</v>
      </c>
      <c r="Z18" s="967">
        <f>-'16 R1 OPEX'!E28</f>
        <v>-16312.405802105539</v>
      </c>
      <c r="AA18" s="967">
        <f>-'16 R1 OPEX'!E29</f>
        <v>-16328.434631629261</v>
      </c>
      <c r="AB18" s="967">
        <f>-'16 R1 OPEX'!E30</f>
        <v>-16351.537299443749</v>
      </c>
      <c r="AC18" s="967">
        <f>-'16 R1 OPEX'!E31</f>
        <v>-16368.34292048484</v>
      </c>
      <c r="AD18" s="967">
        <f>-'16 R1 OPEX'!E32</f>
        <v>-16385.557657312653</v>
      </c>
      <c r="AE18" s="967">
        <f>-'16 R1 OPEX'!E33</f>
        <v>-16403.549179438916</v>
      </c>
      <c r="AF18" s="967">
        <f>-'16 R1 OPEX'!E34</f>
        <v>-16413.322066103116</v>
      </c>
      <c r="AG18" s="968">
        <f t="shared" si="7"/>
        <v>-477854.6330623313</v>
      </c>
      <c r="AI18" s="478"/>
    </row>
    <row r="19" spans="1:35" ht="20.25" customHeight="1">
      <c r="B19" s="477" t="s">
        <v>217</v>
      </c>
      <c r="C19" s="578">
        <f>-'16 R1 OPEX'!C5</f>
        <v>-245634.84</v>
      </c>
      <c r="D19" s="578">
        <f>-'16 R1 OPEX'!C6</f>
        <v>-450330.54</v>
      </c>
      <c r="E19" s="578">
        <f>-'16 R1 OPEX'!C7</f>
        <v>-655026.24</v>
      </c>
      <c r="F19" s="578">
        <f>-'16 R1 OPEX'!C8</f>
        <v>-736904.52</v>
      </c>
      <c r="G19" s="967">
        <f>-'16 R1 OPEX'!C9</f>
        <v>-553251.9</v>
      </c>
      <c r="H19" s="967">
        <f>-'16 R1 OPEX'!C10</f>
        <v>-553251.9</v>
      </c>
      <c r="I19" s="967">
        <f>-'16 R1 OPEX'!C11</f>
        <v>-553251.9</v>
      </c>
      <c r="J19" s="967">
        <f>-'16 R1 OPEX'!C12</f>
        <v>-553251.9</v>
      </c>
      <c r="K19" s="967">
        <f>-'16 R1 OPEX'!C13</f>
        <v>-553251.9</v>
      </c>
      <c r="L19" s="967">
        <f>-'16 R1 OPEX'!C14</f>
        <v>-553251.9</v>
      </c>
      <c r="M19" s="967">
        <f>-'16 R1 OPEX'!C15</f>
        <v>-553251.9</v>
      </c>
      <c r="N19" s="967">
        <f>-'16 R1 OPEX'!C16</f>
        <v>-553251.9</v>
      </c>
      <c r="O19" s="967">
        <f>-'16 R1 OPEX'!C17</f>
        <v>-553251.9</v>
      </c>
      <c r="P19" s="967">
        <f>-'16 R1 OPEX'!C18</f>
        <v>-553251.9</v>
      </c>
      <c r="Q19" s="967">
        <f>-'16 R1 OPEX'!C19</f>
        <v>-553251.9</v>
      </c>
      <c r="R19" s="967">
        <f>-'16 R1 OPEX'!C20</f>
        <v>-553251.9</v>
      </c>
      <c r="S19" s="967">
        <f>-'16 R1 OPEX'!C21</f>
        <v>-553251.9</v>
      </c>
      <c r="T19" s="967">
        <f>-'16 R1 OPEX'!C22</f>
        <v>-553251.9</v>
      </c>
      <c r="U19" s="967">
        <f>-'16 R1 OPEX'!C23</f>
        <v>-553251.9</v>
      </c>
      <c r="V19" s="967">
        <f>-'16 R1 OPEX'!C24</f>
        <v>-553251.9</v>
      </c>
      <c r="W19" s="967">
        <f>-'16 R1 OPEX'!C25</f>
        <v>-553251.9</v>
      </c>
      <c r="X19" s="967">
        <f>-'16 R1 OPEX'!C26</f>
        <v>-553251.9</v>
      </c>
      <c r="Y19" s="967">
        <f>-'16 R1 OPEX'!C27</f>
        <v>-553251.9</v>
      </c>
      <c r="Z19" s="967">
        <f>-'16 R1 OPEX'!C28</f>
        <v>-553251.9</v>
      </c>
      <c r="AA19" s="967">
        <f>-'16 R1 OPEX'!C29</f>
        <v>-553251.9</v>
      </c>
      <c r="AB19" s="967">
        <f>-'16 R1 OPEX'!C30</f>
        <v>-553251.9</v>
      </c>
      <c r="AC19" s="967">
        <f>-'16 R1 OPEX'!C31</f>
        <v>-553251.9</v>
      </c>
      <c r="AD19" s="967">
        <f>-'16 R1 OPEX'!C32</f>
        <v>-553251.9</v>
      </c>
      <c r="AE19" s="967">
        <f>-'16 R1 OPEX'!C33</f>
        <v>-553251.9</v>
      </c>
      <c r="AF19" s="967">
        <f>-'16 R1 OPEX'!C34</f>
        <v>-553251.9</v>
      </c>
      <c r="AG19" s="968">
        <f t="shared" si="7"/>
        <v>-16472445.540000008</v>
      </c>
      <c r="AI19" s="478"/>
    </row>
    <row r="20" spans="1:35" ht="20.25" customHeight="1">
      <c r="B20" s="477" t="s">
        <v>218</v>
      </c>
      <c r="C20" s="578">
        <f>-'16 R1 OPEX'!F5</f>
        <v>-243745.17914122643</v>
      </c>
      <c r="D20" s="578">
        <f>-'16 R1 OPEX'!F6</f>
        <v>-242859.11323662326</v>
      </c>
      <c r="E20" s="578">
        <f>-'16 R1 OPEX'!F7</f>
        <v>-299604.94187372486</v>
      </c>
      <c r="F20" s="578">
        <f>-'16 R1 OPEX'!F8</f>
        <v>-299283.41960704466</v>
      </c>
      <c r="G20" s="967">
        <f>-'16 R1 OPEX'!F9</f>
        <v>-350814.0451623681</v>
      </c>
      <c r="H20" s="967">
        <f>-'16 R1 OPEX'!F10</f>
        <v>-351352.02542474587</v>
      </c>
      <c r="I20" s="967">
        <f>-'16 R1 OPEX'!F11</f>
        <v>-351547.9489293131</v>
      </c>
      <c r="J20" s="967">
        <f>-'16 R1 OPEX'!F12</f>
        <v>-371729.4648631434</v>
      </c>
      <c r="K20" s="967">
        <f>-'16 R1 OPEX'!F13</f>
        <v>-387030.74461918877</v>
      </c>
      <c r="L20" s="967">
        <f>-'16 R1 OPEX'!F14</f>
        <v>-401658.00294591533</v>
      </c>
      <c r="M20" s="967">
        <f>-'16 R1 OPEX'!F15</f>
        <v>-401728.7150956777</v>
      </c>
      <c r="N20" s="967">
        <f>-'16 R1 OPEX'!F16</f>
        <v>-401794.78888514388</v>
      </c>
      <c r="O20" s="967">
        <f>-'16 R1 OPEX'!F17</f>
        <v>-401859.59436818259</v>
      </c>
      <c r="P20" s="967">
        <f>-'16 R1 OPEX'!F18</f>
        <v>-401924.39985122136</v>
      </c>
      <c r="Q20" s="967">
        <f>-'16 R1 OPEX'!F19</f>
        <v>-401989.20533426024</v>
      </c>
      <c r="R20" s="967">
        <f>-'16 R1 OPEX'!F20</f>
        <v>-402043.81998414529</v>
      </c>
      <c r="S20" s="967">
        <f>-'16 R1 OPEX'!F21</f>
        <v>-402096.74885431846</v>
      </c>
      <c r="T20" s="967">
        <f>-'16 R1 OPEX'!F22</f>
        <v>-402149.52022612467</v>
      </c>
      <c r="U20" s="967">
        <f>-'16 R1 OPEX'!F23</f>
        <v>-402302.29159793071</v>
      </c>
      <c r="V20" s="967">
        <f>-'16 R1 OPEX'!F24</f>
        <v>-402355.06296973687</v>
      </c>
      <c r="W20" s="967">
        <f>-'16 R1 OPEX'!F25</f>
        <v>-402417.270352769</v>
      </c>
      <c r="X20" s="967">
        <f>-'16 R1 OPEX'!F26</f>
        <v>-402466.94887976174</v>
      </c>
      <c r="Y20" s="967">
        <f>-'16 R1 OPEX'!F27</f>
        <v>-402512.00758811249</v>
      </c>
      <c r="Z20" s="967">
        <f>-'16 R1 OPEX'!F28</f>
        <v>-402557.06629646337</v>
      </c>
      <c r="AA20" s="967">
        <f>-'16 R1 OPEX'!F29</f>
        <v>-402602.12500481395</v>
      </c>
      <c r="AB20" s="967">
        <f>-'16 R1 OPEX'!F30</f>
        <v>-402662.60670065647</v>
      </c>
      <c r="AC20" s="967">
        <f>-'16 R1 OPEX'!F31</f>
        <v>-402713.99023704906</v>
      </c>
      <c r="AD20" s="967">
        <f>-'16 R1 OPEX'!F32</f>
        <v>-402762.08232708368</v>
      </c>
      <c r="AE20" s="967">
        <f>-'16 R1 OPEX'!F33</f>
        <v>-402812.23614160577</v>
      </c>
      <c r="AF20" s="967">
        <f>-'16 R1 OPEX'!F34</f>
        <v>-402844.88533489278</v>
      </c>
      <c r="AG20" s="968">
        <f t="shared" si="7"/>
        <v>-11346220.251833245</v>
      </c>
      <c r="AI20" s="478"/>
    </row>
    <row r="21" spans="1:35" ht="20.25" customHeight="1">
      <c r="A21" s="1127"/>
      <c r="B21" s="1128" t="s">
        <v>219</v>
      </c>
      <c r="C21" s="579">
        <f>-C12*0.01</f>
        <v>-18830.712192221039</v>
      </c>
      <c r="D21" s="579">
        <f t="shared" ref="D21:F21" si="9">-D12*0.01</f>
        <v>-23487.364306745756</v>
      </c>
      <c r="E21" s="579">
        <f t="shared" si="9"/>
        <v>-26078.466711710476</v>
      </c>
      <c r="F21" s="579">
        <f t="shared" si="9"/>
        <v>-26731.766493209947</v>
      </c>
      <c r="G21" s="1125">
        <f>-G12*0.0075</f>
        <v>-20584.12188069594</v>
      </c>
      <c r="H21" s="1125">
        <f>-H12*0.005</f>
        <v>-15049.894913039027</v>
      </c>
      <c r="I21" s="1125">
        <f t="shared" ref="I21:AF21" si="10">-I12*0.005</f>
        <v>-16724.631693002015</v>
      </c>
      <c r="J21" s="1125">
        <f t="shared" si="10"/>
        <v>-18111.511932221227</v>
      </c>
      <c r="K21" s="1125">
        <f t="shared" si="10"/>
        <v>-18467.995931188256</v>
      </c>
      <c r="L21" s="1125">
        <f t="shared" si="10"/>
        <v>-18891.001351789459</v>
      </c>
      <c r="M21" s="1125">
        <f t="shared" si="10"/>
        <v>-19757.069522633825</v>
      </c>
      <c r="N21" s="1125">
        <f t="shared" si="10"/>
        <v>-21084.292075808593</v>
      </c>
      <c r="O21" s="1125">
        <f t="shared" si="10"/>
        <v>-21169.289223631382</v>
      </c>
      <c r="P21" s="1125">
        <f t="shared" si="10"/>
        <v>-21198.654291706294</v>
      </c>
      <c r="Q21" s="1125">
        <f t="shared" si="10"/>
        <v>-21229.085388743868</v>
      </c>
      <c r="R21" s="1125">
        <f t="shared" si="10"/>
        <v>-21257.120281400374</v>
      </c>
      <c r="S21" s="1125">
        <f t="shared" si="10"/>
        <v>-21282.619249303745</v>
      </c>
      <c r="T21" s="1125">
        <f t="shared" si="10"/>
        <v>-21307.978496835054</v>
      </c>
      <c r="U21" s="1125">
        <f t="shared" si="10"/>
        <v>-21333.337744366356</v>
      </c>
      <c r="V21" s="1125">
        <f t="shared" si="10"/>
        <v>-21356.300787516608</v>
      </c>
      <c r="W21" s="1125">
        <f t="shared" si="10"/>
        <v>-21383.916519056907</v>
      </c>
      <c r="X21" s="1125">
        <f t="shared" si="10"/>
        <v>-21411.811691341332</v>
      </c>
      <c r="Y21" s="1125">
        <f t="shared" si="10"/>
        <v>-21432.518250482604</v>
      </c>
      <c r="Z21" s="1125">
        <f t="shared" si="10"/>
        <v>-21452.805648507645</v>
      </c>
      <c r="AA21" s="1125">
        <f t="shared" si="10"/>
        <v>-21473.093046532693</v>
      </c>
      <c r="AB21" s="1125">
        <f t="shared" si="10"/>
        <v>-21498.172853319851</v>
      </c>
      <c r="AC21" s="1125">
        <f t="shared" si="10"/>
        <v>-21523.532100851149</v>
      </c>
      <c r="AD21" s="1125">
        <f t="shared" si="10"/>
        <v>-21546.495144001394</v>
      </c>
      <c r="AE21" s="1125">
        <f t="shared" si="10"/>
        <v>-21571.714671160636</v>
      </c>
      <c r="AF21" s="1125">
        <f t="shared" si="10"/>
        <v>-21589.885305548771</v>
      </c>
      <c r="AG21" s="1126">
        <f>SUM(C21:AF21)</f>
        <v>-628817.15969857248</v>
      </c>
      <c r="AI21" s="135"/>
    </row>
    <row r="22" spans="1:35" s="89" customFormat="1" ht="20.25" customHeight="1">
      <c r="B22" s="468" t="s">
        <v>220</v>
      </c>
      <c r="C22" s="579">
        <f>C12+C13+C16+C21</f>
        <v>344452.45949611819</v>
      </c>
      <c r="D22" s="579">
        <f t="shared" ref="D22:AF22" si="11">D12+D13+D16+D21</f>
        <v>725356.85352382285</v>
      </c>
      <c r="E22" s="579">
        <f t="shared" si="11"/>
        <v>761828.63043885329</v>
      </c>
      <c r="F22" s="579">
        <f t="shared" si="11"/>
        <v>885889.84541072126</v>
      </c>
      <c r="G22" s="965">
        <f t="shared" si="11"/>
        <v>987003.66554251267</v>
      </c>
      <c r="H22" s="965">
        <f t="shared" si="11"/>
        <v>1236097.9959341185</v>
      </c>
      <c r="I22" s="965">
        <f t="shared" si="11"/>
        <v>1593813.2030140865</v>
      </c>
      <c r="J22" s="965">
        <f t="shared" si="11"/>
        <v>1818859.3253650826</v>
      </c>
      <c r="K22" s="965">
        <f t="shared" si="11"/>
        <v>1861532.7897913547</v>
      </c>
      <c r="L22" s="965">
        <f t="shared" si="11"/>
        <v>1937214.5992484484</v>
      </c>
      <c r="M22" s="965">
        <f t="shared" si="11"/>
        <v>2108354.1286981129</v>
      </c>
      <c r="N22" s="965">
        <f t="shared" si="11"/>
        <v>2371238.0187895126</v>
      </c>
      <c r="O22" s="965">
        <f t="shared" si="11"/>
        <v>2387313.7255066126</v>
      </c>
      <c r="P22" s="965">
        <f t="shared" si="11"/>
        <v>2392318.5846293727</v>
      </c>
      <c r="Q22" s="965">
        <f t="shared" si="11"/>
        <v>2397535.5118256239</v>
      </c>
      <c r="R22" s="965">
        <f t="shared" si="11"/>
        <v>2402396.5132128205</v>
      </c>
      <c r="S22" s="965">
        <f t="shared" si="11"/>
        <v>2406808.8327722712</v>
      </c>
      <c r="T22" s="965">
        <f t="shared" si="11"/>
        <v>2411171.2176241172</v>
      </c>
      <c r="U22" s="965">
        <f t="shared" si="11"/>
        <v>2415435.1236688667</v>
      </c>
      <c r="V22" s="965">
        <f t="shared" si="11"/>
        <v>2419324.1952118305</v>
      </c>
      <c r="W22" s="965">
        <f t="shared" si="11"/>
        <v>2424012.7337706136</v>
      </c>
      <c r="X22" s="965">
        <f t="shared" si="11"/>
        <v>2428928.4434333849</v>
      </c>
      <c r="Y22" s="965">
        <f t="shared" si="11"/>
        <v>2432465.9916120018</v>
      </c>
      <c r="Z22" s="965">
        <f t="shared" si="11"/>
        <v>2435918.1528042592</v>
      </c>
      <c r="AA22" s="965">
        <f t="shared" si="11"/>
        <v>2439369.9214979247</v>
      </c>
      <c r="AB22" s="965">
        <f t="shared" si="11"/>
        <v>2443513.8882810678</v>
      </c>
      <c r="AC22" s="965">
        <f t="shared" si="11"/>
        <v>2447954.7535607205</v>
      </c>
      <c r="AD22" s="965">
        <f t="shared" si="11"/>
        <v>2451897.0248706797</v>
      </c>
      <c r="AE22" s="965">
        <f t="shared" si="11"/>
        <v>2456255.6352967238</v>
      </c>
      <c r="AF22" s="965">
        <f t="shared" si="11"/>
        <v>2459460.1287906123</v>
      </c>
      <c r="AG22" s="966">
        <f t="shared" ref="AG22:AG28" si="12">SUM(C22:AF22)</f>
        <v>60283721.893622242</v>
      </c>
    </row>
    <row r="23" spans="1:35" s="89" customFormat="1" ht="20.25" customHeight="1">
      <c r="B23" s="468" t="s">
        <v>221</v>
      </c>
      <c r="C23" s="579"/>
      <c r="D23" s="579">
        <f>-'R1 DEPR'!AH11</f>
        <v>-19422.835502517231</v>
      </c>
      <c r="E23" s="579">
        <f>-'R1 DEPR'!AH12</f>
        <v>-31767.091368703179</v>
      </c>
      <c r="F23" s="579">
        <f>-'R1 DEPR'!AH13</f>
        <v>-42964.776963557146</v>
      </c>
      <c r="G23" s="965">
        <f>-'R1 DEPR'!AH14</f>
        <v>-96570.054420457061</v>
      </c>
      <c r="H23" s="965">
        <f>-'R1 DEPR'!AH15</f>
        <v>-304965.65942868049</v>
      </c>
      <c r="I23" s="965">
        <f>-'R1 DEPR'!AH16</f>
        <v>-335294.75656698272</v>
      </c>
      <c r="J23" s="965">
        <f>-'R1 DEPR'!AH17</f>
        <v>-409777.60554813145</v>
      </c>
      <c r="K23" s="965">
        <f>-'R1 DEPR'!AH18</f>
        <v>-463947.68852428254</v>
      </c>
      <c r="L23" s="965">
        <f>-'R1 DEPR'!AH19</f>
        <v>-555574.63704043371</v>
      </c>
      <c r="M23" s="965">
        <f>-'R1 DEPR'!AH20</f>
        <v>-605563.54056842171</v>
      </c>
      <c r="N23" s="965">
        <f>-'R1 DEPR'!AH21</f>
        <v>-745221.7237064041</v>
      </c>
      <c r="O23" s="965">
        <f>-'R1 DEPR'!AH22</f>
        <v>-875944.51290035935</v>
      </c>
      <c r="P23" s="965">
        <f>-'R1 DEPR'!AH23</f>
        <v>-879967.26312107325</v>
      </c>
      <c r="Q23" s="965">
        <f>-'R1 DEPR'!AH24</f>
        <v>-884241.43523058179</v>
      </c>
      <c r="R23" s="965">
        <f>-'R1 DEPR'!AH25</f>
        <v>-888800.5521473909</v>
      </c>
      <c r="S23" s="965">
        <f>-'R1 DEPR'!AH26</f>
        <v>-893307.60598682927</v>
      </c>
      <c r="T23" s="965">
        <f>-'R1 DEPR'!AH27</f>
        <v>-898161.35627545521</v>
      </c>
      <c r="U23" s="965">
        <f>-'R1 DEPR'!AH28</f>
        <v>-903419.58575479989</v>
      </c>
      <c r="V23" s="965">
        <f>-'R1 DEPR'!AH29</f>
        <v>-909155.83609590319</v>
      </c>
      <c r="W23" s="965">
        <f>-'R1 DEPR'!AH30</f>
        <v>-915465.71147111687</v>
      </c>
      <c r="X23" s="965">
        <f>-'R1 DEPR'!AH31</f>
        <v>-923109.46188802097</v>
      </c>
      <c r="Y23" s="965">
        <f>-'R1 DEPR'!AH32</f>
        <v>-930539.30610703805</v>
      </c>
      <c r="Z23" s="965">
        <f>-'R1 DEPR'!AH33</f>
        <v>-939030.55664305761</v>
      </c>
      <c r="AA23" s="965">
        <f>-'R1 DEPR'!AH34</f>
        <v>-948937.01560174709</v>
      </c>
      <c r="AB23" s="965">
        <f>-'R1 DEPR'!AH35</f>
        <v>-960824.76635217445</v>
      </c>
      <c r="AC23" s="965">
        <f>-'R1 DEPR'!AH36</f>
        <v>-978023.20479020861</v>
      </c>
      <c r="AD23" s="965">
        <f>-'R1 DEPR'!AH37</f>
        <v>-998107.45604092081</v>
      </c>
      <c r="AE23" s="965">
        <f>-'R1 DEPR'!AH38</f>
        <v>-1028640.8329169891</v>
      </c>
      <c r="AF23" s="965">
        <f>-'R1 DEPR'!AH39</f>
        <v>-1150372.8346658584</v>
      </c>
      <c r="AG23" s="966">
        <f t="shared" si="12"/>
        <v>-20517119.663628098</v>
      </c>
    </row>
    <row r="24" spans="1:35" ht="20.25" customHeight="1">
      <c r="B24" s="468" t="s">
        <v>222</v>
      </c>
      <c r="C24" s="579">
        <f>C22+C23</f>
        <v>344452.45949611819</v>
      </c>
      <c r="D24" s="579">
        <f t="shared" ref="D24:AF24" si="13">D22+D23</f>
        <v>705934.01802130567</v>
      </c>
      <c r="E24" s="579">
        <f t="shared" si="13"/>
        <v>730061.53907015012</v>
      </c>
      <c r="F24" s="579">
        <f t="shared" si="13"/>
        <v>842925.06844716414</v>
      </c>
      <c r="G24" s="965">
        <f t="shared" si="13"/>
        <v>890433.61112205556</v>
      </c>
      <c r="H24" s="965">
        <f t="shared" si="13"/>
        <v>931132.33650543797</v>
      </c>
      <c r="I24" s="965">
        <f t="shared" si="13"/>
        <v>1258518.4464471037</v>
      </c>
      <c r="J24" s="965">
        <f t="shared" si="13"/>
        <v>1409081.7198169511</v>
      </c>
      <c r="K24" s="965">
        <f t="shared" si="13"/>
        <v>1397585.1012670721</v>
      </c>
      <c r="L24" s="965">
        <f t="shared" si="13"/>
        <v>1381639.9622080147</v>
      </c>
      <c r="M24" s="965">
        <f t="shared" si="13"/>
        <v>1502790.5881296913</v>
      </c>
      <c r="N24" s="965">
        <f t="shared" si="13"/>
        <v>1626016.2950831084</v>
      </c>
      <c r="O24" s="965">
        <f t="shared" si="13"/>
        <v>1511369.2126062531</v>
      </c>
      <c r="P24" s="965">
        <f t="shared" si="13"/>
        <v>1512351.3215082996</v>
      </c>
      <c r="Q24" s="965">
        <f t="shared" si="13"/>
        <v>1513294.0765950421</v>
      </c>
      <c r="R24" s="965">
        <f t="shared" si="13"/>
        <v>1513595.9610654297</v>
      </c>
      <c r="S24" s="965">
        <f t="shared" si="13"/>
        <v>1513501.2267854419</v>
      </c>
      <c r="T24" s="965">
        <f t="shared" si="13"/>
        <v>1513009.8613486621</v>
      </c>
      <c r="U24" s="965">
        <f t="shared" si="13"/>
        <v>1512015.5379140668</v>
      </c>
      <c r="V24" s="965">
        <f t="shared" si="13"/>
        <v>1510168.3591159275</v>
      </c>
      <c r="W24" s="965">
        <f t="shared" si="13"/>
        <v>1508547.0222994967</v>
      </c>
      <c r="X24" s="965">
        <f t="shared" si="13"/>
        <v>1505818.981545364</v>
      </c>
      <c r="Y24" s="965">
        <f t="shared" si="13"/>
        <v>1501926.6855049636</v>
      </c>
      <c r="Z24" s="965">
        <f t="shared" si="13"/>
        <v>1496887.5961612016</v>
      </c>
      <c r="AA24" s="965">
        <f t="shared" si="13"/>
        <v>1490432.9058961775</v>
      </c>
      <c r="AB24" s="965">
        <f t="shared" si="13"/>
        <v>1482689.1219288935</v>
      </c>
      <c r="AC24" s="965">
        <f t="shared" si="13"/>
        <v>1469931.548770512</v>
      </c>
      <c r="AD24" s="965">
        <f t="shared" si="13"/>
        <v>1453789.568829759</v>
      </c>
      <c r="AE24" s="965">
        <f t="shared" si="13"/>
        <v>1427614.8023797348</v>
      </c>
      <c r="AF24" s="965">
        <f t="shared" si="13"/>
        <v>1309087.2941247539</v>
      </c>
      <c r="AG24" s="966">
        <f t="shared" si="12"/>
        <v>39766602.229994155</v>
      </c>
    </row>
    <row r="25" spans="1:35" ht="20.25" customHeight="1">
      <c r="B25" s="468" t="s">
        <v>223</v>
      </c>
      <c r="C25" s="579">
        <f>C26+C27</f>
        <v>0</v>
      </c>
      <c r="D25" s="579">
        <f t="shared" ref="D25:AF25" si="14">D26+D27</f>
        <v>-216017.56612724392</v>
      </c>
      <c r="E25" s="579">
        <f t="shared" si="14"/>
        <v>-224220.92328385104</v>
      </c>
      <c r="F25" s="579">
        <f t="shared" si="14"/>
        <v>-262594.52327203582</v>
      </c>
      <c r="G25" s="965">
        <f t="shared" si="14"/>
        <v>-278747.42778149887</v>
      </c>
      <c r="H25" s="965">
        <f t="shared" si="14"/>
        <v>-292584.99441184889</v>
      </c>
      <c r="I25" s="965">
        <f t="shared" si="14"/>
        <v>-403896.27179201529</v>
      </c>
      <c r="J25" s="965">
        <f t="shared" si="14"/>
        <v>-455087.78473776334</v>
      </c>
      <c r="K25" s="965">
        <f t="shared" si="14"/>
        <v>-451178.93443080451</v>
      </c>
      <c r="L25" s="965">
        <f t="shared" si="14"/>
        <v>-445757.58715072495</v>
      </c>
      <c r="M25" s="965">
        <f t="shared" si="14"/>
        <v>-486948.799964095</v>
      </c>
      <c r="N25" s="965">
        <f t="shared" si="14"/>
        <v>-528845.54032825679</v>
      </c>
      <c r="O25" s="965">
        <f t="shared" si="14"/>
        <v>-489865.53228612605</v>
      </c>
      <c r="P25" s="965">
        <f t="shared" si="14"/>
        <v>-490199.44931282185</v>
      </c>
      <c r="Q25" s="965">
        <f t="shared" si="14"/>
        <v>-490519.98604231433</v>
      </c>
      <c r="R25" s="965">
        <f t="shared" si="14"/>
        <v>-490622.62676224613</v>
      </c>
      <c r="S25" s="965">
        <f t="shared" si="14"/>
        <v>-490590.41710705019</v>
      </c>
      <c r="T25" s="965">
        <f t="shared" si="14"/>
        <v>-490423.35285854508</v>
      </c>
      <c r="U25" s="965">
        <f t="shared" si="14"/>
        <v>-490085.28289078269</v>
      </c>
      <c r="V25" s="965">
        <f t="shared" si="14"/>
        <v>-489457.24209941534</v>
      </c>
      <c r="W25" s="965">
        <f t="shared" si="14"/>
        <v>-488905.98758182884</v>
      </c>
      <c r="X25" s="965">
        <f t="shared" si="14"/>
        <v>-487978.45372542378</v>
      </c>
      <c r="Y25" s="965">
        <f t="shared" si="14"/>
        <v>-486655.0730716876</v>
      </c>
      <c r="Z25" s="965">
        <f t="shared" si="14"/>
        <v>-484941.78269480856</v>
      </c>
      <c r="AA25" s="965">
        <f t="shared" si="14"/>
        <v>-482747.18800470035</v>
      </c>
      <c r="AB25" s="965">
        <f t="shared" si="14"/>
        <v>-480114.30145582382</v>
      </c>
      <c r="AC25" s="965">
        <f t="shared" si="14"/>
        <v>-475776.72658197407</v>
      </c>
      <c r="AD25" s="965">
        <f t="shared" si="14"/>
        <v>-470288.45340211806</v>
      </c>
      <c r="AE25" s="965">
        <f t="shared" si="14"/>
        <v>-461389.03280910983</v>
      </c>
      <c r="AF25" s="965">
        <f t="shared" si="14"/>
        <v>-421089.68000241631</v>
      </c>
      <c r="AG25" s="966">
        <f t="shared" si="12"/>
        <v>-12707530.921969334</v>
      </c>
    </row>
    <row r="26" spans="1:35" s="89" customFormat="1" ht="20.25" customHeight="1">
      <c r="B26" s="477" t="s">
        <v>224</v>
      </c>
      <c r="C26" s="578"/>
      <c r="D26" s="578">
        <f t="shared" ref="D26:AF26" si="15">-((D24*0.15)+((D24-240000)*0.1))</f>
        <v>-152483.50450532642</v>
      </c>
      <c r="E26" s="578">
        <f t="shared" si="15"/>
        <v>-158515.38476753753</v>
      </c>
      <c r="F26" s="578">
        <f t="shared" si="15"/>
        <v>-186731.26711179104</v>
      </c>
      <c r="G26" s="967">
        <f t="shared" si="15"/>
        <v>-198608.40278051386</v>
      </c>
      <c r="H26" s="967">
        <f t="shared" si="15"/>
        <v>-208783.08412635949</v>
      </c>
      <c r="I26" s="967">
        <f t="shared" si="15"/>
        <v>-290629.61161177594</v>
      </c>
      <c r="J26" s="967">
        <f t="shared" si="15"/>
        <v>-328270.42995423777</v>
      </c>
      <c r="K26" s="967">
        <f t="shared" si="15"/>
        <v>-325396.27531676803</v>
      </c>
      <c r="L26" s="967">
        <f t="shared" si="15"/>
        <v>-321409.99055200367</v>
      </c>
      <c r="M26" s="967">
        <f t="shared" si="15"/>
        <v>-351697.64703242283</v>
      </c>
      <c r="N26" s="967">
        <f t="shared" si="15"/>
        <v>-382504.07377077709</v>
      </c>
      <c r="O26" s="967">
        <f t="shared" si="15"/>
        <v>-353842.30315156328</v>
      </c>
      <c r="P26" s="967">
        <f t="shared" si="15"/>
        <v>-354087.83037707489</v>
      </c>
      <c r="Q26" s="967">
        <f t="shared" si="15"/>
        <v>-354323.51914876053</v>
      </c>
      <c r="R26" s="967">
        <f t="shared" si="15"/>
        <v>-354398.99026635743</v>
      </c>
      <c r="S26" s="967">
        <f t="shared" si="15"/>
        <v>-354375.30669636047</v>
      </c>
      <c r="T26" s="967">
        <f t="shared" si="15"/>
        <v>-354252.46533716551</v>
      </c>
      <c r="U26" s="967">
        <f t="shared" si="15"/>
        <v>-354003.8844785167</v>
      </c>
      <c r="V26" s="967">
        <f t="shared" si="15"/>
        <v>-353542.08977898187</v>
      </c>
      <c r="W26" s="967">
        <f t="shared" si="15"/>
        <v>-353136.75557487417</v>
      </c>
      <c r="X26" s="967">
        <f t="shared" si="15"/>
        <v>-352454.745386341</v>
      </c>
      <c r="Y26" s="967">
        <f t="shared" si="15"/>
        <v>-351481.67137624091</v>
      </c>
      <c r="Z26" s="967">
        <f t="shared" si="15"/>
        <v>-350221.8990403004</v>
      </c>
      <c r="AA26" s="967">
        <f t="shared" si="15"/>
        <v>-348608.22647404438</v>
      </c>
      <c r="AB26" s="967">
        <f t="shared" si="15"/>
        <v>-346672.28048222337</v>
      </c>
      <c r="AC26" s="967">
        <f t="shared" si="15"/>
        <v>-343482.887192628</v>
      </c>
      <c r="AD26" s="967">
        <f t="shared" si="15"/>
        <v>-339447.39220743976</v>
      </c>
      <c r="AE26" s="967">
        <f t="shared" si="15"/>
        <v>-332903.7005949337</v>
      </c>
      <c r="AF26" s="967">
        <f t="shared" si="15"/>
        <v>-303271.82353118848</v>
      </c>
      <c r="AG26" s="966">
        <f t="shared" si="12"/>
        <v>-9159537.4426245093</v>
      </c>
    </row>
    <row r="27" spans="1:35" s="89" customFormat="1" ht="20.25" customHeight="1">
      <c r="B27" s="477" t="s">
        <v>225</v>
      </c>
      <c r="C27" s="578"/>
      <c r="D27" s="578">
        <f t="shared" ref="D27:AF27" si="16">-(D24*0.09)</f>
        <v>-63534.061621917506</v>
      </c>
      <c r="E27" s="578">
        <f t="shared" si="16"/>
        <v>-65705.538516313507</v>
      </c>
      <c r="F27" s="578">
        <f t="shared" si="16"/>
        <v>-75863.256160244768</v>
      </c>
      <c r="G27" s="967">
        <f t="shared" si="16"/>
        <v>-80139.025000984999</v>
      </c>
      <c r="H27" s="967">
        <f t="shared" si="16"/>
        <v>-83801.910285489415</v>
      </c>
      <c r="I27" s="967">
        <f t="shared" si="16"/>
        <v>-113266.66018023933</v>
      </c>
      <c r="J27" s="967">
        <f t="shared" si="16"/>
        <v>-126817.35478352559</v>
      </c>
      <c r="K27" s="967">
        <f t="shared" si="16"/>
        <v>-125782.65911403649</v>
      </c>
      <c r="L27" s="967">
        <f t="shared" si="16"/>
        <v>-124347.59659872131</v>
      </c>
      <c r="M27" s="967">
        <f t="shared" si="16"/>
        <v>-135251.1529316722</v>
      </c>
      <c r="N27" s="967">
        <f t="shared" si="16"/>
        <v>-146341.46655747975</v>
      </c>
      <c r="O27" s="967">
        <f t="shared" si="16"/>
        <v>-136023.22913456277</v>
      </c>
      <c r="P27" s="967">
        <f t="shared" si="16"/>
        <v>-136111.61893574696</v>
      </c>
      <c r="Q27" s="967">
        <f t="shared" si="16"/>
        <v>-136196.46689355379</v>
      </c>
      <c r="R27" s="967">
        <f t="shared" si="16"/>
        <v>-136223.63649588867</v>
      </c>
      <c r="S27" s="967">
        <f t="shared" si="16"/>
        <v>-136215.11041068975</v>
      </c>
      <c r="T27" s="967">
        <f t="shared" si="16"/>
        <v>-136170.88752137957</v>
      </c>
      <c r="U27" s="967">
        <f t="shared" si="16"/>
        <v>-136081.39841226602</v>
      </c>
      <c r="V27" s="967">
        <f t="shared" si="16"/>
        <v>-135915.15232043347</v>
      </c>
      <c r="W27" s="967">
        <f t="shared" si="16"/>
        <v>-135769.2320069547</v>
      </c>
      <c r="X27" s="967">
        <f t="shared" si="16"/>
        <v>-135523.70833908275</v>
      </c>
      <c r="Y27" s="967">
        <f t="shared" si="16"/>
        <v>-135173.40169544672</v>
      </c>
      <c r="Z27" s="967">
        <f t="shared" si="16"/>
        <v>-134719.88365450813</v>
      </c>
      <c r="AA27" s="967">
        <f t="shared" si="16"/>
        <v>-134138.96153065597</v>
      </c>
      <c r="AB27" s="967">
        <f t="shared" si="16"/>
        <v>-133442.02097360042</v>
      </c>
      <c r="AC27" s="967">
        <f t="shared" si="16"/>
        <v>-132293.83938934607</v>
      </c>
      <c r="AD27" s="967">
        <f t="shared" si="16"/>
        <v>-130841.0611946783</v>
      </c>
      <c r="AE27" s="967">
        <f t="shared" si="16"/>
        <v>-128485.33221417613</v>
      </c>
      <c r="AF27" s="967">
        <f t="shared" si="16"/>
        <v>-117817.85647122785</v>
      </c>
      <c r="AG27" s="966">
        <f t="shared" si="12"/>
        <v>-3547993.4793448234</v>
      </c>
    </row>
    <row r="28" spans="1:35" s="89" customFormat="1" ht="20.25" customHeight="1" thickBot="1">
      <c r="B28" s="471" t="s">
        <v>226</v>
      </c>
      <c r="C28" s="881">
        <f>C24+C25</f>
        <v>344452.45949611819</v>
      </c>
      <c r="D28" s="881">
        <f t="shared" ref="D28:AF28" si="17">D24+D25</f>
        <v>489916.45189406176</v>
      </c>
      <c r="E28" s="881">
        <f t="shared" si="17"/>
        <v>505840.61578629911</v>
      </c>
      <c r="F28" s="881">
        <f t="shared" si="17"/>
        <v>580330.54517512838</v>
      </c>
      <c r="G28" s="969">
        <f t="shared" si="17"/>
        <v>611686.18334055669</v>
      </c>
      <c r="H28" s="969">
        <f t="shared" si="17"/>
        <v>638547.34209358902</v>
      </c>
      <c r="I28" s="969">
        <f t="shared" si="17"/>
        <v>854622.17465508846</v>
      </c>
      <c r="J28" s="969">
        <f t="shared" si="17"/>
        <v>953993.93507918774</v>
      </c>
      <c r="K28" s="969">
        <f t="shared" si="17"/>
        <v>946406.16683626757</v>
      </c>
      <c r="L28" s="969">
        <f t="shared" si="17"/>
        <v>935882.37505728973</v>
      </c>
      <c r="M28" s="969">
        <f t="shared" si="17"/>
        <v>1015841.7881655963</v>
      </c>
      <c r="N28" s="969">
        <f t="shared" si="17"/>
        <v>1097170.7547548516</v>
      </c>
      <c r="O28" s="969">
        <f t="shared" si="17"/>
        <v>1021503.6803201271</v>
      </c>
      <c r="P28" s="969">
        <f t="shared" si="17"/>
        <v>1022151.8721954777</v>
      </c>
      <c r="Q28" s="969">
        <f t="shared" si="17"/>
        <v>1022774.0905527278</v>
      </c>
      <c r="R28" s="969">
        <f t="shared" si="17"/>
        <v>1022973.3343031836</v>
      </c>
      <c r="S28" s="969">
        <f t="shared" si="17"/>
        <v>1022910.8096783917</v>
      </c>
      <c r="T28" s="969">
        <f t="shared" si="17"/>
        <v>1022586.508490117</v>
      </c>
      <c r="U28" s="969">
        <f t="shared" si="17"/>
        <v>1021930.2550232841</v>
      </c>
      <c r="V28" s="969">
        <f t="shared" si="17"/>
        <v>1020711.1170165122</v>
      </c>
      <c r="W28" s="969">
        <f t="shared" si="17"/>
        <v>1019641.0347176678</v>
      </c>
      <c r="X28" s="969">
        <f t="shared" si="17"/>
        <v>1017840.5278199402</v>
      </c>
      <c r="Y28" s="969">
        <f t="shared" si="17"/>
        <v>1015271.612433276</v>
      </c>
      <c r="Z28" s="969">
        <f t="shared" si="17"/>
        <v>1011945.813466393</v>
      </c>
      <c r="AA28" s="969">
        <f t="shared" si="17"/>
        <v>1007685.7178914772</v>
      </c>
      <c r="AB28" s="969">
        <f t="shared" si="17"/>
        <v>1002574.8204730697</v>
      </c>
      <c r="AC28" s="969">
        <f t="shared" si="17"/>
        <v>994154.82218853792</v>
      </c>
      <c r="AD28" s="969">
        <f t="shared" si="17"/>
        <v>983501.11542764097</v>
      </c>
      <c r="AE28" s="969">
        <f t="shared" si="17"/>
        <v>966225.76957062492</v>
      </c>
      <c r="AF28" s="969">
        <f t="shared" si="17"/>
        <v>887997.61412233766</v>
      </c>
      <c r="AG28" s="970">
        <f t="shared" si="12"/>
        <v>27059071.308024824</v>
      </c>
      <c r="AH28" s="136"/>
    </row>
    <row r="30" spans="1:35" s="135" customFormat="1">
      <c r="C30" s="135">
        <f>C24*0.15</f>
        <v>51667.868924417729</v>
      </c>
      <c r="D30" s="135">
        <f t="shared" ref="D30:AF30" si="18">D24*0.15</f>
        <v>105890.10270319585</v>
      </c>
      <c r="E30" s="135">
        <f t="shared" si="18"/>
        <v>109509.23086052251</v>
      </c>
      <c r="F30" s="135">
        <f t="shared" si="18"/>
        <v>126438.76026707461</v>
      </c>
      <c r="G30" s="135">
        <f t="shared" si="18"/>
        <v>133565.04166830832</v>
      </c>
      <c r="H30" s="135">
        <f t="shared" si="18"/>
        <v>139669.85047581568</v>
      </c>
      <c r="I30" s="135">
        <f t="shared" si="18"/>
        <v>188777.76696706555</v>
      </c>
      <c r="J30" s="135">
        <f t="shared" si="18"/>
        <v>211362.25797254266</v>
      </c>
      <c r="K30" s="135">
        <f t="shared" si="18"/>
        <v>209637.7651900608</v>
      </c>
      <c r="L30" s="135">
        <f t="shared" si="18"/>
        <v>207245.99433120221</v>
      </c>
      <c r="M30" s="135">
        <f t="shared" si="18"/>
        <v>225418.5882194537</v>
      </c>
      <c r="N30" s="135">
        <f t="shared" si="18"/>
        <v>243902.44426246625</v>
      </c>
      <c r="O30" s="135">
        <f t="shared" si="18"/>
        <v>226705.38189093795</v>
      </c>
      <c r="P30" s="135">
        <f t="shared" si="18"/>
        <v>226852.69822624492</v>
      </c>
      <c r="Q30" s="135">
        <f t="shared" si="18"/>
        <v>226994.11148925632</v>
      </c>
      <c r="R30" s="135">
        <f t="shared" si="18"/>
        <v>227039.39415981446</v>
      </c>
      <c r="S30" s="135">
        <f t="shared" si="18"/>
        <v>227025.18401781627</v>
      </c>
      <c r="T30" s="135">
        <f t="shared" si="18"/>
        <v>226951.47920229929</v>
      </c>
      <c r="U30" s="135">
        <f t="shared" si="18"/>
        <v>226802.33068711002</v>
      </c>
      <c r="V30" s="135">
        <f t="shared" si="18"/>
        <v>226525.25386738911</v>
      </c>
      <c r="W30" s="135">
        <f t="shared" si="18"/>
        <v>226282.0533449245</v>
      </c>
      <c r="X30" s="135">
        <f t="shared" si="18"/>
        <v>225872.8472318046</v>
      </c>
      <c r="Y30" s="135">
        <f t="shared" si="18"/>
        <v>225289.00282574454</v>
      </c>
      <c r="Z30" s="135">
        <f t="shared" si="18"/>
        <v>224533.13942418023</v>
      </c>
      <c r="AA30" s="135">
        <f t="shared" si="18"/>
        <v>223564.93588442661</v>
      </c>
      <c r="AB30" s="135">
        <f t="shared" si="18"/>
        <v>222403.36828933403</v>
      </c>
      <c r="AC30" s="135">
        <f t="shared" si="18"/>
        <v>220489.73231557678</v>
      </c>
      <c r="AD30" s="135">
        <f t="shared" si="18"/>
        <v>218068.43532446385</v>
      </c>
      <c r="AE30" s="135">
        <f t="shared" si="18"/>
        <v>214142.22035696023</v>
      </c>
      <c r="AF30" s="135">
        <f t="shared" si="18"/>
        <v>196363.09411871308</v>
      </c>
    </row>
    <row r="31" spans="1:35" s="135" customFormat="1">
      <c r="C31" s="135">
        <f>(C24-240000)*0.1</f>
        <v>10445.245949611819</v>
      </c>
      <c r="D31" s="135">
        <f t="shared" ref="D31:AF31" si="19">(D24-240000)*0.1</f>
        <v>46593.401802130567</v>
      </c>
      <c r="E31" s="135">
        <f t="shared" si="19"/>
        <v>49006.153907015017</v>
      </c>
      <c r="F31" s="135">
        <f t="shared" si="19"/>
        <v>60292.506844716416</v>
      </c>
      <c r="G31" s="135">
        <f t="shared" si="19"/>
        <v>65043.361112205559</v>
      </c>
      <c r="H31" s="135">
        <f t="shared" si="19"/>
        <v>69113.2336505438</v>
      </c>
      <c r="I31" s="135">
        <f t="shared" si="19"/>
        <v>101851.84464471038</v>
      </c>
      <c r="J31" s="135">
        <f t="shared" si="19"/>
        <v>116908.17198169511</v>
      </c>
      <c r="K31" s="135">
        <f t="shared" si="19"/>
        <v>115758.51012670722</v>
      </c>
      <c r="L31" s="135">
        <f t="shared" si="19"/>
        <v>114163.99622080148</v>
      </c>
      <c r="M31" s="135">
        <f t="shared" si="19"/>
        <v>126279.05881296913</v>
      </c>
      <c r="N31" s="135">
        <f t="shared" si="19"/>
        <v>138601.62950831084</v>
      </c>
      <c r="O31" s="135">
        <f t="shared" si="19"/>
        <v>127136.92126062531</v>
      </c>
      <c r="P31" s="135">
        <f t="shared" si="19"/>
        <v>127235.13215082996</v>
      </c>
      <c r="Q31" s="135">
        <f t="shared" si="19"/>
        <v>127329.40765950421</v>
      </c>
      <c r="R31" s="135">
        <f t="shared" si="19"/>
        <v>127359.59610654297</v>
      </c>
      <c r="S31" s="135">
        <f t="shared" si="19"/>
        <v>127350.1226785442</v>
      </c>
      <c r="T31" s="135">
        <f t="shared" si="19"/>
        <v>127300.98613486621</v>
      </c>
      <c r="U31" s="135">
        <f t="shared" si="19"/>
        <v>127201.55379140668</v>
      </c>
      <c r="V31" s="135">
        <f t="shared" si="19"/>
        <v>127016.83591159276</v>
      </c>
      <c r="W31" s="135">
        <f t="shared" si="19"/>
        <v>126854.70222994967</v>
      </c>
      <c r="X31" s="135">
        <f t="shared" si="19"/>
        <v>126581.89815453641</v>
      </c>
      <c r="Y31" s="135">
        <f t="shared" si="19"/>
        <v>126192.66855049637</v>
      </c>
      <c r="Z31" s="135">
        <f t="shared" si="19"/>
        <v>125688.75961612017</v>
      </c>
      <c r="AA31" s="135">
        <f t="shared" si="19"/>
        <v>125043.29058961775</v>
      </c>
      <c r="AB31" s="135">
        <f t="shared" si="19"/>
        <v>124268.91219288936</v>
      </c>
      <c r="AC31" s="135">
        <f t="shared" si="19"/>
        <v>122993.1548770512</v>
      </c>
      <c r="AD31" s="135">
        <f t="shared" si="19"/>
        <v>121378.95688297591</v>
      </c>
      <c r="AE31" s="135">
        <f t="shared" si="19"/>
        <v>118761.48023797349</v>
      </c>
      <c r="AF31" s="135">
        <f t="shared" si="19"/>
        <v>106908.7294124754</v>
      </c>
    </row>
    <row r="32" spans="1:35" s="135" customFormat="1">
      <c r="C32" s="135">
        <f>C30+C31</f>
        <v>62113.114874029547</v>
      </c>
      <c r="D32" s="135">
        <f t="shared" ref="D32:AF32" si="20">D30+D31</f>
        <v>152483.50450532642</v>
      </c>
      <c r="E32" s="135">
        <f t="shared" si="20"/>
        <v>158515.38476753753</v>
      </c>
      <c r="F32" s="135">
        <f t="shared" si="20"/>
        <v>186731.26711179104</v>
      </c>
      <c r="G32" s="135">
        <f t="shared" si="20"/>
        <v>198608.40278051386</v>
      </c>
      <c r="H32" s="135">
        <f t="shared" si="20"/>
        <v>208783.08412635949</v>
      </c>
      <c r="I32" s="135">
        <f t="shared" si="20"/>
        <v>290629.61161177594</v>
      </c>
      <c r="J32" s="135">
        <f t="shared" si="20"/>
        <v>328270.42995423777</v>
      </c>
      <c r="K32" s="135">
        <f t="shared" si="20"/>
        <v>325396.27531676803</v>
      </c>
      <c r="L32" s="135">
        <f t="shared" si="20"/>
        <v>321409.99055200367</v>
      </c>
      <c r="M32" s="135">
        <f t="shared" si="20"/>
        <v>351697.64703242283</v>
      </c>
      <c r="N32" s="135">
        <f t="shared" si="20"/>
        <v>382504.07377077709</v>
      </c>
      <c r="O32" s="135">
        <f t="shared" si="20"/>
        <v>353842.30315156328</v>
      </c>
      <c r="P32" s="135">
        <f t="shared" si="20"/>
        <v>354087.83037707489</v>
      </c>
      <c r="Q32" s="135">
        <f t="shared" si="20"/>
        <v>354323.51914876053</v>
      </c>
      <c r="R32" s="135">
        <f t="shared" si="20"/>
        <v>354398.99026635743</v>
      </c>
      <c r="S32" s="135">
        <f t="shared" si="20"/>
        <v>354375.30669636047</v>
      </c>
      <c r="T32" s="135">
        <f t="shared" si="20"/>
        <v>354252.46533716551</v>
      </c>
      <c r="U32" s="135">
        <f t="shared" si="20"/>
        <v>354003.8844785167</v>
      </c>
      <c r="V32" s="135">
        <f t="shared" si="20"/>
        <v>353542.08977898187</v>
      </c>
      <c r="W32" s="135">
        <f t="shared" si="20"/>
        <v>353136.75557487417</v>
      </c>
      <c r="X32" s="135">
        <f t="shared" si="20"/>
        <v>352454.745386341</v>
      </c>
      <c r="Y32" s="135">
        <f t="shared" si="20"/>
        <v>351481.67137624091</v>
      </c>
      <c r="Z32" s="135">
        <f t="shared" si="20"/>
        <v>350221.8990403004</v>
      </c>
      <c r="AA32" s="135">
        <f t="shared" si="20"/>
        <v>348608.22647404438</v>
      </c>
      <c r="AB32" s="135">
        <f t="shared" si="20"/>
        <v>346672.28048222337</v>
      </c>
      <c r="AC32" s="135">
        <f t="shared" si="20"/>
        <v>343482.887192628</v>
      </c>
      <c r="AD32" s="135">
        <f t="shared" si="20"/>
        <v>339447.39220743976</v>
      </c>
      <c r="AE32" s="135">
        <f t="shared" si="20"/>
        <v>332903.7005949337</v>
      </c>
      <c r="AF32" s="135">
        <f t="shared" si="20"/>
        <v>303271.82353118848</v>
      </c>
    </row>
    <row r="34" spans="2:33">
      <c r="B34" s="41" t="str">
        <f>IF(SUM(C34:AF34)&gt;=1,"CHECK","OK")</f>
        <v>OK</v>
      </c>
      <c r="C34" s="41">
        <f t="shared" ref="C34:AF34" si="21">IF(C24&lt;=240000,1,0)</f>
        <v>0</v>
      </c>
      <c r="D34" s="41">
        <f t="shared" si="21"/>
        <v>0</v>
      </c>
      <c r="E34" s="41">
        <f t="shared" si="21"/>
        <v>0</v>
      </c>
      <c r="F34" s="41">
        <f t="shared" si="21"/>
        <v>0</v>
      </c>
      <c r="G34" s="41">
        <f t="shared" si="21"/>
        <v>0</v>
      </c>
      <c r="H34" s="41">
        <f t="shared" si="21"/>
        <v>0</v>
      </c>
      <c r="I34" s="41">
        <f t="shared" si="21"/>
        <v>0</v>
      </c>
      <c r="J34" s="41">
        <f t="shared" si="21"/>
        <v>0</v>
      </c>
      <c r="K34" s="41">
        <f t="shared" si="21"/>
        <v>0</v>
      </c>
      <c r="L34" s="41">
        <f t="shared" si="21"/>
        <v>0</v>
      </c>
      <c r="M34" s="41">
        <f t="shared" si="21"/>
        <v>0</v>
      </c>
      <c r="N34" s="41">
        <f t="shared" si="21"/>
        <v>0</v>
      </c>
      <c r="O34" s="41">
        <f t="shared" si="21"/>
        <v>0</v>
      </c>
      <c r="P34" s="41">
        <f t="shared" si="21"/>
        <v>0</v>
      </c>
      <c r="Q34" s="41">
        <f t="shared" si="21"/>
        <v>0</v>
      </c>
      <c r="R34" s="41">
        <f t="shared" si="21"/>
        <v>0</v>
      </c>
      <c r="S34" s="41">
        <f t="shared" si="21"/>
        <v>0</v>
      </c>
      <c r="T34" s="41">
        <f t="shared" si="21"/>
        <v>0</v>
      </c>
      <c r="U34" s="41">
        <f t="shared" si="21"/>
        <v>0</v>
      </c>
      <c r="V34" s="41">
        <f t="shared" si="21"/>
        <v>0</v>
      </c>
      <c r="W34" s="41">
        <f t="shared" si="21"/>
        <v>0</v>
      </c>
      <c r="X34" s="41">
        <f t="shared" si="21"/>
        <v>0</v>
      </c>
      <c r="Y34" s="41">
        <f t="shared" si="21"/>
        <v>0</v>
      </c>
      <c r="Z34" s="41">
        <f t="shared" si="21"/>
        <v>0</v>
      </c>
      <c r="AA34" s="41">
        <f t="shared" si="21"/>
        <v>0</v>
      </c>
      <c r="AB34" s="41">
        <f t="shared" si="21"/>
        <v>0</v>
      </c>
      <c r="AC34" s="41">
        <f t="shared" si="21"/>
        <v>0</v>
      </c>
      <c r="AD34" s="41">
        <f t="shared" si="21"/>
        <v>0</v>
      </c>
      <c r="AE34" s="41">
        <f t="shared" si="21"/>
        <v>0</v>
      </c>
      <c r="AF34" s="41">
        <f t="shared" si="21"/>
        <v>0</v>
      </c>
    </row>
    <row r="35" spans="2:33">
      <c r="C35" s="478"/>
      <c r="D35" s="47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8"/>
      <c r="Z35" s="478"/>
      <c r="AA35" s="478"/>
      <c r="AB35" s="478"/>
      <c r="AC35" s="478"/>
      <c r="AD35" s="478"/>
      <c r="AE35" s="478"/>
      <c r="AF35" s="478"/>
      <c r="AG35" s="478"/>
    </row>
    <row r="37" spans="2:33" s="467" customFormat="1">
      <c r="C37" s="479"/>
      <c r="D37" s="479"/>
      <c r="E37" s="479"/>
      <c r="F37" s="479"/>
      <c r="G37" s="1242"/>
      <c r="H37" s="479"/>
      <c r="I37" s="479"/>
      <c r="J37" s="479"/>
      <c r="K37" s="479"/>
      <c r="L37" s="479"/>
      <c r="M37" s="479"/>
      <c r="N37" s="479"/>
      <c r="O37" s="479"/>
      <c r="P37" s="479"/>
      <c r="Q37" s="479"/>
      <c r="R37" s="479"/>
      <c r="S37" s="479"/>
      <c r="T37" s="479"/>
      <c r="U37" s="479"/>
      <c r="V37" s="479"/>
      <c r="W37" s="479"/>
      <c r="X37" s="479"/>
      <c r="Y37" s="479"/>
      <c r="Z37" s="479"/>
      <c r="AA37" s="479"/>
      <c r="AB37" s="479"/>
      <c r="AC37" s="479"/>
      <c r="AD37" s="479"/>
      <c r="AE37" s="479"/>
      <c r="AF37" s="479"/>
    </row>
    <row r="38" spans="2:33">
      <c r="S38" s="41">
        <f>625418.83/898728.8</f>
        <v>0.69589272091870202</v>
      </c>
    </row>
    <row r="39" spans="2:33">
      <c r="S39" s="41">
        <f>1-S38</f>
        <v>0.30410727908129798</v>
      </c>
    </row>
    <row r="40" spans="2:33" ht="15">
      <c r="B40" s="110"/>
      <c r="C40" s="480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</row>
    <row r="41" spans="2:33"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2"/>
      <c r="Y41" s="482"/>
      <c r="Z41" s="482"/>
      <c r="AA41" s="482"/>
      <c r="AB41" s="482"/>
      <c r="AC41" s="482"/>
      <c r="AD41" s="482"/>
      <c r="AE41" s="482"/>
      <c r="AF41" s="482"/>
    </row>
    <row r="42" spans="2:33"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</row>
    <row r="46" spans="2:33">
      <c r="C46" s="483"/>
      <c r="D46" s="483"/>
      <c r="E46" s="483"/>
      <c r="F46" s="483"/>
      <c r="G46" s="483"/>
      <c r="H46" s="483"/>
      <c r="I46" s="483"/>
      <c r="J46" s="483"/>
      <c r="K46" s="483"/>
      <c r="L46" s="483"/>
      <c r="M46" s="483"/>
      <c r="N46" s="483"/>
      <c r="O46" s="483"/>
      <c r="P46" s="483"/>
      <c r="Q46" s="483"/>
      <c r="R46" s="483"/>
      <c r="S46" s="483"/>
      <c r="T46" s="483"/>
      <c r="U46" s="483"/>
      <c r="V46" s="483"/>
      <c r="W46" s="483"/>
      <c r="X46" s="483"/>
      <c r="Y46" s="483"/>
      <c r="Z46" s="483"/>
      <c r="AA46" s="483"/>
      <c r="AB46" s="483"/>
      <c r="AC46" s="483"/>
      <c r="AD46" s="483"/>
      <c r="AE46" s="483"/>
      <c r="AF46" s="483"/>
      <c r="AG46" s="483"/>
    </row>
    <row r="47" spans="2:33">
      <c r="C47" s="483"/>
      <c r="D47" s="483"/>
      <c r="E47" s="483"/>
      <c r="F47" s="483"/>
      <c r="G47" s="483"/>
      <c r="H47" s="483"/>
      <c r="I47" s="483"/>
      <c r="J47" s="483"/>
      <c r="K47" s="483"/>
      <c r="L47" s="483"/>
      <c r="M47" s="483"/>
      <c r="N47" s="483"/>
      <c r="O47" s="483"/>
      <c r="P47" s="483"/>
      <c r="Q47" s="483"/>
      <c r="R47" s="483"/>
      <c r="S47" s="483"/>
      <c r="T47" s="483"/>
      <c r="U47" s="483"/>
      <c r="V47" s="483"/>
      <c r="W47" s="483"/>
      <c r="X47" s="483"/>
      <c r="Y47" s="483"/>
      <c r="Z47" s="483"/>
      <c r="AA47" s="483"/>
      <c r="AB47" s="483"/>
      <c r="AC47" s="483"/>
      <c r="AD47" s="483"/>
      <c r="AE47" s="483"/>
      <c r="AF47" s="483"/>
      <c r="AG47" s="483"/>
    </row>
    <row r="48" spans="2:33">
      <c r="C48" s="483"/>
      <c r="D48" s="483"/>
      <c r="E48" s="483"/>
      <c r="F48" s="483"/>
      <c r="G48" s="483"/>
      <c r="H48" s="483"/>
      <c r="I48" s="483"/>
      <c r="J48" s="483"/>
      <c r="K48" s="483"/>
      <c r="L48" s="483"/>
      <c r="M48" s="483"/>
      <c r="N48" s="483"/>
      <c r="O48" s="483"/>
      <c r="P48" s="483"/>
      <c r="Q48" s="483"/>
      <c r="R48" s="483"/>
      <c r="S48" s="483"/>
      <c r="T48" s="483"/>
      <c r="U48" s="483"/>
      <c r="V48" s="483"/>
      <c r="W48" s="483"/>
      <c r="X48" s="483"/>
      <c r="Y48" s="483"/>
      <c r="Z48" s="483"/>
      <c r="AA48" s="483"/>
      <c r="AB48" s="483"/>
      <c r="AC48" s="483"/>
      <c r="AD48" s="483"/>
      <c r="AE48" s="483"/>
      <c r="AF48" s="483"/>
      <c r="AG48" s="483"/>
    </row>
    <row r="55" spans="32:32">
      <c r="AF55" s="41">
        <v>567.50879541981226</v>
      </c>
    </row>
    <row r="58" spans="32:32">
      <c r="AF58" s="41">
        <f>AF55*35%</f>
        <v>198.62807839693428</v>
      </c>
    </row>
  </sheetData>
  <conditionalFormatting sqref="B34">
    <cfRule type="cellIs" dxfId="5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ax="27" man="1"/>
    <brk id="22" max="27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9762-B09C-448B-84AF-989FC8CADE8C}">
  <sheetPr>
    <tabColor theme="0"/>
  </sheetPr>
  <dimension ref="B1:AH54"/>
  <sheetViews>
    <sheetView showGridLines="0" zoomScaleNormal="100" workbookViewId="0">
      <selection activeCell="H29" sqref="H29"/>
    </sheetView>
  </sheetViews>
  <sheetFormatPr defaultColWidth="11.5703125" defaultRowHeight="12.75"/>
  <cols>
    <col min="1" max="1" width="2.7109375" style="157" customWidth="1"/>
    <col min="2" max="2" width="51.7109375" style="157" customWidth="1"/>
    <col min="3" max="32" width="13.42578125" style="157" customWidth="1"/>
    <col min="33" max="33" width="14.7109375" style="157" customWidth="1"/>
    <col min="34" max="34" width="2.7109375" style="157" customWidth="1"/>
    <col min="35" max="257" width="11.5703125" style="157"/>
    <col min="258" max="258" width="39.5703125" style="157" customWidth="1"/>
    <col min="259" max="259" width="11.42578125" style="157" bestFit="1" customWidth="1"/>
    <col min="260" max="260" width="11.42578125" style="157" customWidth="1"/>
    <col min="261" max="261" width="11.85546875" style="157" customWidth="1"/>
    <col min="262" max="287" width="0" style="157" hidden="1" customWidth="1"/>
    <col min="288" max="288" width="12" style="157" customWidth="1"/>
    <col min="289" max="289" width="12.7109375" style="157" customWidth="1"/>
    <col min="290" max="513" width="11.5703125" style="157"/>
    <col min="514" max="514" width="39.5703125" style="157" customWidth="1"/>
    <col min="515" max="515" width="11.42578125" style="157" bestFit="1" customWidth="1"/>
    <col min="516" max="516" width="11.42578125" style="157" customWidth="1"/>
    <col min="517" max="517" width="11.85546875" style="157" customWidth="1"/>
    <col min="518" max="543" width="0" style="157" hidden="1" customWidth="1"/>
    <col min="544" max="544" width="12" style="157" customWidth="1"/>
    <col min="545" max="545" width="12.7109375" style="157" customWidth="1"/>
    <col min="546" max="769" width="11.5703125" style="157"/>
    <col min="770" max="770" width="39.5703125" style="157" customWidth="1"/>
    <col min="771" max="771" width="11.42578125" style="157" bestFit="1" customWidth="1"/>
    <col min="772" max="772" width="11.42578125" style="157" customWidth="1"/>
    <col min="773" max="773" width="11.85546875" style="157" customWidth="1"/>
    <col min="774" max="799" width="0" style="157" hidden="1" customWidth="1"/>
    <col min="800" max="800" width="12" style="157" customWidth="1"/>
    <col min="801" max="801" width="12.7109375" style="157" customWidth="1"/>
    <col min="802" max="1025" width="11.5703125" style="157"/>
    <col min="1026" max="1026" width="39.5703125" style="157" customWidth="1"/>
    <col min="1027" max="1027" width="11.42578125" style="157" bestFit="1" customWidth="1"/>
    <col min="1028" max="1028" width="11.42578125" style="157" customWidth="1"/>
    <col min="1029" max="1029" width="11.85546875" style="157" customWidth="1"/>
    <col min="1030" max="1055" width="0" style="157" hidden="1" customWidth="1"/>
    <col min="1056" max="1056" width="12" style="157" customWidth="1"/>
    <col min="1057" max="1057" width="12.7109375" style="157" customWidth="1"/>
    <col min="1058" max="1281" width="11.5703125" style="157"/>
    <col min="1282" max="1282" width="39.5703125" style="157" customWidth="1"/>
    <col min="1283" max="1283" width="11.42578125" style="157" bestFit="1" customWidth="1"/>
    <col min="1284" max="1284" width="11.42578125" style="157" customWidth="1"/>
    <col min="1285" max="1285" width="11.85546875" style="157" customWidth="1"/>
    <col min="1286" max="1311" width="0" style="157" hidden="1" customWidth="1"/>
    <col min="1312" max="1312" width="12" style="157" customWidth="1"/>
    <col min="1313" max="1313" width="12.7109375" style="157" customWidth="1"/>
    <col min="1314" max="1537" width="11.5703125" style="157"/>
    <col min="1538" max="1538" width="39.5703125" style="157" customWidth="1"/>
    <col min="1539" max="1539" width="11.42578125" style="157" bestFit="1" customWidth="1"/>
    <col min="1540" max="1540" width="11.42578125" style="157" customWidth="1"/>
    <col min="1541" max="1541" width="11.85546875" style="157" customWidth="1"/>
    <col min="1542" max="1567" width="0" style="157" hidden="1" customWidth="1"/>
    <col min="1568" max="1568" width="12" style="157" customWidth="1"/>
    <col min="1569" max="1569" width="12.7109375" style="157" customWidth="1"/>
    <col min="1570" max="1793" width="11.5703125" style="157"/>
    <col min="1794" max="1794" width="39.5703125" style="157" customWidth="1"/>
    <col min="1795" max="1795" width="11.42578125" style="157" bestFit="1" customWidth="1"/>
    <col min="1796" max="1796" width="11.42578125" style="157" customWidth="1"/>
    <col min="1797" max="1797" width="11.85546875" style="157" customWidth="1"/>
    <col min="1798" max="1823" width="0" style="157" hidden="1" customWidth="1"/>
    <col min="1824" max="1824" width="12" style="157" customWidth="1"/>
    <col min="1825" max="1825" width="12.7109375" style="157" customWidth="1"/>
    <col min="1826" max="2049" width="11.5703125" style="157"/>
    <col min="2050" max="2050" width="39.5703125" style="157" customWidth="1"/>
    <col min="2051" max="2051" width="11.42578125" style="157" bestFit="1" customWidth="1"/>
    <col min="2052" max="2052" width="11.42578125" style="157" customWidth="1"/>
    <col min="2053" max="2053" width="11.85546875" style="157" customWidth="1"/>
    <col min="2054" max="2079" width="0" style="157" hidden="1" customWidth="1"/>
    <col min="2080" max="2080" width="12" style="157" customWidth="1"/>
    <col min="2081" max="2081" width="12.7109375" style="157" customWidth="1"/>
    <col min="2082" max="2305" width="11.5703125" style="157"/>
    <col min="2306" max="2306" width="39.5703125" style="157" customWidth="1"/>
    <col min="2307" max="2307" width="11.42578125" style="157" bestFit="1" customWidth="1"/>
    <col min="2308" max="2308" width="11.42578125" style="157" customWidth="1"/>
    <col min="2309" max="2309" width="11.85546875" style="157" customWidth="1"/>
    <col min="2310" max="2335" width="0" style="157" hidden="1" customWidth="1"/>
    <col min="2336" max="2336" width="12" style="157" customWidth="1"/>
    <col min="2337" max="2337" width="12.7109375" style="157" customWidth="1"/>
    <col min="2338" max="2561" width="11.5703125" style="157"/>
    <col min="2562" max="2562" width="39.5703125" style="157" customWidth="1"/>
    <col min="2563" max="2563" width="11.42578125" style="157" bestFit="1" customWidth="1"/>
    <col min="2564" max="2564" width="11.42578125" style="157" customWidth="1"/>
    <col min="2565" max="2565" width="11.85546875" style="157" customWidth="1"/>
    <col min="2566" max="2591" width="0" style="157" hidden="1" customWidth="1"/>
    <col min="2592" max="2592" width="12" style="157" customWidth="1"/>
    <col min="2593" max="2593" width="12.7109375" style="157" customWidth="1"/>
    <col min="2594" max="2817" width="11.5703125" style="157"/>
    <col min="2818" max="2818" width="39.5703125" style="157" customWidth="1"/>
    <col min="2819" max="2819" width="11.42578125" style="157" bestFit="1" customWidth="1"/>
    <col min="2820" max="2820" width="11.42578125" style="157" customWidth="1"/>
    <col min="2821" max="2821" width="11.85546875" style="157" customWidth="1"/>
    <col min="2822" max="2847" width="0" style="157" hidden="1" customWidth="1"/>
    <col min="2848" max="2848" width="12" style="157" customWidth="1"/>
    <col min="2849" max="2849" width="12.7109375" style="157" customWidth="1"/>
    <col min="2850" max="3073" width="11.5703125" style="157"/>
    <col min="3074" max="3074" width="39.5703125" style="157" customWidth="1"/>
    <col min="3075" max="3075" width="11.42578125" style="157" bestFit="1" customWidth="1"/>
    <col min="3076" max="3076" width="11.42578125" style="157" customWidth="1"/>
    <col min="3077" max="3077" width="11.85546875" style="157" customWidth="1"/>
    <col min="3078" max="3103" width="0" style="157" hidden="1" customWidth="1"/>
    <col min="3104" max="3104" width="12" style="157" customWidth="1"/>
    <col min="3105" max="3105" width="12.7109375" style="157" customWidth="1"/>
    <col min="3106" max="3329" width="11.5703125" style="157"/>
    <col min="3330" max="3330" width="39.5703125" style="157" customWidth="1"/>
    <col min="3331" max="3331" width="11.42578125" style="157" bestFit="1" customWidth="1"/>
    <col min="3332" max="3332" width="11.42578125" style="157" customWidth="1"/>
    <col min="3333" max="3333" width="11.85546875" style="157" customWidth="1"/>
    <col min="3334" max="3359" width="0" style="157" hidden="1" customWidth="1"/>
    <col min="3360" max="3360" width="12" style="157" customWidth="1"/>
    <col min="3361" max="3361" width="12.7109375" style="157" customWidth="1"/>
    <col min="3362" max="3585" width="11.5703125" style="157"/>
    <col min="3586" max="3586" width="39.5703125" style="157" customWidth="1"/>
    <col min="3587" max="3587" width="11.42578125" style="157" bestFit="1" customWidth="1"/>
    <col min="3588" max="3588" width="11.42578125" style="157" customWidth="1"/>
    <col min="3589" max="3589" width="11.85546875" style="157" customWidth="1"/>
    <col min="3590" max="3615" width="0" style="157" hidden="1" customWidth="1"/>
    <col min="3616" max="3616" width="12" style="157" customWidth="1"/>
    <col min="3617" max="3617" width="12.7109375" style="157" customWidth="1"/>
    <col min="3618" max="3841" width="11.5703125" style="157"/>
    <col min="3842" max="3842" width="39.5703125" style="157" customWidth="1"/>
    <col min="3843" max="3843" width="11.42578125" style="157" bestFit="1" customWidth="1"/>
    <col min="3844" max="3844" width="11.42578125" style="157" customWidth="1"/>
    <col min="3845" max="3845" width="11.85546875" style="157" customWidth="1"/>
    <col min="3846" max="3871" width="0" style="157" hidden="1" customWidth="1"/>
    <col min="3872" max="3872" width="12" style="157" customWidth="1"/>
    <col min="3873" max="3873" width="12.7109375" style="157" customWidth="1"/>
    <col min="3874" max="4097" width="11.5703125" style="157"/>
    <col min="4098" max="4098" width="39.5703125" style="157" customWidth="1"/>
    <col min="4099" max="4099" width="11.42578125" style="157" bestFit="1" customWidth="1"/>
    <col min="4100" max="4100" width="11.42578125" style="157" customWidth="1"/>
    <col min="4101" max="4101" width="11.85546875" style="157" customWidth="1"/>
    <col min="4102" max="4127" width="0" style="157" hidden="1" customWidth="1"/>
    <col min="4128" max="4128" width="12" style="157" customWidth="1"/>
    <col min="4129" max="4129" width="12.7109375" style="157" customWidth="1"/>
    <col min="4130" max="4353" width="11.5703125" style="157"/>
    <col min="4354" max="4354" width="39.5703125" style="157" customWidth="1"/>
    <col min="4355" max="4355" width="11.42578125" style="157" bestFit="1" customWidth="1"/>
    <col min="4356" max="4356" width="11.42578125" style="157" customWidth="1"/>
    <col min="4357" max="4357" width="11.85546875" style="157" customWidth="1"/>
    <col min="4358" max="4383" width="0" style="157" hidden="1" customWidth="1"/>
    <col min="4384" max="4384" width="12" style="157" customWidth="1"/>
    <col min="4385" max="4385" width="12.7109375" style="157" customWidth="1"/>
    <col min="4386" max="4609" width="11.5703125" style="157"/>
    <col min="4610" max="4610" width="39.5703125" style="157" customWidth="1"/>
    <col min="4611" max="4611" width="11.42578125" style="157" bestFit="1" customWidth="1"/>
    <col min="4612" max="4612" width="11.42578125" style="157" customWidth="1"/>
    <col min="4613" max="4613" width="11.85546875" style="157" customWidth="1"/>
    <col min="4614" max="4639" width="0" style="157" hidden="1" customWidth="1"/>
    <col min="4640" max="4640" width="12" style="157" customWidth="1"/>
    <col min="4641" max="4641" width="12.7109375" style="157" customWidth="1"/>
    <col min="4642" max="4865" width="11.5703125" style="157"/>
    <col min="4866" max="4866" width="39.5703125" style="157" customWidth="1"/>
    <col min="4867" max="4867" width="11.42578125" style="157" bestFit="1" customWidth="1"/>
    <col min="4868" max="4868" width="11.42578125" style="157" customWidth="1"/>
    <col min="4869" max="4869" width="11.85546875" style="157" customWidth="1"/>
    <col min="4870" max="4895" width="0" style="157" hidden="1" customWidth="1"/>
    <col min="4896" max="4896" width="12" style="157" customWidth="1"/>
    <col min="4897" max="4897" width="12.7109375" style="157" customWidth="1"/>
    <col min="4898" max="5121" width="11.5703125" style="157"/>
    <col min="5122" max="5122" width="39.5703125" style="157" customWidth="1"/>
    <col min="5123" max="5123" width="11.42578125" style="157" bestFit="1" customWidth="1"/>
    <col min="5124" max="5124" width="11.42578125" style="157" customWidth="1"/>
    <col min="5125" max="5125" width="11.85546875" style="157" customWidth="1"/>
    <col min="5126" max="5151" width="0" style="157" hidden="1" customWidth="1"/>
    <col min="5152" max="5152" width="12" style="157" customWidth="1"/>
    <col min="5153" max="5153" width="12.7109375" style="157" customWidth="1"/>
    <col min="5154" max="5377" width="11.5703125" style="157"/>
    <col min="5378" max="5378" width="39.5703125" style="157" customWidth="1"/>
    <col min="5379" max="5379" width="11.42578125" style="157" bestFit="1" customWidth="1"/>
    <col min="5380" max="5380" width="11.42578125" style="157" customWidth="1"/>
    <col min="5381" max="5381" width="11.85546875" style="157" customWidth="1"/>
    <col min="5382" max="5407" width="0" style="157" hidden="1" customWidth="1"/>
    <col min="5408" max="5408" width="12" style="157" customWidth="1"/>
    <col min="5409" max="5409" width="12.7109375" style="157" customWidth="1"/>
    <col min="5410" max="5633" width="11.5703125" style="157"/>
    <col min="5634" max="5634" width="39.5703125" style="157" customWidth="1"/>
    <col min="5635" max="5635" width="11.42578125" style="157" bestFit="1" customWidth="1"/>
    <col min="5636" max="5636" width="11.42578125" style="157" customWidth="1"/>
    <col min="5637" max="5637" width="11.85546875" style="157" customWidth="1"/>
    <col min="5638" max="5663" width="0" style="157" hidden="1" customWidth="1"/>
    <col min="5664" max="5664" width="12" style="157" customWidth="1"/>
    <col min="5665" max="5665" width="12.7109375" style="157" customWidth="1"/>
    <col min="5666" max="5889" width="11.5703125" style="157"/>
    <col min="5890" max="5890" width="39.5703125" style="157" customWidth="1"/>
    <col min="5891" max="5891" width="11.42578125" style="157" bestFit="1" customWidth="1"/>
    <col min="5892" max="5892" width="11.42578125" style="157" customWidth="1"/>
    <col min="5893" max="5893" width="11.85546875" style="157" customWidth="1"/>
    <col min="5894" max="5919" width="0" style="157" hidden="1" customWidth="1"/>
    <col min="5920" max="5920" width="12" style="157" customWidth="1"/>
    <col min="5921" max="5921" width="12.7109375" style="157" customWidth="1"/>
    <col min="5922" max="6145" width="11.5703125" style="157"/>
    <col min="6146" max="6146" width="39.5703125" style="157" customWidth="1"/>
    <col min="6147" max="6147" width="11.42578125" style="157" bestFit="1" customWidth="1"/>
    <col min="6148" max="6148" width="11.42578125" style="157" customWidth="1"/>
    <col min="6149" max="6149" width="11.85546875" style="157" customWidth="1"/>
    <col min="6150" max="6175" width="0" style="157" hidden="1" customWidth="1"/>
    <col min="6176" max="6176" width="12" style="157" customWidth="1"/>
    <col min="6177" max="6177" width="12.7109375" style="157" customWidth="1"/>
    <col min="6178" max="6401" width="11.5703125" style="157"/>
    <col min="6402" max="6402" width="39.5703125" style="157" customWidth="1"/>
    <col min="6403" max="6403" width="11.42578125" style="157" bestFit="1" customWidth="1"/>
    <col min="6404" max="6404" width="11.42578125" style="157" customWidth="1"/>
    <col min="6405" max="6405" width="11.85546875" style="157" customWidth="1"/>
    <col min="6406" max="6431" width="0" style="157" hidden="1" customWidth="1"/>
    <col min="6432" max="6432" width="12" style="157" customWidth="1"/>
    <col min="6433" max="6433" width="12.7109375" style="157" customWidth="1"/>
    <col min="6434" max="6657" width="11.5703125" style="157"/>
    <col min="6658" max="6658" width="39.5703125" style="157" customWidth="1"/>
    <col min="6659" max="6659" width="11.42578125" style="157" bestFit="1" customWidth="1"/>
    <col min="6660" max="6660" width="11.42578125" style="157" customWidth="1"/>
    <col min="6661" max="6661" width="11.85546875" style="157" customWidth="1"/>
    <col min="6662" max="6687" width="0" style="157" hidden="1" customWidth="1"/>
    <col min="6688" max="6688" width="12" style="157" customWidth="1"/>
    <col min="6689" max="6689" width="12.7109375" style="157" customWidth="1"/>
    <col min="6690" max="6913" width="11.5703125" style="157"/>
    <col min="6914" max="6914" width="39.5703125" style="157" customWidth="1"/>
    <col min="6915" max="6915" width="11.42578125" style="157" bestFit="1" customWidth="1"/>
    <col min="6916" max="6916" width="11.42578125" style="157" customWidth="1"/>
    <col min="6917" max="6917" width="11.85546875" style="157" customWidth="1"/>
    <col min="6918" max="6943" width="0" style="157" hidden="1" customWidth="1"/>
    <col min="6944" max="6944" width="12" style="157" customWidth="1"/>
    <col min="6945" max="6945" width="12.7109375" style="157" customWidth="1"/>
    <col min="6946" max="7169" width="11.5703125" style="157"/>
    <col min="7170" max="7170" width="39.5703125" style="157" customWidth="1"/>
    <col min="7171" max="7171" width="11.42578125" style="157" bestFit="1" customWidth="1"/>
    <col min="7172" max="7172" width="11.42578125" style="157" customWidth="1"/>
    <col min="7173" max="7173" width="11.85546875" style="157" customWidth="1"/>
    <col min="7174" max="7199" width="0" style="157" hidden="1" customWidth="1"/>
    <col min="7200" max="7200" width="12" style="157" customWidth="1"/>
    <col min="7201" max="7201" width="12.7109375" style="157" customWidth="1"/>
    <col min="7202" max="7425" width="11.5703125" style="157"/>
    <col min="7426" max="7426" width="39.5703125" style="157" customWidth="1"/>
    <col min="7427" max="7427" width="11.42578125" style="157" bestFit="1" customWidth="1"/>
    <col min="7428" max="7428" width="11.42578125" style="157" customWidth="1"/>
    <col min="7429" max="7429" width="11.85546875" style="157" customWidth="1"/>
    <col min="7430" max="7455" width="0" style="157" hidden="1" customWidth="1"/>
    <col min="7456" max="7456" width="12" style="157" customWidth="1"/>
    <col min="7457" max="7457" width="12.7109375" style="157" customWidth="1"/>
    <col min="7458" max="7681" width="11.5703125" style="157"/>
    <col min="7682" max="7682" width="39.5703125" style="157" customWidth="1"/>
    <col min="7683" max="7683" width="11.42578125" style="157" bestFit="1" customWidth="1"/>
    <col min="7684" max="7684" width="11.42578125" style="157" customWidth="1"/>
    <col min="7685" max="7685" width="11.85546875" style="157" customWidth="1"/>
    <col min="7686" max="7711" width="0" style="157" hidden="1" customWidth="1"/>
    <col min="7712" max="7712" width="12" style="157" customWidth="1"/>
    <col min="7713" max="7713" width="12.7109375" style="157" customWidth="1"/>
    <col min="7714" max="7937" width="11.5703125" style="157"/>
    <col min="7938" max="7938" width="39.5703125" style="157" customWidth="1"/>
    <col min="7939" max="7939" width="11.42578125" style="157" bestFit="1" customWidth="1"/>
    <col min="7940" max="7940" width="11.42578125" style="157" customWidth="1"/>
    <col min="7941" max="7941" width="11.85546875" style="157" customWidth="1"/>
    <col min="7942" max="7967" width="0" style="157" hidden="1" customWidth="1"/>
    <col min="7968" max="7968" width="12" style="157" customWidth="1"/>
    <col min="7969" max="7969" width="12.7109375" style="157" customWidth="1"/>
    <col min="7970" max="8193" width="11.5703125" style="157"/>
    <col min="8194" max="8194" width="39.5703125" style="157" customWidth="1"/>
    <col min="8195" max="8195" width="11.42578125" style="157" bestFit="1" customWidth="1"/>
    <col min="8196" max="8196" width="11.42578125" style="157" customWidth="1"/>
    <col min="8197" max="8197" width="11.85546875" style="157" customWidth="1"/>
    <col min="8198" max="8223" width="0" style="157" hidden="1" customWidth="1"/>
    <col min="8224" max="8224" width="12" style="157" customWidth="1"/>
    <col min="8225" max="8225" width="12.7109375" style="157" customWidth="1"/>
    <col min="8226" max="8449" width="11.5703125" style="157"/>
    <col min="8450" max="8450" width="39.5703125" style="157" customWidth="1"/>
    <col min="8451" max="8451" width="11.42578125" style="157" bestFit="1" customWidth="1"/>
    <col min="8452" max="8452" width="11.42578125" style="157" customWidth="1"/>
    <col min="8453" max="8453" width="11.85546875" style="157" customWidth="1"/>
    <col min="8454" max="8479" width="0" style="157" hidden="1" customWidth="1"/>
    <col min="8480" max="8480" width="12" style="157" customWidth="1"/>
    <col min="8481" max="8481" width="12.7109375" style="157" customWidth="1"/>
    <col min="8482" max="8705" width="11.5703125" style="157"/>
    <col min="8706" max="8706" width="39.5703125" style="157" customWidth="1"/>
    <col min="8707" max="8707" width="11.42578125" style="157" bestFit="1" customWidth="1"/>
    <col min="8708" max="8708" width="11.42578125" style="157" customWidth="1"/>
    <col min="8709" max="8709" width="11.85546875" style="157" customWidth="1"/>
    <col min="8710" max="8735" width="0" style="157" hidden="1" customWidth="1"/>
    <col min="8736" max="8736" width="12" style="157" customWidth="1"/>
    <col min="8737" max="8737" width="12.7109375" style="157" customWidth="1"/>
    <col min="8738" max="8961" width="11.5703125" style="157"/>
    <col min="8962" max="8962" width="39.5703125" style="157" customWidth="1"/>
    <col min="8963" max="8963" width="11.42578125" style="157" bestFit="1" customWidth="1"/>
    <col min="8964" max="8964" width="11.42578125" style="157" customWidth="1"/>
    <col min="8965" max="8965" width="11.85546875" style="157" customWidth="1"/>
    <col min="8966" max="8991" width="0" style="157" hidden="1" customWidth="1"/>
    <col min="8992" max="8992" width="12" style="157" customWidth="1"/>
    <col min="8993" max="8993" width="12.7109375" style="157" customWidth="1"/>
    <col min="8994" max="9217" width="11.5703125" style="157"/>
    <col min="9218" max="9218" width="39.5703125" style="157" customWidth="1"/>
    <col min="9219" max="9219" width="11.42578125" style="157" bestFit="1" customWidth="1"/>
    <col min="9220" max="9220" width="11.42578125" style="157" customWidth="1"/>
    <col min="9221" max="9221" width="11.85546875" style="157" customWidth="1"/>
    <col min="9222" max="9247" width="0" style="157" hidden="1" customWidth="1"/>
    <col min="9248" max="9248" width="12" style="157" customWidth="1"/>
    <col min="9249" max="9249" width="12.7109375" style="157" customWidth="1"/>
    <col min="9250" max="9473" width="11.5703125" style="157"/>
    <col min="9474" max="9474" width="39.5703125" style="157" customWidth="1"/>
    <col min="9475" max="9475" width="11.42578125" style="157" bestFit="1" customWidth="1"/>
    <col min="9476" max="9476" width="11.42578125" style="157" customWidth="1"/>
    <col min="9477" max="9477" width="11.85546875" style="157" customWidth="1"/>
    <col min="9478" max="9503" width="0" style="157" hidden="1" customWidth="1"/>
    <col min="9504" max="9504" width="12" style="157" customWidth="1"/>
    <col min="9505" max="9505" width="12.7109375" style="157" customWidth="1"/>
    <col min="9506" max="9729" width="11.5703125" style="157"/>
    <col min="9730" max="9730" width="39.5703125" style="157" customWidth="1"/>
    <col min="9731" max="9731" width="11.42578125" style="157" bestFit="1" customWidth="1"/>
    <col min="9732" max="9732" width="11.42578125" style="157" customWidth="1"/>
    <col min="9733" max="9733" width="11.85546875" style="157" customWidth="1"/>
    <col min="9734" max="9759" width="0" style="157" hidden="1" customWidth="1"/>
    <col min="9760" max="9760" width="12" style="157" customWidth="1"/>
    <col min="9761" max="9761" width="12.7109375" style="157" customWidth="1"/>
    <col min="9762" max="9985" width="11.5703125" style="157"/>
    <col min="9986" max="9986" width="39.5703125" style="157" customWidth="1"/>
    <col min="9987" max="9987" width="11.42578125" style="157" bestFit="1" customWidth="1"/>
    <col min="9988" max="9988" width="11.42578125" style="157" customWidth="1"/>
    <col min="9989" max="9989" width="11.85546875" style="157" customWidth="1"/>
    <col min="9990" max="10015" width="0" style="157" hidden="1" customWidth="1"/>
    <col min="10016" max="10016" width="12" style="157" customWidth="1"/>
    <col min="10017" max="10017" width="12.7109375" style="157" customWidth="1"/>
    <col min="10018" max="10241" width="11.5703125" style="157"/>
    <col min="10242" max="10242" width="39.5703125" style="157" customWidth="1"/>
    <col min="10243" max="10243" width="11.42578125" style="157" bestFit="1" customWidth="1"/>
    <col min="10244" max="10244" width="11.42578125" style="157" customWidth="1"/>
    <col min="10245" max="10245" width="11.85546875" style="157" customWidth="1"/>
    <col min="10246" max="10271" width="0" style="157" hidden="1" customWidth="1"/>
    <col min="10272" max="10272" width="12" style="157" customWidth="1"/>
    <col min="10273" max="10273" width="12.7109375" style="157" customWidth="1"/>
    <col min="10274" max="10497" width="11.5703125" style="157"/>
    <col min="10498" max="10498" width="39.5703125" style="157" customWidth="1"/>
    <col min="10499" max="10499" width="11.42578125" style="157" bestFit="1" customWidth="1"/>
    <col min="10500" max="10500" width="11.42578125" style="157" customWidth="1"/>
    <col min="10501" max="10501" width="11.85546875" style="157" customWidth="1"/>
    <col min="10502" max="10527" width="0" style="157" hidden="1" customWidth="1"/>
    <col min="10528" max="10528" width="12" style="157" customWidth="1"/>
    <col min="10529" max="10529" width="12.7109375" style="157" customWidth="1"/>
    <col min="10530" max="10753" width="11.5703125" style="157"/>
    <col min="10754" max="10754" width="39.5703125" style="157" customWidth="1"/>
    <col min="10755" max="10755" width="11.42578125" style="157" bestFit="1" customWidth="1"/>
    <col min="10756" max="10756" width="11.42578125" style="157" customWidth="1"/>
    <col min="10757" max="10757" width="11.85546875" style="157" customWidth="1"/>
    <col min="10758" max="10783" width="0" style="157" hidden="1" customWidth="1"/>
    <col min="10784" max="10784" width="12" style="157" customWidth="1"/>
    <col min="10785" max="10785" width="12.7109375" style="157" customWidth="1"/>
    <col min="10786" max="11009" width="11.5703125" style="157"/>
    <col min="11010" max="11010" width="39.5703125" style="157" customWidth="1"/>
    <col min="11011" max="11011" width="11.42578125" style="157" bestFit="1" customWidth="1"/>
    <col min="11012" max="11012" width="11.42578125" style="157" customWidth="1"/>
    <col min="11013" max="11013" width="11.85546875" style="157" customWidth="1"/>
    <col min="11014" max="11039" width="0" style="157" hidden="1" customWidth="1"/>
    <col min="11040" max="11040" width="12" style="157" customWidth="1"/>
    <col min="11041" max="11041" width="12.7109375" style="157" customWidth="1"/>
    <col min="11042" max="11265" width="11.5703125" style="157"/>
    <col min="11266" max="11266" width="39.5703125" style="157" customWidth="1"/>
    <col min="11267" max="11267" width="11.42578125" style="157" bestFit="1" customWidth="1"/>
    <col min="11268" max="11268" width="11.42578125" style="157" customWidth="1"/>
    <col min="11269" max="11269" width="11.85546875" style="157" customWidth="1"/>
    <col min="11270" max="11295" width="0" style="157" hidden="1" customWidth="1"/>
    <col min="11296" max="11296" width="12" style="157" customWidth="1"/>
    <col min="11297" max="11297" width="12.7109375" style="157" customWidth="1"/>
    <col min="11298" max="11521" width="11.5703125" style="157"/>
    <col min="11522" max="11522" width="39.5703125" style="157" customWidth="1"/>
    <col min="11523" max="11523" width="11.42578125" style="157" bestFit="1" customWidth="1"/>
    <col min="11524" max="11524" width="11.42578125" style="157" customWidth="1"/>
    <col min="11525" max="11525" width="11.85546875" style="157" customWidth="1"/>
    <col min="11526" max="11551" width="0" style="157" hidden="1" customWidth="1"/>
    <col min="11552" max="11552" width="12" style="157" customWidth="1"/>
    <col min="11553" max="11553" width="12.7109375" style="157" customWidth="1"/>
    <col min="11554" max="11777" width="11.5703125" style="157"/>
    <col min="11778" max="11778" width="39.5703125" style="157" customWidth="1"/>
    <col min="11779" max="11779" width="11.42578125" style="157" bestFit="1" customWidth="1"/>
    <col min="11780" max="11780" width="11.42578125" style="157" customWidth="1"/>
    <col min="11781" max="11781" width="11.85546875" style="157" customWidth="1"/>
    <col min="11782" max="11807" width="0" style="157" hidden="1" customWidth="1"/>
    <col min="11808" max="11808" width="12" style="157" customWidth="1"/>
    <col min="11809" max="11809" width="12.7109375" style="157" customWidth="1"/>
    <col min="11810" max="12033" width="11.5703125" style="157"/>
    <col min="12034" max="12034" width="39.5703125" style="157" customWidth="1"/>
    <col min="12035" max="12035" width="11.42578125" style="157" bestFit="1" customWidth="1"/>
    <col min="12036" max="12036" width="11.42578125" style="157" customWidth="1"/>
    <col min="12037" max="12037" width="11.85546875" style="157" customWidth="1"/>
    <col min="12038" max="12063" width="0" style="157" hidden="1" customWidth="1"/>
    <col min="12064" max="12064" width="12" style="157" customWidth="1"/>
    <col min="12065" max="12065" width="12.7109375" style="157" customWidth="1"/>
    <col min="12066" max="12289" width="11.5703125" style="157"/>
    <col min="12290" max="12290" width="39.5703125" style="157" customWidth="1"/>
    <col min="12291" max="12291" width="11.42578125" style="157" bestFit="1" customWidth="1"/>
    <col min="12292" max="12292" width="11.42578125" style="157" customWidth="1"/>
    <col min="12293" max="12293" width="11.85546875" style="157" customWidth="1"/>
    <col min="12294" max="12319" width="0" style="157" hidden="1" customWidth="1"/>
    <col min="12320" max="12320" width="12" style="157" customWidth="1"/>
    <col min="12321" max="12321" width="12.7109375" style="157" customWidth="1"/>
    <col min="12322" max="12545" width="11.5703125" style="157"/>
    <col min="12546" max="12546" width="39.5703125" style="157" customWidth="1"/>
    <col min="12547" max="12547" width="11.42578125" style="157" bestFit="1" customWidth="1"/>
    <col min="12548" max="12548" width="11.42578125" style="157" customWidth="1"/>
    <col min="12549" max="12549" width="11.85546875" style="157" customWidth="1"/>
    <col min="12550" max="12575" width="0" style="157" hidden="1" customWidth="1"/>
    <col min="12576" max="12576" width="12" style="157" customWidth="1"/>
    <col min="12577" max="12577" width="12.7109375" style="157" customWidth="1"/>
    <col min="12578" max="12801" width="11.5703125" style="157"/>
    <col min="12802" max="12802" width="39.5703125" style="157" customWidth="1"/>
    <col min="12803" max="12803" width="11.42578125" style="157" bestFit="1" customWidth="1"/>
    <col min="12804" max="12804" width="11.42578125" style="157" customWidth="1"/>
    <col min="12805" max="12805" width="11.85546875" style="157" customWidth="1"/>
    <col min="12806" max="12831" width="0" style="157" hidden="1" customWidth="1"/>
    <col min="12832" max="12832" width="12" style="157" customWidth="1"/>
    <col min="12833" max="12833" width="12.7109375" style="157" customWidth="1"/>
    <col min="12834" max="13057" width="11.5703125" style="157"/>
    <col min="13058" max="13058" width="39.5703125" style="157" customWidth="1"/>
    <col min="13059" max="13059" width="11.42578125" style="157" bestFit="1" customWidth="1"/>
    <col min="13060" max="13060" width="11.42578125" style="157" customWidth="1"/>
    <col min="13061" max="13061" width="11.85546875" style="157" customWidth="1"/>
    <col min="13062" max="13087" width="0" style="157" hidden="1" customWidth="1"/>
    <col min="13088" max="13088" width="12" style="157" customWidth="1"/>
    <col min="13089" max="13089" width="12.7109375" style="157" customWidth="1"/>
    <col min="13090" max="13313" width="11.5703125" style="157"/>
    <col min="13314" max="13314" width="39.5703125" style="157" customWidth="1"/>
    <col min="13315" max="13315" width="11.42578125" style="157" bestFit="1" customWidth="1"/>
    <col min="13316" max="13316" width="11.42578125" style="157" customWidth="1"/>
    <col min="13317" max="13317" width="11.85546875" style="157" customWidth="1"/>
    <col min="13318" max="13343" width="0" style="157" hidden="1" customWidth="1"/>
    <col min="13344" max="13344" width="12" style="157" customWidth="1"/>
    <col min="13345" max="13345" width="12.7109375" style="157" customWidth="1"/>
    <col min="13346" max="13569" width="11.5703125" style="157"/>
    <col min="13570" max="13570" width="39.5703125" style="157" customWidth="1"/>
    <col min="13571" max="13571" width="11.42578125" style="157" bestFit="1" customWidth="1"/>
    <col min="13572" max="13572" width="11.42578125" style="157" customWidth="1"/>
    <col min="13573" max="13573" width="11.85546875" style="157" customWidth="1"/>
    <col min="13574" max="13599" width="0" style="157" hidden="1" customWidth="1"/>
    <col min="13600" max="13600" width="12" style="157" customWidth="1"/>
    <col min="13601" max="13601" width="12.7109375" style="157" customWidth="1"/>
    <col min="13602" max="13825" width="11.5703125" style="157"/>
    <col min="13826" max="13826" width="39.5703125" style="157" customWidth="1"/>
    <col min="13827" max="13827" width="11.42578125" style="157" bestFit="1" customWidth="1"/>
    <col min="13828" max="13828" width="11.42578125" style="157" customWidth="1"/>
    <col min="13829" max="13829" width="11.85546875" style="157" customWidth="1"/>
    <col min="13830" max="13855" width="0" style="157" hidden="1" customWidth="1"/>
    <col min="13856" max="13856" width="12" style="157" customWidth="1"/>
    <col min="13857" max="13857" width="12.7109375" style="157" customWidth="1"/>
    <col min="13858" max="14081" width="11.5703125" style="157"/>
    <col min="14082" max="14082" width="39.5703125" style="157" customWidth="1"/>
    <col min="14083" max="14083" width="11.42578125" style="157" bestFit="1" customWidth="1"/>
    <col min="14084" max="14084" width="11.42578125" style="157" customWidth="1"/>
    <col min="14085" max="14085" width="11.85546875" style="157" customWidth="1"/>
    <col min="14086" max="14111" width="0" style="157" hidden="1" customWidth="1"/>
    <col min="14112" max="14112" width="12" style="157" customWidth="1"/>
    <col min="14113" max="14113" width="12.7109375" style="157" customWidth="1"/>
    <col min="14114" max="14337" width="11.5703125" style="157"/>
    <col min="14338" max="14338" width="39.5703125" style="157" customWidth="1"/>
    <col min="14339" max="14339" width="11.42578125" style="157" bestFit="1" customWidth="1"/>
    <col min="14340" max="14340" width="11.42578125" style="157" customWidth="1"/>
    <col min="14341" max="14341" width="11.85546875" style="157" customWidth="1"/>
    <col min="14342" max="14367" width="0" style="157" hidden="1" customWidth="1"/>
    <col min="14368" max="14368" width="12" style="157" customWidth="1"/>
    <col min="14369" max="14369" width="12.7109375" style="157" customWidth="1"/>
    <col min="14370" max="14593" width="11.5703125" style="157"/>
    <col min="14594" max="14594" width="39.5703125" style="157" customWidth="1"/>
    <col min="14595" max="14595" width="11.42578125" style="157" bestFit="1" customWidth="1"/>
    <col min="14596" max="14596" width="11.42578125" style="157" customWidth="1"/>
    <col min="14597" max="14597" width="11.85546875" style="157" customWidth="1"/>
    <col min="14598" max="14623" width="0" style="157" hidden="1" customWidth="1"/>
    <col min="14624" max="14624" width="12" style="157" customWidth="1"/>
    <col min="14625" max="14625" width="12.7109375" style="157" customWidth="1"/>
    <col min="14626" max="14849" width="11.5703125" style="157"/>
    <col min="14850" max="14850" width="39.5703125" style="157" customWidth="1"/>
    <col min="14851" max="14851" width="11.42578125" style="157" bestFit="1" customWidth="1"/>
    <col min="14852" max="14852" width="11.42578125" style="157" customWidth="1"/>
    <col min="14853" max="14853" width="11.85546875" style="157" customWidth="1"/>
    <col min="14854" max="14879" width="0" style="157" hidden="1" customWidth="1"/>
    <col min="14880" max="14880" width="12" style="157" customWidth="1"/>
    <col min="14881" max="14881" width="12.7109375" style="157" customWidth="1"/>
    <col min="14882" max="15105" width="11.5703125" style="157"/>
    <col min="15106" max="15106" width="39.5703125" style="157" customWidth="1"/>
    <col min="15107" max="15107" width="11.42578125" style="157" bestFit="1" customWidth="1"/>
    <col min="15108" max="15108" width="11.42578125" style="157" customWidth="1"/>
    <col min="15109" max="15109" width="11.85546875" style="157" customWidth="1"/>
    <col min="15110" max="15135" width="0" style="157" hidden="1" customWidth="1"/>
    <col min="15136" max="15136" width="12" style="157" customWidth="1"/>
    <col min="15137" max="15137" width="12.7109375" style="157" customWidth="1"/>
    <col min="15138" max="15361" width="11.5703125" style="157"/>
    <col min="15362" max="15362" width="39.5703125" style="157" customWidth="1"/>
    <col min="15363" max="15363" width="11.42578125" style="157" bestFit="1" customWidth="1"/>
    <col min="15364" max="15364" width="11.42578125" style="157" customWidth="1"/>
    <col min="15365" max="15365" width="11.85546875" style="157" customWidth="1"/>
    <col min="15366" max="15391" width="0" style="157" hidden="1" customWidth="1"/>
    <col min="15392" max="15392" width="12" style="157" customWidth="1"/>
    <col min="15393" max="15393" width="12.7109375" style="157" customWidth="1"/>
    <col min="15394" max="15617" width="11.5703125" style="157"/>
    <col min="15618" max="15618" width="39.5703125" style="157" customWidth="1"/>
    <col min="15619" max="15619" width="11.42578125" style="157" bestFit="1" customWidth="1"/>
    <col min="15620" max="15620" width="11.42578125" style="157" customWidth="1"/>
    <col min="15621" max="15621" width="11.85546875" style="157" customWidth="1"/>
    <col min="15622" max="15647" width="0" style="157" hidden="1" customWidth="1"/>
    <col min="15648" max="15648" width="12" style="157" customWidth="1"/>
    <col min="15649" max="15649" width="12.7109375" style="157" customWidth="1"/>
    <col min="15650" max="15873" width="11.5703125" style="157"/>
    <col min="15874" max="15874" width="39.5703125" style="157" customWidth="1"/>
    <col min="15875" max="15875" width="11.42578125" style="157" bestFit="1" customWidth="1"/>
    <col min="15876" max="15876" width="11.42578125" style="157" customWidth="1"/>
    <col min="15877" max="15877" width="11.85546875" style="157" customWidth="1"/>
    <col min="15878" max="15903" width="0" style="157" hidden="1" customWidth="1"/>
    <col min="15904" max="15904" width="12" style="157" customWidth="1"/>
    <col min="15905" max="15905" width="12.7109375" style="157" customWidth="1"/>
    <col min="15906" max="16129" width="11.5703125" style="157"/>
    <col min="16130" max="16130" width="39.5703125" style="157" customWidth="1"/>
    <col min="16131" max="16131" width="11.42578125" style="157" bestFit="1" customWidth="1"/>
    <col min="16132" max="16132" width="11.42578125" style="157" customWidth="1"/>
    <col min="16133" max="16133" width="11.85546875" style="157" customWidth="1"/>
    <col min="16134" max="16159" width="0" style="157" hidden="1" customWidth="1"/>
    <col min="16160" max="16160" width="12" style="157" customWidth="1"/>
    <col min="16161" max="16161" width="12.7109375" style="157" customWidth="1"/>
    <col min="16162" max="16384" width="11.5703125" style="157"/>
  </cols>
  <sheetData>
    <row r="1" spans="2:34" s="156" customFormat="1" ht="24" customHeight="1">
      <c r="B1" s="359" t="s">
        <v>510</v>
      </c>
      <c r="C1" s="89" t="s">
        <v>360</v>
      </c>
      <c r="D1" s="89"/>
      <c r="E1" s="89"/>
      <c r="F1" s="89"/>
      <c r="G1" s="89"/>
      <c r="H1" s="89"/>
      <c r="I1" s="89"/>
      <c r="J1" s="89"/>
      <c r="K1" s="89"/>
      <c r="L1" s="89"/>
      <c r="M1" s="89" t="s">
        <v>360</v>
      </c>
      <c r="N1" s="466"/>
      <c r="O1" s="466"/>
      <c r="P1" s="466"/>
      <c r="Q1" s="451"/>
      <c r="R1" s="89"/>
      <c r="S1" s="89"/>
      <c r="T1" s="89"/>
      <c r="U1" s="89"/>
      <c r="V1" s="89"/>
      <c r="W1" s="89" t="s">
        <v>360</v>
      </c>
      <c r="X1" s="89"/>
      <c r="Y1" s="89"/>
      <c r="Z1" s="89"/>
      <c r="AA1" s="89"/>
      <c r="AB1" s="89"/>
      <c r="AC1" s="1572"/>
      <c r="AD1" s="1572"/>
      <c r="AE1" s="1572"/>
      <c r="AF1" s="1572"/>
      <c r="AG1" s="1572"/>
    </row>
    <row r="2" spans="2:34" ht="16.149999999999999" customHeight="1" thickBot="1">
      <c r="B2" s="41"/>
      <c r="C2" s="41"/>
      <c r="D2" s="41"/>
      <c r="E2" s="41"/>
      <c r="F2" s="41"/>
      <c r="G2" s="467"/>
      <c r="H2" s="41"/>
      <c r="I2" s="41"/>
      <c r="J2" s="41"/>
      <c r="K2" s="41"/>
      <c r="L2" s="467" t="s">
        <v>264</v>
      </c>
      <c r="N2" s="41"/>
      <c r="O2" s="467"/>
      <c r="P2" s="467"/>
      <c r="Q2" s="467"/>
      <c r="R2" s="467"/>
      <c r="S2" s="41"/>
      <c r="T2" s="41"/>
      <c r="U2" s="41"/>
      <c r="V2" s="467" t="s">
        <v>264</v>
      </c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 t="s">
        <v>264</v>
      </c>
    </row>
    <row r="3" spans="2:34" ht="30" customHeight="1" thickBot="1">
      <c r="B3" s="449" t="s">
        <v>172</v>
      </c>
      <c r="C3" s="882" t="s">
        <v>173</v>
      </c>
      <c r="D3" s="882" t="s">
        <v>174</v>
      </c>
      <c r="E3" s="882" t="s">
        <v>259</v>
      </c>
      <c r="F3" s="882" t="s">
        <v>175</v>
      </c>
      <c r="G3" s="971" t="s">
        <v>176</v>
      </c>
      <c r="H3" s="971" t="s">
        <v>177</v>
      </c>
      <c r="I3" s="971" t="s">
        <v>178</v>
      </c>
      <c r="J3" s="971" t="s">
        <v>179</v>
      </c>
      <c r="K3" s="971" t="s">
        <v>180</v>
      </c>
      <c r="L3" s="971" t="s">
        <v>181</v>
      </c>
      <c r="M3" s="971" t="s">
        <v>182</v>
      </c>
      <c r="N3" s="971" t="s">
        <v>183</v>
      </c>
      <c r="O3" s="971" t="s">
        <v>184</v>
      </c>
      <c r="P3" s="971" t="s">
        <v>185</v>
      </c>
      <c r="Q3" s="971" t="s">
        <v>186</v>
      </c>
      <c r="R3" s="971" t="s">
        <v>187</v>
      </c>
      <c r="S3" s="971" t="s">
        <v>188</v>
      </c>
      <c r="T3" s="971" t="s">
        <v>189</v>
      </c>
      <c r="U3" s="971" t="s">
        <v>190</v>
      </c>
      <c r="V3" s="971" t="s">
        <v>191</v>
      </c>
      <c r="W3" s="971" t="s">
        <v>192</v>
      </c>
      <c r="X3" s="971" t="s">
        <v>193</v>
      </c>
      <c r="Y3" s="971" t="s">
        <v>194</v>
      </c>
      <c r="Z3" s="971" t="s">
        <v>195</v>
      </c>
      <c r="AA3" s="971" t="s">
        <v>196</v>
      </c>
      <c r="AB3" s="971" t="s">
        <v>197</v>
      </c>
      <c r="AC3" s="971" t="s">
        <v>198</v>
      </c>
      <c r="AD3" s="971" t="s">
        <v>199</v>
      </c>
      <c r="AE3" s="971" t="s">
        <v>200</v>
      </c>
      <c r="AF3" s="972" t="s">
        <v>201</v>
      </c>
      <c r="AG3" s="973" t="s">
        <v>0</v>
      </c>
    </row>
    <row r="4" spans="2:34" s="205" customFormat="1" ht="21" customHeight="1">
      <c r="B4" s="475" t="s">
        <v>227</v>
      </c>
      <c r="C4" s="883">
        <f>'R1 DRE'!C22</f>
        <v>344452.45949611819</v>
      </c>
      <c r="D4" s="883">
        <f>'R1 DRE'!D22</f>
        <v>725356.85352382285</v>
      </c>
      <c r="E4" s="883">
        <f>'R1 DRE'!E22</f>
        <v>761828.63043885329</v>
      </c>
      <c r="F4" s="883">
        <f>'R1 DRE'!F22</f>
        <v>885889.84541072126</v>
      </c>
      <c r="G4" s="977">
        <f>'R1 DRE'!G22</f>
        <v>987003.66554251267</v>
      </c>
      <c r="H4" s="977">
        <f>'R1 DRE'!H22</f>
        <v>1236097.9959341185</v>
      </c>
      <c r="I4" s="977">
        <f>'R1 DRE'!I22</f>
        <v>1593813.2030140865</v>
      </c>
      <c r="J4" s="977">
        <f>'R1 DRE'!J22</f>
        <v>1818859.3253650826</v>
      </c>
      <c r="K4" s="977">
        <f>'R1 DRE'!K22</f>
        <v>1861532.7897913547</v>
      </c>
      <c r="L4" s="977">
        <f>'R1 DRE'!L22</f>
        <v>1937214.5992484484</v>
      </c>
      <c r="M4" s="977">
        <f>'R1 DRE'!M22</f>
        <v>2108354.1286981129</v>
      </c>
      <c r="N4" s="977">
        <f>'R1 DRE'!N22</f>
        <v>2371238.0187895126</v>
      </c>
      <c r="O4" s="977">
        <f>'R1 DRE'!O22</f>
        <v>2387313.7255066126</v>
      </c>
      <c r="P4" s="977">
        <f>'R1 DRE'!P22</f>
        <v>2392318.5846293727</v>
      </c>
      <c r="Q4" s="977">
        <f>'R1 DRE'!Q22</f>
        <v>2397535.5118256239</v>
      </c>
      <c r="R4" s="977">
        <f>'R1 DRE'!R22</f>
        <v>2402396.5132128205</v>
      </c>
      <c r="S4" s="977">
        <f>'R1 DRE'!S22</f>
        <v>2406808.8327722712</v>
      </c>
      <c r="T4" s="977">
        <f>'R1 DRE'!T22</f>
        <v>2411171.2176241172</v>
      </c>
      <c r="U4" s="977">
        <f>'R1 DRE'!U22</f>
        <v>2415435.1236688667</v>
      </c>
      <c r="V4" s="977">
        <f>'R1 DRE'!V22</f>
        <v>2419324.1952118305</v>
      </c>
      <c r="W4" s="977">
        <f>'R1 DRE'!W22</f>
        <v>2424012.7337706136</v>
      </c>
      <c r="X4" s="977">
        <f>'R1 DRE'!X22</f>
        <v>2428928.4434333849</v>
      </c>
      <c r="Y4" s="977">
        <f>'R1 DRE'!Y22</f>
        <v>2432465.9916120018</v>
      </c>
      <c r="Z4" s="977">
        <f>'R1 DRE'!Z22</f>
        <v>2435918.1528042592</v>
      </c>
      <c r="AA4" s="977">
        <f>'R1 DRE'!AA22</f>
        <v>2439369.9214979247</v>
      </c>
      <c r="AB4" s="977">
        <f>'R1 DRE'!AB22</f>
        <v>2443513.8882810678</v>
      </c>
      <c r="AC4" s="977">
        <f>'R1 DRE'!AC22</f>
        <v>2447954.7535607205</v>
      </c>
      <c r="AD4" s="977">
        <f>'R1 DRE'!AD22</f>
        <v>2451897.0248706797</v>
      </c>
      <c r="AE4" s="977">
        <f>'R1 DRE'!AE22</f>
        <v>2456255.6352967238</v>
      </c>
      <c r="AF4" s="977">
        <f>'R1 DRE'!AF22</f>
        <v>2459460.1287906123</v>
      </c>
      <c r="AG4" s="974">
        <f>SUM(C4:AF4)</f>
        <v>60283721.893622242</v>
      </c>
    </row>
    <row r="5" spans="2:34" s="206" customFormat="1" ht="21" hidden="1" customHeight="1">
      <c r="B5" s="469" t="s">
        <v>228</v>
      </c>
      <c r="C5" s="578"/>
      <c r="D5" s="578"/>
      <c r="E5" s="578"/>
      <c r="F5" s="578"/>
      <c r="G5" s="967"/>
      <c r="H5" s="967"/>
      <c r="I5" s="967"/>
      <c r="J5" s="967"/>
      <c r="K5" s="967"/>
      <c r="L5" s="967"/>
      <c r="M5" s="967"/>
      <c r="N5" s="967"/>
      <c r="O5" s="967"/>
      <c r="P5" s="967"/>
      <c r="Q5" s="967"/>
      <c r="R5" s="967"/>
      <c r="S5" s="967"/>
      <c r="T5" s="967"/>
      <c r="U5" s="967"/>
      <c r="V5" s="967"/>
      <c r="W5" s="967"/>
      <c r="X5" s="967"/>
      <c r="Y5" s="967"/>
      <c r="Z5" s="967"/>
      <c r="AA5" s="967"/>
      <c r="AB5" s="967"/>
      <c r="AC5" s="967"/>
      <c r="AD5" s="967"/>
      <c r="AE5" s="967"/>
      <c r="AF5" s="975"/>
      <c r="AG5" s="976">
        <f t="shared" ref="AG5:AG14" si="0">SUM(C5:AF5)</f>
        <v>0</v>
      </c>
    </row>
    <row r="6" spans="2:34" s="205" customFormat="1" ht="21" customHeight="1">
      <c r="B6" s="468" t="s">
        <v>229</v>
      </c>
      <c r="C6" s="579">
        <f>C7+C11</f>
        <v>-563262.22957299976</v>
      </c>
      <c r="D6" s="579">
        <f t="shared" ref="D6:AF6" si="1">D7+D11</f>
        <v>-561656.73038045038</v>
      </c>
      <c r="E6" s="579">
        <f t="shared" si="1"/>
        <v>-526558.43434490811</v>
      </c>
      <c r="F6" s="579">
        <f t="shared" si="1"/>
        <v>-1656331.7371514337</v>
      </c>
      <c r="G6" s="965">
        <f t="shared" si="1"/>
        <v>-5488637.5529870847</v>
      </c>
      <c r="H6" s="965">
        <f t="shared" si="1"/>
        <v>-1020483.3257311017</v>
      </c>
      <c r="I6" s="965">
        <f t="shared" si="1"/>
        <v>-2117001.7983584367</v>
      </c>
      <c r="J6" s="965">
        <f t="shared" si="1"/>
        <v>-1646829.6102130874</v>
      </c>
      <c r="K6" s="965">
        <f t="shared" si="1"/>
        <v>-2375344.8532699798</v>
      </c>
      <c r="L6" s="965">
        <f t="shared" si="1"/>
        <v>-1445535.6577104856</v>
      </c>
      <c r="M6" s="965">
        <f t="shared" si="1"/>
        <v>-3140454.2795857606</v>
      </c>
      <c r="N6" s="965">
        <f t="shared" si="1"/>
        <v>-2881855.7458194513</v>
      </c>
      <c r="O6" s="965">
        <f t="shared" si="1"/>
        <v>-558252.28603826265</v>
      </c>
      <c r="P6" s="965">
        <f t="shared" si="1"/>
        <v>-558586.20306495845</v>
      </c>
      <c r="Q6" s="965">
        <f t="shared" si="1"/>
        <v>-558906.73979445093</v>
      </c>
      <c r="R6" s="965">
        <f t="shared" si="1"/>
        <v>-553721.38051438273</v>
      </c>
      <c r="S6" s="965">
        <f t="shared" si="1"/>
        <v>-553689.17085918679</v>
      </c>
      <c r="T6" s="965">
        <f t="shared" si="1"/>
        <v>-553522.10661068163</v>
      </c>
      <c r="U6" s="965">
        <f t="shared" si="1"/>
        <v>-553184.03664291929</v>
      </c>
      <c r="V6" s="965">
        <f t="shared" si="1"/>
        <v>-552555.99585155188</v>
      </c>
      <c r="W6" s="965">
        <f t="shared" si="1"/>
        <v>-557699.74133396544</v>
      </c>
      <c r="X6" s="965">
        <f t="shared" si="1"/>
        <v>-547417.20747756038</v>
      </c>
      <c r="Y6" s="965">
        <f t="shared" si="1"/>
        <v>-546093.8268238242</v>
      </c>
      <c r="Z6" s="965">
        <f t="shared" si="1"/>
        <v>-544380.53644694516</v>
      </c>
      <c r="AA6" s="965">
        <f t="shared" si="1"/>
        <v>-542185.94175683695</v>
      </c>
      <c r="AB6" s="965">
        <f t="shared" si="1"/>
        <v>-548908.05520796042</v>
      </c>
      <c r="AC6" s="965">
        <f t="shared" si="1"/>
        <v>-536029.48033411067</v>
      </c>
      <c r="AD6" s="965">
        <f t="shared" si="1"/>
        <v>-531355.20715425466</v>
      </c>
      <c r="AE6" s="965">
        <f t="shared" si="1"/>
        <v>-523673.78656124638</v>
      </c>
      <c r="AF6" s="977">
        <f t="shared" si="1"/>
        <v>-480536.92799914925</v>
      </c>
      <c r="AG6" s="976">
        <f t="shared" si="0"/>
        <v>-33224650.585597433</v>
      </c>
    </row>
    <row r="7" spans="2:34" s="206" customFormat="1" ht="21" customHeight="1">
      <c r="B7" s="468" t="s">
        <v>230</v>
      </c>
      <c r="C7" s="579">
        <f>C8+C9+C10</f>
        <v>-563262.22957299976</v>
      </c>
      <c r="D7" s="579">
        <f t="shared" ref="D7:AF7" si="2">D8+D9+D10</f>
        <v>-345639.16425320646</v>
      </c>
      <c r="E7" s="579">
        <f t="shared" si="2"/>
        <v>-302337.51106105704</v>
      </c>
      <c r="F7" s="579">
        <f t="shared" si="2"/>
        <v>-1393737.2138793978</v>
      </c>
      <c r="G7" s="965">
        <f t="shared" si="2"/>
        <v>-5209890.1252055857</v>
      </c>
      <c r="H7" s="965">
        <f t="shared" si="2"/>
        <v>-727898.33131925284</v>
      </c>
      <c r="I7" s="965">
        <f t="shared" si="2"/>
        <v>-1713105.5265664214</v>
      </c>
      <c r="J7" s="965">
        <f t="shared" si="2"/>
        <v>-1191741.8254753242</v>
      </c>
      <c r="K7" s="965">
        <f t="shared" si="2"/>
        <v>-1924165.9188391753</v>
      </c>
      <c r="L7" s="965">
        <f t="shared" si="2"/>
        <v>-999778.07055976056</v>
      </c>
      <c r="M7" s="965">
        <f t="shared" si="2"/>
        <v>-2653505.4796216656</v>
      </c>
      <c r="N7" s="965">
        <f t="shared" si="2"/>
        <v>-2353010.2054911945</v>
      </c>
      <c r="O7" s="965">
        <f t="shared" si="2"/>
        <v>-68386.753752136574</v>
      </c>
      <c r="P7" s="965">
        <f t="shared" si="2"/>
        <v>-68386.753752136574</v>
      </c>
      <c r="Q7" s="965">
        <f t="shared" si="2"/>
        <v>-68386.753752136574</v>
      </c>
      <c r="R7" s="965">
        <f t="shared" si="2"/>
        <v>-63098.753752136574</v>
      </c>
      <c r="S7" s="965">
        <f t="shared" si="2"/>
        <v>-63098.753752136574</v>
      </c>
      <c r="T7" s="965">
        <f t="shared" si="2"/>
        <v>-63098.753752136574</v>
      </c>
      <c r="U7" s="965">
        <f t="shared" si="2"/>
        <v>-63098.753752136574</v>
      </c>
      <c r="V7" s="965">
        <f t="shared" si="2"/>
        <v>-63098.753752136574</v>
      </c>
      <c r="W7" s="965">
        <f t="shared" si="2"/>
        <v>-68793.753752136574</v>
      </c>
      <c r="X7" s="965">
        <f t="shared" si="2"/>
        <v>-59438.753752136574</v>
      </c>
      <c r="Y7" s="965">
        <f t="shared" si="2"/>
        <v>-59438.753752136574</v>
      </c>
      <c r="Z7" s="965">
        <f t="shared" si="2"/>
        <v>-59438.753752136574</v>
      </c>
      <c r="AA7" s="965">
        <f t="shared" si="2"/>
        <v>-59438.753752136574</v>
      </c>
      <c r="AB7" s="965">
        <f t="shared" si="2"/>
        <v>-68793.753752136574</v>
      </c>
      <c r="AC7" s="965">
        <f t="shared" si="2"/>
        <v>-60252.753752136574</v>
      </c>
      <c r="AD7" s="965">
        <f t="shared" si="2"/>
        <v>-61066.753752136574</v>
      </c>
      <c r="AE7" s="965">
        <f t="shared" si="2"/>
        <v>-62284.753752136574</v>
      </c>
      <c r="AF7" s="977">
        <f t="shared" si="2"/>
        <v>-59447.247996732927</v>
      </c>
      <c r="AG7" s="976">
        <f t="shared" si="0"/>
        <v>-20517119.663628064</v>
      </c>
      <c r="AH7" s="207"/>
    </row>
    <row r="8" spans="2:34" s="206" customFormat="1" ht="21" customHeight="1">
      <c r="B8" s="470" t="s">
        <v>231</v>
      </c>
      <c r="C8" s="578">
        <f>-'18 R1 Invest Total'!C4</f>
        <v>-408428.3754822117</v>
      </c>
      <c r="D8" s="578">
        <f>-'18 R1 Invest Total'!C5</f>
        <v>-329783.01199834509</v>
      </c>
      <c r="E8" s="578">
        <f>-'18 R1 Invest Total'!C6</f>
        <v>-226602.31678867349</v>
      </c>
      <c r="F8" s="578">
        <f>-'18 R1 Invest Total'!C7</f>
        <v>-1359859.3479073208</v>
      </c>
      <c r="G8" s="967">
        <f>-'18 R1 Invest Total'!C8</f>
        <v>-423362.0777800596</v>
      </c>
      <c r="H8" s="967">
        <f>-'18 R1 Invest Total'!C9</f>
        <v>-99278.617780059591</v>
      </c>
      <c r="I8" s="967">
        <f>-'18 R1 Invest Total'!C10</f>
        <v>-14581.887780059598</v>
      </c>
      <c r="J8" s="967">
        <f>-'18 R1 Invest Total'!C11</f>
        <v>-14581.887780059598</v>
      </c>
      <c r="K8" s="967">
        <f>-'18 R1 Invest Total'!C12</f>
        <v>-14581.887780059598</v>
      </c>
      <c r="L8" s="967">
        <f>-'18 R1 Invest Total'!C13</f>
        <v>-15189.887780059598</v>
      </c>
      <c r="M8" s="967">
        <f>-'18 R1 Invest Total'!C14</f>
        <v>-14785.887780059598</v>
      </c>
      <c r="N8" s="967">
        <f>-'18 R1 Invest Total'!C15</f>
        <v>-14275.887780059598</v>
      </c>
      <c r="O8" s="967">
        <f>-'18 R1 Invest Total'!C16</f>
        <v>-14275.887780059598</v>
      </c>
      <c r="P8" s="967">
        <f>-'18 R1 Invest Total'!C17</f>
        <v>-14275.887780059598</v>
      </c>
      <c r="Q8" s="967">
        <f>-'18 R1 Invest Total'!C18</f>
        <v>-14275.887780059598</v>
      </c>
      <c r="R8" s="967">
        <f>-'18 R1 Invest Total'!C19</f>
        <v>-12851.887780059598</v>
      </c>
      <c r="S8" s="967">
        <f>-'18 R1 Invest Total'!C20</f>
        <v>-12851.887780059598</v>
      </c>
      <c r="T8" s="967">
        <f>-'18 R1 Invest Total'!C21</f>
        <v>-12851.887780059598</v>
      </c>
      <c r="U8" s="967">
        <f>-'18 R1 Invest Total'!C22</f>
        <v>-12851.887780059598</v>
      </c>
      <c r="V8" s="967">
        <f>-'18 R1 Invest Total'!C23</f>
        <v>-12851.887780059598</v>
      </c>
      <c r="W8" s="967">
        <f>-'18 R1 Invest Total'!C24</f>
        <v>-14377.887780059598</v>
      </c>
      <c r="X8" s="967">
        <f>-'18 R1 Invest Total'!C25</f>
        <v>-11835.887780059598</v>
      </c>
      <c r="Y8" s="967">
        <f>-'18 R1 Invest Total'!C26</f>
        <v>-11835.887780059598</v>
      </c>
      <c r="Z8" s="967">
        <f>-'18 R1 Invest Total'!C27</f>
        <v>-11835.887780059598</v>
      </c>
      <c r="AA8" s="967">
        <f>-'18 R1 Invest Total'!C28</f>
        <v>-11835.887780059598</v>
      </c>
      <c r="AB8" s="967">
        <f>-'18 R1 Invest Total'!C29</f>
        <v>-14377.887780059598</v>
      </c>
      <c r="AC8" s="967">
        <f>-'18 R1 Invest Total'!C30</f>
        <v>-12039.887780059598</v>
      </c>
      <c r="AD8" s="967">
        <f>-'18 R1 Invest Total'!C31</f>
        <v>-12243.887780059598</v>
      </c>
      <c r="AE8" s="967">
        <f>-'18 R1 Invest Total'!C32</f>
        <v>-12647.887780059598</v>
      </c>
      <c r="AF8" s="975">
        <f>-'18 R1 Invest Total'!C33</f>
        <v>-9773.2620246559418</v>
      </c>
      <c r="AG8" s="976">
        <f t="shared" si="0"/>
        <v>-3165202.4287026967</v>
      </c>
    </row>
    <row r="9" spans="2:34" s="206" customFormat="1" ht="21" customHeight="1">
      <c r="B9" s="470" t="s">
        <v>232</v>
      </c>
      <c r="C9" s="578">
        <f>-'18 R1 Invest Total'!D4</f>
        <v>-37879.125589369905</v>
      </c>
      <c r="D9" s="578">
        <f>-'18 R1 Invest Total'!D5</f>
        <v>-571.94869673148537</v>
      </c>
      <c r="E9" s="578">
        <f>-'18 R1 Invest Total'!D6</f>
        <v>-9420.8028316306008</v>
      </c>
      <c r="F9" s="578">
        <f>-'18 R1 Invest Total'!D7</f>
        <v>-816</v>
      </c>
      <c r="G9" s="967">
        <f>-'18 R1 Invest Total'!D8</f>
        <v>-4753466.1814534497</v>
      </c>
      <c r="H9" s="967">
        <f>-'18 R1 Invest Total'!D9</f>
        <v>-595557.84756711626</v>
      </c>
      <c r="I9" s="967">
        <f>-'18 R1 Invest Total'!D10</f>
        <v>-1665461.7728142848</v>
      </c>
      <c r="J9" s="967">
        <f>-'18 R1 Invest Total'!D11</f>
        <v>-1144098.0717231876</v>
      </c>
      <c r="K9" s="967">
        <f>-'18 R1 Invest Total'!D12</f>
        <v>-1876522.1650870387</v>
      </c>
      <c r="L9" s="967">
        <f>-'18 R1 Invest Total'!D13</f>
        <v>-951526.31680762395</v>
      </c>
      <c r="M9" s="967">
        <f>-'18 R1 Invest Total'!D14</f>
        <v>-2605657.7258695289</v>
      </c>
      <c r="N9" s="967">
        <f>-'18 R1 Invest Total'!D15</f>
        <v>-2305672.4517390579</v>
      </c>
      <c r="O9" s="967">
        <f>-'18 R1 Invest Total'!D16</f>
        <v>-21049</v>
      </c>
      <c r="P9" s="967">
        <f>-'18 R1 Invest Total'!D17</f>
        <v>-21049</v>
      </c>
      <c r="Q9" s="967">
        <f>-'18 R1 Invest Total'!D18</f>
        <v>-21049</v>
      </c>
      <c r="R9" s="967">
        <f>-'18 R1 Invest Total'!D19</f>
        <v>-17185</v>
      </c>
      <c r="S9" s="967">
        <f>-'18 R1 Invest Total'!D20</f>
        <v>-17185</v>
      </c>
      <c r="T9" s="967">
        <f>-'18 R1 Invest Total'!D21</f>
        <v>-17185</v>
      </c>
      <c r="U9" s="967">
        <f>-'18 R1 Invest Total'!D22</f>
        <v>-17185</v>
      </c>
      <c r="V9" s="967">
        <f>-'18 R1 Invest Total'!D23</f>
        <v>-17185</v>
      </c>
      <c r="W9" s="967">
        <f>-'18 R1 Invest Total'!D24</f>
        <v>-21354</v>
      </c>
      <c r="X9" s="967">
        <f>-'18 R1 Invest Total'!D25</f>
        <v>-14541</v>
      </c>
      <c r="Y9" s="967">
        <f>-'18 R1 Invest Total'!D26</f>
        <v>-14541</v>
      </c>
      <c r="Z9" s="967">
        <f>-'18 R1 Invest Total'!D27</f>
        <v>-14541</v>
      </c>
      <c r="AA9" s="967">
        <f>-'18 R1 Invest Total'!D28</f>
        <v>-14541</v>
      </c>
      <c r="AB9" s="967">
        <f>-'18 R1 Invest Total'!D29</f>
        <v>-21354</v>
      </c>
      <c r="AC9" s="967">
        <f>-'18 R1 Invest Total'!D30</f>
        <v>-15151</v>
      </c>
      <c r="AD9" s="967">
        <f>-'18 R1 Invest Total'!D31</f>
        <v>-15761</v>
      </c>
      <c r="AE9" s="967">
        <f>-'18 R1 Invest Total'!D32</f>
        <v>-16575</v>
      </c>
      <c r="AF9" s="975">
        <f>-'18 R1 Invest Total'!D33</f>
        <v>-16612.120000000003</v>
      </c>
      <c r="AG9" s="976">
        <f t="shared" si="0"/>
        <v>-16260693.530179018</v>
      </c>
    </row>
    <row r="10" spans="2:34" s="206" customFormat="1" ht="21" customHeight="1">
      <c r="B10" s="470" t="s">
        <v>233</v>
      </c>
      <c r="C10" s="578">
        <f>-'18 R1 Invest Total'!E4</f>
        <v>-116954.72850141811</v>
      </c>
      <c r="D10" s="578">
        <f>-'18 R1 Invest Total'!E5</f>
        <v>-15284.203558129915</v>
      </c>
      <c r="E10" s="578">
        <f>-'18 R1 Invest Total'!E6</f>
        <v>-66314.391440752952</v>
      </c>
      <c r="F10" s="578">
        <f>-'18 R1 Invest Total'!E7</f>
        <v>-33061.865972076979</v>
      </c>
      <c r="G10" s="967">
        <f>-'18 R1 Invest Total'!E8</f>
        <v>-33061.865972076979</v>
      </c>
      <c r="H10" s="967">
        <f>-'18 R1 Invest Total'!E9</f>
        <v>-33061.865972076979</v>
      </c>
      <c r="I10" s="967">
        <f>-'18 R1 Invest Total'!E10</f>
        <v>-33061.865972076979</v>
      </c>
      <c r="J10" s="967">
        <f>-'18 R1 Invest Total'!E11</f>
        <v>-33061.865972076979</v>
      </c>
      <c r="K10" s="967">
        <f>-'18 R1 Invest Total'!E12</f>
        <v>-33061.865972076979</v>
      </c>
      <c r="L10" s="967">
        <f>-'18 R1 Invest Total'!E13</f>
        <v>-33061.865972076979</v>
      </c>
      <c r="M10" s="967">
        <f>-'18 R1 Invest Total'!E14</f>
        <v>-33061.865972076979</v>
      </c>
      <c r="N10" s="967">
        <f>-'18 R1 Invest Total'!E15</f>
        <v>-33061.865972076979</v>
      </c>
      <c r="O10" s="967">
        <f>-'18 R1 Invest Total'!E16</f>
        <v>-33061.865972076979</v>
      </c>
      <c r="P10" s="967">
        <f>-'18 R1 Invest Total'!E17</f>
        <v>-33061.865972076979</v>
      </c>
      <c r="Q10" s="967">
        <f>-'18 R1 Invest Total'!E18</f>
        <v>-33061.865972076979</v>
      </c>
      <c r="R10" s="967">
        <f>-'18 R1 Invest Total'!E19</f>
        <v>-33061.865972076979</v>
      </c>
      <c r="S10" s="967">
        <f>-'18 R1 Invest Total'!E20</f>
        <v>-33061.865972076979</v>
      </c>
      <c r="T10" s="967">
        <f>-'18 R1 Invest Total'!E21</f>
        <v>-33061.865972076979</v>
      </c>
      <c r="U10" s="967">
        <f>-'18 R1 Invest Total'!E22</f>
        <v>-33061.865972076979</v>
      </c>
      <c r="V10" s="967">
        <f>-'18 R1 Invest Total'!E23</f>
        <v>-33061.865972076979</v>
      </c>
      <c r="W10" s="967">
        <f>-'18 R1 Invest Total'!E24</f>
        <v>-33061.865972076979</v>
      </c>
      <c r="X10" s="967">
        <f>-'18 R1 Invest Total'!E25</f>
        <v>-33061.865972076979</v>
      </c>
      <c r="Y10" s="967">
        <f>-'18 R1 Invest Total'!E26</f>
        <v>-33061.865972076979</v>
      </c>
      <c r="Z10" s="967">
        <f>-'18 R1 Invest Total'!E27</f>
        <v>-33061.865972076979</v>
      </c>
      <c r="AA10" s="967">
        <f>-'18 R1 Invest Total'!E28</f>
        <v>-33061.865972076979</v>
      </c>
      <c r="AB10" s="967">
        <f>-'18 R1 Invest Total'!E29</f>
        <v>-33061.865972076979</v>
      </c>
      <c r="AC10" s="967">
        <f>-'18 R1 Invest Total'!E30</f>
        <v>-33061.865972076979</v>
      </c>
      <c r="AD10" s="967">
        <f>-'18 R1 Invest Total'!E31</f>
        <v>-33061.865972076979</v>
      </c>
      <c r="AE10" s="967">
        <f>-'18 R1 Invest Total'!E32</f>
        <v>-33061.865972076979</v>
      </c>
      <c r="AF10" s="975">
        <f>-'18 R1 Invest Total'!E33</f>
        <v>-33061.865972076979</v>
      </c>
      <c r="AG10" s="976">
        <f t="shared" si="0"/>
        <v>-1091223.70474638</v>
      </c>
    </row>
    <row r="11" spans="2:34" s="206" customFormat="1" ht="21" customHeight="1">
      <c r="B11" s="468" t="s">
        <v>234</v>
      </c>
      <c r="C11" s="579">
        <f>C12+C13</f>
        <v>0</v>
      </c>
      <c r="D11" s="579">
        <f t="shared" ref="D11:AF11" si="3">D12+D13</f>
        <v>-216017.56612724392</v>
      </c>
      <c r="E11" s="579">
        <f t="shared" si="3"/>
        <v>-224220.92328385104</v>
      </c>
      <c r="F11" s="579">
        <f t="shared" si="3"/>
        <v>-262594.52327203582</v>
      </c>
      <c r="G11" s="965">
        <f t="shared" si="3"/>
        <v>-278747.42778149887</v>
      </c>
      <c r="H11" s="965">
        <f t="shared" si="3"/>
        <v>-292584.99441184889</v>
      </c>
      <c r="I11" s="965">
        <f t="shared" si="3"/>
        <v>-403896.27179201529</v>
      </c>
      <c r="J11" s="965">
        <f t="shared" si="3"/>
        <v>-455087.78473776334</v>
      </c>
      <c r="K11" s="965">
        <f t="shared" si="3"/>
        <v>-451178.93443080451</v>
      </c>
      <c r="L11" s="965">
        <f t="shared" si="3"/>
        <v>-445757.58715072495</v>
      </c>
      <c r="M11" s="965">
        <f t="shared" si="3"/>
        <v>-486948.799964095</v>
      </c>
      <c r="N11" s="965">
        <f t="shared" si="3"/>
        <v>-528845.54032825679</v>
      </c>
      <c r="O11" s="965">
        <f t="shared" si="3"/>
        <v>-489865.53228612605</v>
      </c>
      <c r="P11" s="965">
        <f t="shared" si="3"/>
        <v>-490199.44931282185</v>
      </c>
      <c r="Q11" s="965">
        <f t="shared" si="3"/>
        <v>-490519.98604231433</v>
      </c>
      <c r="R11" s="965">
        <f t="shared" si="3"/>
        <v>-490622.62676224613</v>
      </c>
      <c r="S11" s="965">
        <f t="shared" si="3"/>
        <v>-490590.41710705019</v>
      </c>
      <c r="T11" s="965">
        <f t="shared" si="3"/>
        <v>-490423.35285854508</v>
      </c>
      <c r="U11" s="965">
        <f t="shared" si="3"/>
        <v>-490085.28289078269</v>
      </c>
      <c r="V11" s="965">
        <f t="shared" si="3"/>
        <v>-489457.24209941534</v>
      </c>
      <c r="W11" s="965">
        <f t="shared" si="3"/>
        <v>-488905.98758182884</v>
      </c>
      <c r="X11" s="965">
        <f t="shared" si="3"/>
        <v>-487978.45372542378</v>
      </c>
      <c r="Y11" s="965">
        <f t="shared" si="3"/>
        <v>-486655.0730716876</v>
      </c>
      <c r="Z11" s="965">
        <f t="shared" si="3"/>
        <v>-484941.78269480856</v>
      </c>
      <c r="AA11" s="965">
        <f t="shared" si="3"/>
        <v>-482747.18800470035</v>
      </c>
      <c r="AB11" s="965">
        <f t="shared" si="3"/>
        <v>-480114.30145582382</v>
      </c>
      <c r="AC11" s="965">
        <f t="shared" si="3"/>
        <v>-475776.72658197407</v>
      </c>
      <c r="AD11" s="965">
        <f t="shared" si="3"/>
        <v>-470288.45340211806</v>
      </c>
      <c r="AE11" s="965">
        <f t="shared" si="3"/>
        <v>-461389.03280910983</v>
      </c>
      <c r="AF11" s="977">
        <f t="shared" si="3"/>
        <v>-421089.68000241631</v>
      </c>
      <c r="AG11" s="976">
        <f t="shared" si="0"/>
        <v>-12707530.921969334</v>
      </c>
    </row>
    <row r="12" spans="2:34" s="206" customFormat="1" ht="21" customHeight="1">
      <c r="B12" s="469" t="s">
        <v>235</v>
      </c>
      <c r="C12" s="578">
        <f>'R1 DRE'!C26</f>
        <v>0</v>
      </c>
      <c r="D12" s="578">
        <f>'R1 DRE'!D26</f>
        <v>-152483.50450532642</v>
      </c>
      <c r="E12" s="578">
        <f>'R1 DRE'!E26</f>
        <v>-158515.38476753753</v>
      </c>
      <c r="F12" s="578">
        <f>'R1 DRE'!F26</f>
        <v>-186731.26711179104</v>
      </c>
      <c r="G12" s="975">
        <f>'R1 DRE'!G26</f>
        <v>-198608.40278051386</v>
      </c>
      <c r="H12" s="975">
        <f>'R1 DRE'!H26</f>
        <v>-208783.08412635949</v>
      </c>
      <c r="I12" s="975">
        <f>'R1 DRE'!I26</f>
        <v>-290629.61161177594</v>
      </c>
      <c r="J12" s="975">
        <f>'R1 DRE'!J26</f>
        <v>-328270.42995423777</v>
      </c>
      <c r="K12" s="975">
        <f>'R1 DRE'!K26</f>
        <v>-325396.27531676803</v>
      </c>
      <c r="L12" s="975">
        <f>'R1 DRE'!L26</f>
        <v>-321409.99055200367</v>
      </c>
      <c r="M12" s="975">
        <f>'R1 DRE'!M26</f>
        <v>-351697.64703242283</v>
      </c>
      <c r="N12" s="975">
        <f>'R1 DRE'!N26</f>
        <v>-382504.07377077709</v>
      </c>
      <c r="O12" s="975">
        <f>'R1 DRE'!O26</f>
        <v>-353842.30315156328</v>
      </c>
      <c r="P12" s="975">
        <f>'R1 DRE'!P26</f>
        <v>-354087.83037707489</v>
      </c>
      <c r="Q12" s="975">
        <f>'R1 DRE'!Q26</f>
        <v>-354323.51914876053</v>
      </c>
      <c r="R12" s="975">
        <f>'R1 DRE'!R26</f>
        <v>-354398.99026635743</v>
      </c>
      <c r="S12" s="975">
        <f>'R1 DRE'!S26</f>
        <v>-354375.30669636047</v>
      </c>
      <c r="T12" s="975">
        <f>'R1 DRE'!T26</f>
        <v>-354252.46533716551</v>
      </c>
      <c r="U12" s="975">
        <f>'R1 DRE'!U26</f>
        <v>-354003.8844785167</v>
      </c>
      <c r="V12" s="975">
        <f>'R1 DRE'!V26</f>
        <v>-353542.08977898187</v>
      </c>
      <c r="W12" s="975">
        <f>'R1 DRE'!W26</f>
        <v>-353136.75557487417</v>
      </c>
      <c r="X12" s="975">
        <f>'R1 DRE'!X26</f>
        <v>-352454.745386341</v>
      </c>
      <c r="Y12" s="975">
        <f>'R1 DRE'!Y26</f>
        <v>-351481.67137624091</v>
      </c>
      <c r="Z12" s="975">
        <f>'R1 DRE'!Z26</f>
        <v>-350221.8990403004</v>
      </c>
      <c r="AA12" s="975">
        <f>'R1 DRE'!AA26</f>
        <v>-348608.22647404438</v>
      </c>
      <c r="AB12" s="975">
        <f>'R1 DRE'!AB26</f>
        <v>-346672.28048222337</v>
      </c>
      <c r="AC12" s="975">
        <f>'R1 DRE'!AC26</f>
        <v>-343482.887192628</v>
      </c>
      <c r="AD12" s="975">
        <f>'R1 DRE'!AD26</f>
        <v>-339447.39220743976</v>
      </c>
      <c r="AE12" s="975">
        <f>'R1 DRE'!AE26</f>
        <v>-332903.7005949337</v>
      </c>
      <c r="AF12" s="975">
        <f>'R1 DRE'!AF26</f>
        <v>-303271.82353118848</v>
      </c>
      <c r="AG12" s="976">
        <f t="shared" si="0"/>
        <v>-9159537.4426245093</v>
      </c>
    </row>
    <row r="13" spans="2:34" s="206" customFormat="1" ht="21" customHeight="1" thickBot="1">
      <c r="B13" s="476" t="s">
        <v>236</v>
      </c>
      <c r="C13" s="578">
        <f>'R1 DRE'!C27</f>
        <v>0</v>
      </c>
      <c r="D13" s="578">
        <f>'R1 DRE'!D27</f>
        <v>-63534.061621917506</v>
      </c>
      <c r="E13" s="578">
        <f>'R1 DRE'!E27</f>
        <v>-65705.538516313507</v>
      </c>
      <c r="F13" s="578">
        <f>'R1 DRE'!F27</f>
        <v>-75863.256160244768</v>
      </c>
      <c r="G13" s="975">
        <f>'R1 DRE'!G27</f>
        <v>-80139.025000984999</v>
      </c>
      <c r="H13" s="975">
        <f>'R1 DRE'!H27</f>
        <v>-83801.910285489415</v>
      </c>
      <c r="I13" s="975">
        <f>'R1 DRE'!I27</f>
        <v>-113266.66018023933</v>
      </c>
      <c r="J13" s="975">
        <f>'R1 DRE'!J27</f>
        <v>-126817.35478352559</v>
      </c>
      <c r="K13" s="975">
        <f>'R1 DRE'!K27</f>
        <v>-125782.65911403649</v>
      </c>
      <c r="L13" s="975">
        <f>'R1 DRE'!L27</f>
        <v>-124347.59659872131</v>
      </c>
      <c r="M13" s="975">
        <f>'R1 DRE'!M27</f>
        <v>-135251.1529316722</v>
      </c>
      <c r="N13" s="975">
        <f>'R1 DRE'!N27</f>
        <v>-146341.46655747975</v>
      </c>
      <c r="O13" s="975">
        <f>'R1 DRE'!O27</f>
        <v>-136023.22913456277</v>
      </c>
      <c r="P13" s="975">
        <f>'R1 DRE'!P27</f>
        <v>-136111.61893574696</v>
      </c>
      <c r="Q13" s="975">
        <f>'R1 DRE'!Q27</f>
        <v>-136196.46689355379</v>
      </c>
      <c r="R13" s="975">
        <f>'R1 DRE'!R27</f>
        <v>-136223.63649588867</v>
      </c>
      <c r="S13" s="975">
        <f>'R1 DRE'!S27</f>
        <v>-136215.11041068975</v>
      </c>
      <c r="T13" s="975">
        <f>'R1 DRE'!T27</f>
        <v>-136170.88752137957</v>
      </c>
      <c r="U13" s="975">
        <f>'R1 DRE'!U27</f>
        <v>-136081.39841226602</v>
      </c>
      <c r="V13" s="975">
        <f>'R1 DRE'!V27</f>
        <v>-135915.15232043347</v>
      </c>
      <c r="W13" s="975">
        <f>'R1 DRE'!W27</f>
        <v>-135769.2320069547</v>
      </c>
      <c r="X13" s="975">
        <f>'R1 DRE'!X27</f>
        <v>-135523.70833908275</v>
      </c>
      <c r="Y13" s="975">
        <f>'R1 DRE'!Y27</f>
        <v>-135173.40169544672</v>
      </c>
      <c r="Z13" s="975">
        <f>'R1 DRE'!Z27</f>
        <v>-134719.88365450813</v>
      </c>
      <c r="AA13" s="975">
        <f>'R1 DRE'!AA27</f>
        <v>-134138.96153065597</v>
      </c>
      <c r="AB13" s="975">
        <f>'R1 DRE'!AB27</f>
        <v>-133442.02097360042</v>
      </c>
      <c r="AC13" s="975">
        <f>'R1 DRE'!AC27</f>
        <v>-132293.83938934607</v>
      </c>
      <c r="AD13" s="975">
        <f>'R1 DRE'!AD27</f>
        <v>-130841.0611946783</v>
      </c>
      <c r="AE13" s="975">
        <f>'R1 DRE'!AE27</f>
        <v>-128485.33221417613</v>
      </c>
      <c r="AF13" s="975">
        <f>'R1 DRE'!AF27</f>
        <v>-117817.85647122785</v>
      </c>
      <c r="AG13" s="978">
        <f t="shared" si="0"/>
        <v>-3547993.4793448234</v>
      </c>
    </row>
    <row r="14" spans="2:34" s="206" customFormat="1" ht="21" customHeight="1" thickBot="1">
      <c r="B14" s="472" t="s">
        <v>237</v>
      </c>
      <c r="C14" s="884">
        <f>C4+C6</f>
        <v>-218809.77007688157</v>
      </c>
      <c r="D14" s="884">
        <f t="shared" ref="D14:AF14" si="4">D4+D6</f>
        <v>163700.12314337248</v>
      </c>
      <c r="E14" s="884">
        <f t="shared" si="4"/>
        <v>235270.19609394518</v>
      </c>
      <c r="F14" s="884">
        <f t="shared" si="4"/>
        <v>-770441.89174071245</v>
      </c>
      <c r="G14" s="979">
        <f t="shared" si="4"/>
        <v>-4501633.8874445725</v>
      </c>
      <c r="H14" s="979">
        <f t="shared" si="4"/>
        <v>215614.67020301684</v>
      </c>
      <c r="I14" s="979">
        <f t="shared" si="4"/>
        <v>-523188.59534435021</v>
      </c>
      <c r="J14" s="979">
        <f t="shared" si="4"/>
        <v>172029.71515199519</v>
      </c>
      <c r="K14" s="979">
        <f t="shared" si="4"/>
        <v>-513812.06347862515</v>
      </c>
      <c r="L14" s="979">
        <f t="shared" si="4"/>
        <v>491678.94153796276</v>
      </c>
      <c r="M14" s="979">
        <f t="shared" si="4"/>
        <v>-1032100.1508876476</v>
      </c>
      <c r="N14" s="979">
        <f t="shared" si="4"/>
        <v>-510617.72702993872</v>
      </c>
      <c r="O14" s="979">
        <f t="shared" si="4"/>
        <v>1829061.4394683498</v>
      </c>
      <c r="P14" s="979">
        <f t="shared" si="4"/>
        <v>1833732.3815644141</v>
      </c>
      <c r="Q14" s="979">
        <f t="shared" si="4"/>
        <v>1838628.7720311731</v>
      </c>
      <c r="R14" s="979">
        <f t="shared" si="4"/>
        <v>1848675.1326984377</v>
      </c>
      <c r="S14" s="979">
        <f t="shared" si="4"/>
        <v>1853119.6619130843</v>
      </c>
      <c r="T14" s="979">
        <f t="shared" si="4"/>
        <v>1857649.1110134355</v>
      </c>
      <c r="U14" s="979">
        <f t="shared" si="4"/>
        <v>1862251.0870259474</v>
      </c>
      <c r="V14" s="979">
        <f t="shared" si="4"/>
        <v>1866768.1993602787</v>
      </c>
      <c r="W14" s="979">
        <f t="shared" si="4"/>
        <v>1866312.9924366481</v>
      </c>
      <c r="X14" s="979">
        <f t="shared" si="4"/>
        <v>1881511.2359558246</v>
      </c>
      <c r="Y14" s="979">
        <f t="shared" si="4"/>
        <v>1886372.1647881777</v>
      </c>
      <c r="Z14" s="979">
        <f t="shared" si="4"/>
        <v>1891537.6163573139</v>
      </c>
      <c r="AA14" s="979">
        <f t="shared" si="4"/>
        <v>1897183.9797410876</v>
      </c>
      <c r="AB14" s="979">
        <f t="shared" si="4"/>
        <v>1894605.8330731075</v>
      </c>
      <c r="AC14" s="979">
        <f t="shared" si="4"/>
        <v>1911925.2732266099</v>
      </c>
      <c r="AD14" s="979">
        <f t="shared" si="4"/>
        <v>1920541.8177164251</v>
      </c>
      <c r="AE14" s="979">
        <f t="shared" si="4"/>
        <v>1932581.8487354773</v>
      </c>
      <c r="AF14" s="980">
        <f t="shared" si="4"/>
        <v>1978923.200791463</v>
      </c>
      <c r="AG14" s="981">
        <f t="shared" si="0"/>
        <v>27059071.308024824</v>
      </c>
      <c r="AH14" s="207"/>
    </row>
    <row r="15" spans="2:34" s="206" customFormat="1" ht="21" customHeight="1" thickBot="1">
      <c r="B15" s="472" t="s">
        <v>238</v>
      </c>
      <c r="C15" s="886">
        <f>IRR(C14:AF14)</f>
        <v>0.12026062465228526</v>
      </c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36"/>
    </row>
    <row r="16" spans="2:34" s="206" customFormat="1" ht="6" customHeight="1">
      <c r="B16" s="359"/>
      <c r="C16" s="473"/>
      <c r="D16" s="474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359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</row>
    <row r="17" spans="2:34" s="206" customFormat="1" ht="21" customHeight="1" thickBot="1">
      <c r="B17" s="359"/>
      <c r="C17" s="473" t="s">
        <v>354</v>
      </c>
      <c r="D17" s="473" t="s">
        <v>355</v>
      </c>
      <c r="E17" s="473" t="s">
        <v>356</v>
      </c>
      <c r="F17" s="473" t="s">
        <v>357</v>
      </c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359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</row>
    <row r="18" spans="2:34" s="206" customFormat="1" ht="21" customHeight="1" thickBot="1">
      <c r="B18" s="583" t="s">
        <v>400</v>
      </c>
      <c r="C18" s="584">
        <v>5.8799999999999998E-2</v>
      </c>
      <c r="D18" s="584">
        <f>C18</f>
        <v>5.8799999999999998E-2</v>
      </c>
      <c r="E18" s="584">
        <f t="shared" ref="E18:F18" si="5">D18</f>
        <v>5.8799999999999998E-2</v>
      </c>
      <c r="F18" s="584">
        <f t="shared" si="5"/>
        <v>5.8799999999999998E-2</v>
      </c>
      <c r="G18" s="136"/>
      <c r="J18" s="136"/>
      <c r="K18" s="136"/>
      <c r="L18" s="136"/>
      <c r="M18" s="136"/>
      <c r="N18" s="136"/>
      <c r="O18" s="136"/>
      <c r="P18" s="136"/>
      <c r="Q18" s="136"/>
      <c r="R18" s="359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</row>
    <row r="19" spans="2:34" s="206" customFormat="1" ht="6" customHeight="1" thickBot="1">
      <c r="B19" s="585"/>
      <c r="C19" s="586"/>
      <c r="D19" s="474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359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</row>
    <row r="20" spans="2:34" s="206" customFormat="1" ht="23.25" customHeight="1" thickBot="1">
      <c r="B20" s="585" t="s">
        <v>562</v>
      </c>
      <c r="C20" s="584">
        <v>0.9</v>
      </c>
      <c r="D20" s="584">
        <v>1</v>
      </c>
      <c r="E20" s="584">
        <v>1</v>
      </c>
      <c r="F20" s="584">
        <v>1</v>
      </c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359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</row>
    <row r="21" spans="2:34" s="206" customFormat="1" ht="6" customHeight="1">
      <c r="B21" s="585"/>
      <c r="C21" s="586"/>
      <c r="D21" s="474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359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</row>
    <row r="22" spans="2:34" s="206" customFormat="1" ht="6" customHeight="1"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359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</row>
    <row r="23" spans="2:34" s="206" customFormat="1" ht="21" customHeight="1">
      <c r="B23" s="359"/>
      <c r="C23" s="1604" t="s">
        <v>589</v>
      </c>
      <c r="D23" s="1604"/>
      <c r="E23" s="1604"/>
      <c r="F23" s="1604"/>
      <c r="G23" s="1604"/>
      <c r="H23" s="1604"/>
      <c r="I23" s="1604"/>
      <c r="J23" s="1604"/>
      <c r="K23" s="136"/>
      <c r="L23" s="136"/>
      <c r="M23" s="136"/>
      <c r="N23" s="136"/>
      <c r="O23" s="136"/>
      <c r="P23" s="136"/>
      <c r="Q23" s="136"/>
      <c r="R23" s="359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</row>
    <row r="24" spans="2:34" s="206" customFormat="1" ht="21" customHeight="1">
      <c r="B24" s="359" t="s">
        <v>511</v>
      </c>
      <c r="C24" s="1604"/>
      <c r="D24" s="1604"/>
      <c r="E24" s="1604"/>
      <c r="F24" s="1604"/>
      <c r="G24" s="1604"/>
      <c r="H24" s="1604"/>
      <c r="I24" s="1604"/>
      <c r="J24" s="1604"/>
      <c r="K24" s="136"/>
      <c r="L24" s="136"/>
      <c r="M24" s="136"/>
      <c r="N24" s="136"/>
      <c r="O24" s="136"/>
      <c r="P24" s="136"/>
      <c r="Q24" s="136"/>
      <c r="R24" s="359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</row>
    <row r="25" spans="2:34" s="206" customFormat="1" ht="21" customHeight="1">
      <c r="B25" s="359"/>
      <c r="C25" s="473"/>
      <c r="D25" s="474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359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</row>
    <row r="26" spans="2:34" s="206" customFormat="1" ht="21" customHeight="1"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</row>
    <row r="27" spans="2:34" s="206" customFormat="1" ht="21" customHeight="1">
      <c r="B27" s="349" t="s">
        <v>267</v>
      </c>
      <c r="C27" s="351">
        <v>0.98980000000000001</v>
      </c>
      <c r="D27" s="355">
        <f>(1-C27)</f>
        <v>1.0199999999999987E-2</v>
      </c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</row>
    <row r="28" spans="2:34" s="206" customFormat="1" ht="21" customHeight="1">
      <c r="B28" s="350" t="s">
        <v>265</v>
      </c>
      <c r="C28" s="352">
        <v>0.88</v>
      </c>
      <c r="D28" s="353">
        <f>'8 R1 RH'!J34</f>
        <v>22974264.289999995</v>
      </c>
      <c r="E28" s="353">
        <v>23813085.359999999</v>
      </c>
      <c r="F28" s="353">
        <f>E28-D28</f>
        <v>838821.07000000402</v>
      </c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9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</row>
    <row r="29" spans="2:34" s="206" customFormat="1" ht="21">
      <c r="B29" s="350" t="s">
        <v>266</v>
      </c>
      <c r="C29" s="352">
        <v>1</v>
      </c>
      <c r="D29" s="353">
        <f>'9 R1 EE'!W37</f>
        <v>14615965.937531685</v>
      </c>
      <c r="E29" s="353">
        <v>10129922.249374423</v>
      </c>
      <c r="F29" s="353">
        <f>E29-D29</f>
        <v>-4486043.6881572623</v>
      </c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8"/>
      <c r="AB29" s="208"/>
      <c r="AC29" s="208"/>
      <c r="AD29" s="208"/>
      <c r="AE29" s="208"/>
      <c r="AF29" s="208"/>
      <c r="AG29" s="208"/>
    </row>
    <row r="30" spans="2:34" s="206" customFormat="1" ht="21">
      <c r="B30" s="350" t="s">
        <v>171</v>
      </c>
      <c r="C30" s="352">
        <v>0.8</v>
      </c>
      <c r="D30" s="353">
        <f>'16 R1 OPEX'!F35+'16 R1 OPEX'!I35</f>
        <v>15711936.01336449</v>
      </c>
      <c r="E30" s="353">
        <v>19639920.01670561</v>
      </c>
      <c r="F30" s="353">
        <f>E30-D30</f>
        <v>3927984.0033411197</v>
      </c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8"/>
    </row>
    <row r="31" spans="2:34" s="206" customFormat="1" ht="12">
      <c r="C31" s="207"/>
      <c r="D31" s="353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8"/>
    </row>
    <row r="32" spans="2:34" s="206" customFormat="1" ht="12">
      <c r="C32" s="207"/>
      <c r="D32" s="207"/>
      <c r="E32" s="207"/>
      <c r="F32" s="354">
        <f>SUM(F28:F31)</f>
        <v>280761.38518386148</v>
      </c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8"/>
      <c r="AH32" s="207"/>
    </row>
    <row r="33" spans="2:33" s="206" customFormat="1" ht="12"/>
    <row r="34" spans="2:33" s="206" customFormat="1" ht="12">
      <c r="B34" s="210"/>
      <c r="C34" s="211"/>
    </row>
    <row r="35" spans="2:33" s="206" customFormat="1" ht="12">
      <c r="B35" s="210"/>
      <c r="C35" s="211"/>
    </row>
    <row r="36" spans="2:33" s="206" customFormat="1" ht="12"/>
    <row r="37" spans="2:33" s="206" customFormat="1" ht="12">
      <c r="B37" s="212"/>
      <c r="C37" s="211"/>
    </row>
    <row r="38" spans="2:33" s="206" customFormat="1" ht="12">
      <c r="B38" s="212"/>
      <c r="C38" s="211"/>
    </row>
    <row r="39" spans="2:33" s="206" customFormat="1" ht="12">
      <c r="C39" s="213"/>
    </row>
    <row r="40" spans="2:33"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5"/>
    </row>
    <row r="41" spans="2:33" s="204" customFormat="1"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5"/>
    </row>
    <row r="42" spans="2:33"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</row>
    <row r="43" spans="2:33">
      <c r="AG43" s="215"/>
    </row>
    <row r="44" spans="2:33">
      <c r="B44" s="217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5"/>
    </row>
    <row r="45" spans="2:33"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</row>
    <row r="46" spans="2:33"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</row>
    <row r="47" spans="2:33" s="206" customFormat="1" ht="12">
      <c r="AG47" s="215"/>
    </row>
    <row r="48" spans="2:33" s="206" customFormat="1" ht="12"/>
    <row r="49" spans="3:33" s="206" customFormat="1" ht="12"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3"/>
    </row>
    <row r="50" spans="3:33" s="206" customFormat="1" ht="12"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3"/>
    </row>
    <row r="51" spans="3:33" s="206" customFormat="1" ht="12"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</row>
    <row r="52" spans="3:33" s="206" customFormat="1" ht="12"/>
    <row r="53" spans="3:33" s="206" customFormat="1" ht="12"/>
    <row r="54" spans="3:33" s="206" customFormat="1" ht="12"/>
  </sheetData>
  <mergeCells count="2">
    <mergeCell ref="AC1:AG1"/>
    <mergeCell ref="C23:J24"/>
  </mergeCells>
  <printOptions horizontalCentered="1"/>
  <pageMargins left="0.98425196850393704" right="0.59055118110236227" top="2.7559055118110236" bottom="0.98425196850393704" header="0.39370078740157483" footer="0.39370078740157483"/>
  <pageSetup paperSize="9" scale="61" fitToWidth="3" orientation="landscape" r:id="rId1"/>
  <headerFooter alignWithMargins="0"/>
  <colBreaks count="2" manualBreakCount="2">
    <brk id="12" max="1048575" man="1"/>
    <brk id="22" max="104857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7030A0"/>
    <pageSetUpPr fitToPage="1"/>
  </sheetPr>
  <dimension ref="A1:M38"/>
  <sheetViews>
    <sheetView showGridLines="0" zoomScale="80" zoomScaleNormal="80" workbookViewId="0">
      <selection activeCell="B20" sqref="B20"/>
    </sheetView>
  </sheetViews>
  <sheetFormatPr defaultColWidth="11.5703125" defaultRowHeight="12.75"/>
  <cols>
    <col min="1" max="1" width="2.7109375" style="23" customWidth="1"/>
    <col min="2" max="2" width="7.28515625" style="47" customWidth="1"/>
    <col min="3" max="5" width="11.85546875" style="47" customWidth="1"/>
    <col min="6" max="6" width="6.5703125" style="47" customWidth="1"/>
    <col min="7" max="7" width="11.85546875" style="47" customWidth="1"/>
    <col min="8" max="8" width="6.5703125" style="47" customWidth="1"/>
    <col min="9" max="9" width="11.85546875" style="47" customWidth="1"/>
    <col min="10" max="10" width="6.5703125" style="47" customWidth="1"/>
    <col min="11" max="11" width="11.85546875" style="47" customWidth="1"/>
    <col min="12" max="12" width="2.7109375" style="47" customWidth="1"/>
    <col min="13" max="13" width="10" style="47" customWidth="1"/>
    <col min="14" max="16384" width="11.5703125" style="47"/>
  </cols>
  <sheetData>
    <row r="1" spans="1:13" s="42" customFormat="1" ht="30" customHeight="1" thickBot="1">
      <c r="A1" s="40"/>
      <c r="B1" s="359" t="s">
        <v>42</v>
      </c>
      <c r="C1" s="41"/>
      <c r="D1" s="359"/>
      <c r="E1" s="359"/>
      <c r="F1" s="359"/>
      <c r="G1" s="359"/>
      <c r="H1" s="359"/>
      <c r="I1" s="359"/>
      <c r="J1" s="41"/>
      <c r="K1" s="359"/>
    </row>
    <row r="2" spans="1:13" ht="16.149999999999999" customHeight="1" thickBot="1">
      <c r="B2" s="43"/>
      <c r="C2" s="1605" t="s">
        <v>53</v>
      </c>
      <c r="D2" s="1606"/>
      <c r="E2" s="1606"/>
      <c r="F2" s="44" t="s">
        <v>54</v>
      </c>
      <c r="G2" s="45"/>
      <c r="H2" s="45"/>
      <c r="I2" s="45"/>
      <c r="J2" s="45"/>
      <c r="K2" s="46"/>
    </row>
    <row r="3" spans="1:13" ht="20.25" customHeight="1" thickBot="1">
      <c r="B3" s="361" t="s">
        <v>1</v>
      </c>
      <c r="C3" s="48" t="s">
        <v>23</v>
      </c>
      <c r="D3" s="48" t="s">
        <v>24</v>
      </c>
      <c r="E3" s="362" t="s">
        <v>0</v>
      </c>
      <c r="F3" s="49" t="s">
        <v>25</v>
      </c>
      <c r="G3" s="50" t="s">
        <v>26</v>
      </c>
      <c r="H3" s="49" t="s">
        <v>25</v>
      </c>
      <c r="I3" s="51" t="s">
        <v>27</v>
      </c>
      <c r="J3" s="49" t="s">
        <v>25</v>
      </c>
      <c r="K3" s="52" t="s">
        <v>28</v>
      </c>
      <c r="L3" s="53"/>
      <c r="M3" s="53"/>
    </row>
    <row r="4" spans="1:13" s="63" customFormat="1" ht="20.25" hidden="1" customHeight="1" thickTop="1">
      <c r="A4" s="54">
        <v>2009</v>
      </c>
      <c r="B4" s="55">
        <v>0</v>
      </c>
      <c r="C4" s="56"/>
      <c r="D4" s="57"/>
      <c r="E4" s="58"/>
      <c r="F4" s="59"/>
      <c r="G4" s="60"/>
      <c r="H4" s="61"/>
      <c r="I4" s="60"/>
      <c r="J4" s="61"/>
      <c r="K4" s="62"/>
    </row>
    <row r="5" spans="1:13" ht="20.25" customHeight="1">
      <c r="A5" s="64"/>
      <c r="B5" s="65">
        <v>1</v>
      </c>
      <c r="C5" s="66">
        <v>5288</v>
      </c>
      <c r="D5" s="66">
        <v>12258</v>
      </c>
      <c r="E5" s="66">
        <v>17546</v>
      </c>
      <c r="F5" s="67">
        <v>1</v>
      </c>
      <c r="G5" s="68">
        <v>13398.055491990846</v>
      </c>
      <c r="H5" s="534">
        <v>0.56000000000000005</v>
      </c>
      <c r="I5" s="535">
        <f>G5*H5</f>
        <v>7502.9110755148749</v>
      </c>
      <c r="J5" s="69">
        <v>0</v>
      </c>
      <c r="K5" s="70"/>
      <c r="L5" s="71"/>
      <c r="M5" s="72"/>
    </row>
    <row r="6" spans="1:13" ht="20.25" customHeight="1">
      <c r="A6" s="64"/>
      <c r="B6" s="65">
        <v>2</v>
      </c>
      <c r="C6" s="66">
        <v>5297</v>
      </c>
      <c r="D6" s="66">
        <v>12280</v>
      </c>
      <c r="E6" s="66">
        <v>17577</v>
      </c>
      <c r="F6" s="67">
        <v>1</v>
      </c>
      <c r="G6" s="68">
        <v>13421.610983981693</v>
      </c>
      <c r="H6" s="534">
        <v>0.56000000000000005</v>
      </c>
      <c r="I6" s="535">
        <f>G6*H6</f>
        <v>7516.1021510297487</v>
      </c>
      <c r="J6" s="69">
        <v>0</v>
      </c>
      <c r="K6" s="70"/>
      <c r="L6" s="71"/>
      <c r="M6" s="72"/>
    </row>
    <row r="7" spans="1:13" ht="20.25" customHeight="1">
      <c r="A7" s="64"/>
      <c r="B7" s="65">
        <v>3</v>
      </c>
      <c r="C7" s="66">
        <v>5306</v>
      </c>
      <c r="D7" s="66">
        <v>12302</v>
      </c>
      <c r="E7" s="66">
        <v>17608</v>
      </c>
      <c r="F7" s="67">
        <v>1</v>
      </c>
      <c r="G7" s="68">
        <v>13445.166475972539</v>
      </c>
      <c r="H7" s="534">
        <v>0.56000000000000005</v>
      </c>
      <c r="I7" s="535">
        <f t="shared" ref="I7:I33" si="0">G7*H7</f>
        <v>7529.2932265446225</v>
      </c>
      <c r="J7" s="69">
        <v>0</v>
      </c>
      <c r="K7" s="70"/>
      <c r="L7" s="71"/>
      <c r="M7" s="71"/>
    </row>
    <row r="8" spans="1:13" s="72" customFormat="1" ht="20.25" customHeight="1">
      <c r="A8" s="64"/>
      <c r="B8" s="65">
        <v>4</v>
      </c>
      <c r="C8" s="66">
        <v>5317</v>
      </c>
      <c r="D8" s="66">
        <v>12322</v>
      </c>
      <c r="E8" s="66">
        <v>17639</v>
      </c>
      <c r="F8" s="67">
        <v>1</v>
      </c>
      <c r="G8" s="68">
        <v>13469.398741418765</v>
      </c>
      <c r="H8" s="887">
        <v>0.56000000000000005</v>
      </c>
      <c r="I8" s="888">
        <f t="shared" si="0"/>
        <v>7542.8632951945092</v>
      </c>
      <c r="J8" s="69">
        <v>0</v>
      </c>
      <c r="K8" s="70"/>
    </row>
    <row r="9" spans="1:13" ht="20.25" customHeight="1">
      <c r="A9" s="64"/>
      <c r="B9" s="65">
        <v>5</v>
      </c>
      <c r="C9" s="66">
        <v>5326</v>
      </c>
      <c r="D9" s="66">
        <v>12342</v>
      </c>
      <c r="E9" s="66">
        <v>17668</v>
      </c>
      <c r="F9" s="67">
        <v>1</v>
      </c>
      <c r="G9" s="68">
        <v>13491.631006864987</v>
      </c>
      <c r="H9" s="887">
        <v>0.56000000000000005</v>
      </c>
      <c r="I9" s="888">
        <f t="shared" si="0"/>
        <v>7555.3133638443933</v>
      </c>
      <c r="J9" s="887">
        <v>0.4</v>
      </c>
      <c r="K9" s="889">
        <f>J9*I9</f>
        <v>3022.1253455377573</v>
      </c>
      <c r="L9" s="71"/>
    </row>
    <row r="10" spans="1:13" ht="20.25" customHeight="1">
      <c r="A10" s="64"/>
      <c r="B10" s="65">
        <v>6</v>
      </c>
      <c r="C10" s="66">
        <v>5335</v>
      </c>
      <c r="D10" s="66">
        <v>12363</v>
      </c>
      <c r="E10" s="66">
        <v>17698</v>
      </c>
      <c r="F10" s="67">
        <v>1</v>
      </c>
      <c r="G10" s="68">
        <v>13514.524885583523</v>
      </c>
      <c r="H10" s="887">
        <v>0.57999999999999996</v>
      </c>
      <c r="I10" s="888">
        <f t="shared" si="0"/>
        <v>7838.4244336384427</v>
      </c>
      <c r="J10" s="887">
        <v>0.57999999999999996</v>
      </c>
      <c r="K10" s="889">
        <f t="shared" ref="K10:K33" si="1">J10*I10</f>
        <v>4546.2861715102963</v>
      </c>
    </row>
    <row r="11" spans="1:13" ht="20.25" customHeight="1">
      <c r="A11" s="64"/>
      <c r="B11" s="65">
        <v>7</v>
      </c>
      <c r="C11" s="66">
        <v>5343</v>
      </c>
      <c r="D11" s="66">
        <v>12382</v>
      </c>
      <c r="E11" s="66">
        <v>17725</v>
      </c>
      <c r="F11" s="67">
        <v>1</v>
      </c>
      <c r="G11" s="68">
        <v>13535.095537757437</v>
      </c>
      <c r="H11" s="887">
        <v>0.68</v>
      </c>
      <c r="I11" s="888">
        <f t="shared" si="0"/>
        <v>9203.8649656750586</v>
      </c>
      <c r="J11" s="887">
        <v>0.68</v>
      </c>
      <c r="K11" s="889">
        <f t="shared" si="1"/>
        <v>6258.62817665904</v>
      </c>
    </row>
    <row r="12" spans="1:13" s="72" customFormat="1" ht="20.25" customHeight="1">
      <c r="A12" s="64"/>
      <c r="B12" s="65">
        <v>8</v>
      </c>
      <c r="C12" s="66">
        <v>5351</v>
      </c>
      <c r="D12" s="66">
        <v>12401</v>
      </c>
      <c r="E12" s="66">
        <v>17752</v>
      </c>
      <c r="F12" s="67">
        <v>1</v>
      </c>
      <c r="G12" s="68">
        <v>13555.666189931349</v>
      </c>
      <c r="H12" s="887">
        <v>0.72</v>
      </c>
      <c r="I12" s="888">
        <f t="shared" si="0"/>
        <v>9760.0796567505713</v>
      </c>
      <c r="J12" s="887">
        <v>0.72</v>
      </c>
      <c r="K12" s="889">
        <f t="shared" si="1"/>
        <v>7027.2573528604107</v>
      </c>
    </row>
    <row r="13" spans="1:13" s="72" customFormat="1" ht="20.25" customHeight="1">
      <c r="A13" s="64"/>
      <c r="B13" s="65">
        <v>9</v>
      </c>
      <c r="C13" s="66">
        <v>5359</v>
      </c>
      <c r="D13" s="66">
        <v>12420</v>
      </c>
      <c r="E13" s="66">
        <v>17779</v>
      </c>
      <c r="F13" s="67">
        <v>1</v>
      </c>
      <c r="G13" s="68">
        <v>13576.236842105263</v>
      </c>
      <c r="H13" s="887">
        <v>0.75</v>
      </c>
      <c r="I13" s="888">
        <f t="shared" si="0"/>
        <v>10182.177631578947</v>
      </c>
      <c r="J13" s="887">
        <v>0.75</v>
      </c>
      <c r="K13" s="889">
        <f t="shared" si="1"/>
        <v>7636.63322368421</v>
      </c>
    </row>
    <row r="14" spans="1:13" ht="20.25" customHeight="1">
      <c r="A14" s="64"/>
      <c r="B14" s="65">
        <v>10</v>
      </c>
      <c r="C14" s="66">
        <v>5368</v>
      </c>
      <c r="D14" s="66">
        <v>12439</v>
      </c>
      <c r="E14" s="66">
        <v>17807</v>
      </c>
      <c r="F14" s="67">
        <v>1</v>
      </c>
      <c r="G14" s="68">
        <v>13597.807494279175</v>
      </c>
      <c r="H14" s="887">
        <v>0.79</v>
      </c>
      <c r="I14" s="888">
        <f t="shared" si="0"/>
        <v>10742.26792048055</v>
      </c>
      <c r="J14" s="887">
        <v>0.79</v>
      </c>
      <c r="K14" s="889">
        <f t="shared" si="1"/>
        <v>8486.3916571796344</v>
      </c>
    </row>
    <row r="15" spans="1:13" ht="20.25" customHeight="1">
      <c r="A15" s="64"/>
      <c r="B15" s="65">
        <v>11</v>
      </c>
      <c r="C15" s="66">
        <v>5376</v>
      </c>
      <c r="D15" s="66">
        <v>12459</v>
      </c>
      <c r="E15" s="66">
        <v>17835</v>
      </c>
      <c r="F15" s="67">
        <v>1</v>
      </c>
      <c r="G15" s="68">
        <v>13619.0397597254</v>
      </c>
      <c r="H15" s="887">
        <v>0.87</v>
      </c>
      <c r="I15" s="888">
        <f t="shared" si="0"/>
        <v>11848.564590961098</v>
      </c>
      <c r="J15" s="887">
        <v>0.87</v>
      </c>
      <c r="K15" s="889">
        <f t="shared" si="1"/>
        <v>10308.251194136155</v>
      </c>
    </row>
    <row r="16" spans="1:13" ht="20.25" customHeight="1">
      <c r="A16" s="64"/>
      <c r="B16" s="65">
        <v>12</v>
      </c>
      <c r="C16" s="66">
        <v>5383</v>
      </c>
      <c r="D16" s="66">
        <v>12478</v>
      </c>
      <c r="E16" s="66">
        <v>17861</v>
      </c>
      <c r="F16" s="67">
        <v>1</v>
      </c>
      <c r="G16" s="68">
        <v>13638.610411899313</v>
      </c>
      <c r="H16" s="69">
        <v>1</v>
      </c>
      <c r="I16" s="68">
        <f t="shared" si="0"/>
        <v>13638.610411899313</v>
      </c>
      <c r="J16" s="69">
        <v>1</v>
      </c>
      <c r="K16" s="70">
        <f t="shared" si="1"/>
        <v>13638.610411899313</v>
      </c>
    </row>
    <row r="17" spans="1:11" ht="20.25" customHeight="1">
      <c r="A17" s="64"/>
      <c r="B17" s="65">
        <v>13</v>
      </c>
      <c r="C17" s="66">
        <v>5390</v>
      </c>
      <c r="D17" s="66">
        <v>12497</v>
      </c>
      <c r="E17" s="66">
        <v>17887</v>
      </c>
      <c r="F17" s="67">
        <v>1</v>
      </c>
      <c r="G17" s="68">
        <v>13658.181064073226</v>
      </c>
      <c r="H17" s="69">
        <v>1</v>
      </c>
      <c r="I17" s="68">
        <f t="shared" si="0"/>
        <v>13658.181064073226</v>
      </c>
      <c r="J17" s="69">
        <v>1</v>
      </c>
      <c r="K17" s="70">
        <f t="shared" si="1"/>
        <v>13658.181064073226</v>
      </c>
    </row>
    <row r="18" spans="1:11" ht="20.25" customHeight="1">
      <c r="A18" s="64"/>
      <c r="B18" s="65">
        <v>14</v>
      </c>
      <c r="C18" s="66">
        <v>5397</v>
      </c>
      <c r="D18" s="66">
        <v>12516</v>
      </c>
      <c r="E18" s="66">
        <v>17913</v>
      </c>
      <c r="F18" s="67">
        <v>1</v>
      </c>
      <c r="G18" s="68">
        <v>13677.751716247139</v>
      </c>
      <c r="H18" s="69">
        <v>1</v>
      </c>
      <c r="I18" s="68">
        <f t="shared" si="0"/>
        <v>13677.751716247139</v>
      </c>
      <c r="J18" s="69">
        <v>1</v>
      </c>
      <c r="K18" s="70">
        <f t="shared" si="1"/>
        <v>13677.751716247139</v>
      </c>
    </row>
    <row r="19" spans="1:11" ht="20.25" customHeight="1">
      <c r="A19" s="64"/>
      <c r="B19" s="65">
        <v>15</v>
      </c>
      <c r="C19" s="66">
        <v>5404</v>
      </c>
      <c r="D19" s="66">
        <v>12535</v>
      </c>
      <c r="E19" s="66">
        <v>17939</v>
      </c>
      <c r="F19" s="67">
        <v>1</v>
      </c>
      <c r="G19" s="68">
        <v>13697.322368421053</v>
      </c>
      <c r="H19" s="69">
        <v>1</v>
      </c>
      <c r="I19" s="68">
        <f t="shared" si="0"/>
        <v>13697.322368421053</v>
      </c>
      <c r="J19" s="69">
        <v>1</v>
      </c>
      <c r="K19" s="70">
        <f t="shared" si="1"/>
        <v>13697.322368421053</v>
      </c>
    </row>
    <row r="20" spans="1:11" ht="20.25" customHeight="1">
      <c r="A20" s="64"/>
      <c r="B20" s="65">
        <v>16</v>
      </c>
      <c r="C20" s="66">
        <v>5413</v>
      </c>
      <c r="D20" s="66">
        <v>12545</v>
      </c>
      <c r="E20" s="66">
        <v>17958</v>
      </c>
      <c r="F20" s="67">
        <v>1</v>
      </c>
      <c r="G20" s="68">
        <v>13712.938501144165</v>
      </c>
      <c r="H20" s="69">
        <v>1</v>
      </c>
      <c r="I20" s="68">
        <f t="shared" si="0"/>
        <v>13712.938501144165</v>
      </c>
      <c r="J20" s="69">
        <v>1</v>
      </c>
      <c r="K20" s="70">
        <f t="shared" si="1"/>
        <v>13712.938501144165</v>
      </c>
    </row>
    <row r="21" spans="1:11" ht="20.25" customHeight="1">
      <c r="A21" s="64"/>
      <c r="B21" s="65">
        <v>17</v>
      </c>
      <c r="C21" s="66">
        <v>5419</v>
      </c>
      <c r="D21" s="66">
        <v>12560</v>
      </c>
      <c r="E21" s="66">
        <v>17979</v>
      </c>
      <c r="F21" s="67">
        <v>1</v>
      </c>
      <c r="G21" s="68">
        <v>13728.862700228832</v>
      </c>
      <c r="H21" s="69">
        <v>1</v>
      </c>
      <c r="I21" s="68">
        <f t="shared" si="0"/>
        <v>13728.862700228832</v>
      </c>
      <c r="J21" s="69">
        <v>1</v>
      </c>
      <c r="K21" s="70">
        <f t="shared" si="1"/>
        <v>13728.862700228832</v>
      </c>
    </row>
    <row r="22" spans="1:11" ht="20.25" customHeight="1">
      <c r="A22" s="64"/>
      <c r="B22" s="65">
        <v>18</v>
      </c>
      <c r="C22" s="66">
        <v>5425</v>
      </c>
      <c r="D22" s="66">
        <v>12575</v>
      </c>
      <c r="E22" s="66">
        <v>18000</v>
      </c>
      <c r="F22" s="67">
        <v>1</v>
      </c>
      <c r="G22" s="68">
        <v>13744.786899313502</v>
      </c>
      <c r="H22" s="69">
        <v>1</v>
      </c>
      <c r="I22" s="68">
        <f t="shared" si="0"/>
        <v>13744.786899313502</v>
      </c>
      <c r="J22" s="69">
        <v>1</v>
      </c>
      <c r="K22" s="70">
        <f t="shared" si="1"/>
        <v>13744.786899313502</v>
      </c>
    </row>
    <row r="23" spans="1:11" ht="20.25" customHeight="1">
      <c r="A23" s="64"/>
      <c r="B23" s="65">
        <v>19</v>
      </c>
      <c r="C23" s="66">
        <v>5431</v>
      </c>
      <c r="D23" s="66">
        <v>12590</v>
      </c>
      <c r="E23" s="66">
        <v>18021</v>
      </c>
      <c r="F23" s="67">
        <v>1</v>
      </c>
      <c r="G23" s="68">
        <v>13760.711098398169</v>
      </c>
      <c r="H23" s="69">
        <v>1</v>
      </c>
      <c r="I23" s="68">
        <f t="shared" si="0"/>
        <v>13760.711098398169</v>
      </c>
      <c r="J23" s="69">
        <v>1</v>
      </c>
      <c r="K23" s="70">
        <f t="shared" si="1"/>
        <v>13760.711098398169</v>
      </c>
    </row>
    <row r="24" spans="1:11" ht="20.25" customHeight="1">
      <c r="A24" s="64"/>
      <c r="B24" s="65">
        <v>20</v>
      </c>
      <c r="C24" s="66">
        <v>5437</v>
      </c>
      <c r="D24" s="66">
        <v>12605</v>
      </c>
      <c r="E24" s="66">
        <v>18042</v>
      </c>
      <c r="F24" s="67">
        <v>1</v>
      </c>
      <c r="G24" s="68">
        <v>13776.635297482837</v>
      </c>
      <c r="H24" s="69">
        <v>1</v>
      </c>
      <c r="I24" s="68">
        <f t="shared" si="0"/>
        <v>13776.635297482837</v>
      </c>
      <c r="J24" s="69">
        <v>1</v>
      </c>
      <c r="K24" s="70">
        <f t="shared" si="1"/>
        <v>13776.635297482837</v>
      </c>
    </row>
    <row r="25" spans="1:11" ht="20.25" customHeight="1">
      <c r="A25" s="64"/>
      <c r="B25" s="65">
        <v>21</v>
      </c>
      <c r="C25" s="66">
        <v>5446</v>
      </c>
      <c r="D25" s="66">
        <v>12621</v>
      </c>
      <c r="E25" s="66">
        <v>18067</v>
      </c>
      <c r="F25" s="67">
        <v>1</v>
      </c>
      <c r="G25" s="68">
        <v>13796.221109839817</v>
      </c>
      <c r="H25" s="69">
        <v>1</v>
      </c>
      <c r="I25" s="68">
        <f t="shared" si="0"/>
        <v>13796.221109839817</v>
      </c>
      <c r="J25" s="69">
        <v>1</v>
      </c>
      <c r="K25" s="70">
        <f t="shared" si="1"/>
        <v>13796.221109839817</v>
      </c>
    </row>
    <row r="26" spans="1:11" ht="20.25" customHeight="1">
      <c r="A26" s="64"/>
      <c r="B26" s="65">
        <v>22</v>
      </c>
      <c r="C26" s="66">
        <v>5451</v>
      </c>
      <c r="D26" s="66">
        <v>12634</v>
      </c>
      <c r="E26" s="66">
        <v>18085</v>
      </c>
      <c r="F26" s="67">
        <v>1</v>
      </c>
      <c r="G26" s="68">
        <v>13809.822082379862</v>
      </c>
      <c r="H26" s="69">
        <v>1</v>
      </c>
      <c r="I26" s="68">
        <f t="shared" si="0"/>
        <v>13809.822082379862</v>
      </c>
      <c r="J26" s="69">
        <v>1</v>
      </c>
      <c r="K26" s="70">
        <f t="shared" si="1"/>
        <v>13809.822082379862</v>
      </c>
    </row>
    <row r="27" spans="1:11" s="72" customFormat="1" ht="20.25" customHeight="1">
      <c r="A27" s="64"/>
      <c r="B27" s="65">
        <v>23</v>
      </c>
      <c r="C27" s="66">
        <v>5456</v>
      </c>
      <c r="D27" s="66">
        <v>12647</v>
      </c>
      <c r="E27" s="66">
        <v>18103</v>
      </c>
      <c r="F27" s="67">
        <v>1</v>
      </c>
      <c r="G27" s="68">
        <v>13823.423054919909</v>
      </c>
      <c r="H27" s="69">
        <v>1</v>
      </c>
      <c r="I27" s="68">
        <f t="shared" si="0"/>
        <v>13823.423054919909</v>
      </c>
      <c r="J27" s="69">
        <v>1</v>
      </c>
      <c r="K27" s="70">
        <f t="shared" si="1"/>
        <v>13823.423054919909</v>
      </c>
    </row>
    <row r="28" spans="1:11" s="72" customFormat="1" ht="20.25" customHeight="1">
      <c r="A28" s="64"/>
      <c r="B28" s="65">
        <v>24</v>
      </c>
      <c r="C28" s="66">
        <v>5461</v>
      </c>
      <c r="D28" s="66">
        <v>12660</v>
      </c>
      <c r="E28" s="66">
        <v>18121</v>
      </c>
      <c r="F28" s="67">
        <v>1</v>
      </c>
      <c r="G28" s="68">
        <v>13837.024027459955</v>
      </c>
      <c r="H28" s="69">
        <v>1</v>
      </c>
      <c r="I28" s="68">
        <f t="shared" si="0"/>
        <v>13837.024027459955</v>
      </c>
      <c r="J28" s="69">
        <v>1</v>
      </c>
      <c r="K28" s="70">
        <f t="shared" si="1"/>
        <v>13837.024027459955</v>
      </c>
    </row>
    <row r="29" spans="1:11" ht="20.25" customHeight="1">
      <c r="A29" s="64"/>
      <c r="B29" s="65">
        <v>25</v>
      </c>
      <c r="C29" s="66">
        <v>5466</v>
      </c>
      <c r="D29" s="66">
        <v>12673</v>
      </c>
      <c r="E29" s="66">
        <v>18139</v>
      </c>
      <c r="F29" s="67">
        <v>1</v>
      </c>
      <c r="G29" s="68">
        <v>13850.625</v>
      </c>
      <c r="H29" s="69">
        <v>1</v>
      </c>
      <c r="I29" s="68">
        <f t="shared" si="0"/>
        <v>13850.625</v>
      </c>
      <c r="J29" s="69">
        <v>1</v>
      </c>
      <c r="K29" s="70">
        <f t="shared" si="1"/>
        <v>13850.625</v>
      </c>
    </row>
    <row r="30" spans="1:11" s="72" customFormat="1" ht="20.25" customHeight="1">
      <c r="A30" s="64"/>
      <c r="B30" s="65">
        <v>26</v>
      </c>
      <c r="C30" s="66">
        <v>5475</v>
      </c>
      <c r="D30" s="66">
        <v>12689</v>
      </c>
      <c r="E30" s="66">
        <v>18164</v>
      </c>
      <c r="F30" s="67">
        <v>1</v>
      </c>
      <c r="G30" s="68">
        <v>13870.21081235698</v>
      </c>
      <c r="H30" s="69">
        <v>1</v>
      </c>
      <c r="I30" s="68">
        <f t="shared" si="0"/>
        <v>13870.21081235698</v>
      </c>
      <c r="J30" s="69">
        <v>1</v>
      </c>
      <c r="K30" s="70">
        <f t="shared" si="1"/>
        <v>13870.21081235698</v>
      </c>
    </row>
    <row r="31" spans="1:11" s="72" customFormat="1" ht="20.25" customHeight="1">
      <c r="A31" s="64"/>
      <c r="B31" s="65">
        <v>27</v>
      </c>
      <c r="C31" s="66">
        <v>5480</v>
      </c>
      <c r="D31" s="66">
        <v>12703</v>
      </c>
      <c r="E31" s="66">
        <v>18183</v>
      </c>
      <c r="F31" s="67">
        <v>1</v>
      </c>
      <c r="G31" s="68">
        <v>13884.473398169337</v>
      </c>
      <c r="H31" s="69">
        <v>1</v>
      </c>
      <c r="I31" s="68">
        <f t="shared" si="0"/>
        <v>13884.473398169337</v>
      </c>
      <c r="J31" s="69">
        <v>1</v>
      </c>
      <c r="K31" s="70">
        <f t="shared" si="1"/>
        <v>13884.473398169337</v>
      </c>
    </row>
    <row r="32" spans="1:11" s="72" customFormat="1" ht="20.25" customHeight="1">
      <c r="A32" s="64"/>
      <c r="B32" s="65">
        <v>28</v>
      </c>
      <c r="C32" s="66">
        <v>5486</v>
      </c>
      <c r="D32" s="66">
        <v>12716</v>
      </c>
      <c r="E32" s="66">
        <v>18202</v>
      </c>
      <c r="F32" s="67">
        <v>1</v>
      </c>
      <c r="G32" s="68">
        <v>13899.074370709382</v>
      </c>
      <c r="H32" s="69">
        <v>1</v>
      </c>
      <c r="I32" s="68">
        <f t="shared" si="0"/>
        <v>13899.074370709382</v>
      </c>
      <c r="J32" s="69">
        <v>1</v>
      </c>
      <c r="K32" s="70">
        <f t="shared" si="1"/>
        <v>13899.074370709382</v>
      </c>
    </row>
    <row r="33" spans="1:11" s="72" customFormat="1" ht="20.25" customHeight="1">
      <c r="A33" s="64"/>
      <c r="B33" s="65">
        <v>29</v>
      </c>
      <c r="C33" s="66">
        <v>5492</v>
      </c>
      <c r="D33" s="66">
        <v>12730</v>
      </c>
      <c r="E33" s="66">
        <v>18222</v>
      </c>
      <c r="F33" s="67">
        <v>1</v>
      </c>
      <c r="G33" s="68">
        <v>13914.33695652174</v>
      </c>
      <c r="H33" s="69">
        <v>1</v>
      </c>
      <c r="I33" s="68">
        <f t="shared" si="0"/>
        <v>13914.33695652174</v>
      </c>
      <c r="J33" s="69">
        <v>1</v>
      </c>
      <c r="K33" s="70">
        <f t="shared" si="1"/>
        <v>13914.33695652174</v>
      </c>
    </row>
    <row r="34" spans="1:11" ht="21" customHeight="1" thickBot="1">
      <c r="A34" s="64"/>
      <c r="B34" s="73">
        <v>30</v>
      </c>
      <c r="C34" s="74">
        <v>5495</v>
      </c>
      <c r="D34" s="74">
        <v>12738</v>
      </c>
      <c r="E34" s="74">
        <v>18233</v>
      </c>
      <c r="F34" s="75">
        <v>1</v>
      </c>
      <c r="G34" s="76">
        <v>13922.629862700229</v>
      </c>
      <c r="H34" s="77">
        <v>1</v>
      </c>
      <c r="I34" s="76">
        <f>H34*G34</f>
        <v>13922.629862700229</v>
      </c>
      <c r="J34" s="77">
        <v>1</v>
      </c>
      <c r="K34" s="78">
        <f>J34*I34</f>
        <v>13922.629862700229</v>
      </c>
    </row>
    <row r="35" spans="1:11">
      <c r="D35" s="79"/>
    </row>
    <row r="37" spans="1:11">
      <c r="D37" s="80"/>
    </row>
    <row r="38" spans="1:11">
      <c r="D38" s="80"/>
    </row>
  </sheetData>
  <mergeCells count="1">
    <mergeCell ref="C2:E2"/>
  </mergeCells>
  <phoneticPr fontId="12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7C9F1-6989-41BA-B15A-4981AF706AB8}">
  <sheetPr>
    <tabColor theme="9"/>
    <pageSetUpPr fitToPage="1"/>
  </sheetPr>
  <dimension ref="A1:AZ37"/>
  <sheetViews>
    <sheetView showGridLines="0" topLeftCell="G1" zoomScale="70" zoomScaleNormal="70" workbookViewId="0">
      <selection activeCell="P3" sqref="P3"/>
    </sheetView>
  </sheetViews>
  <sheetFormatPr defaultColWidth="11.5703125" defaultRowHeight="12.75"/>
  <cols>
    <col min="1" max="6" width="11.5703125" style="389"/>
    <col min="7" max="7" width="2.7109375" style="389" customWidth="1"/>
    <col min="8" max="8" width="7.42578125" style="389" customWidth="1"/>
    <col min="9" max="14" width="18.42578125" style="389" customWidth="1"/>
    <col min="15" max="15" width="2.7109375" style="389" customWidth="1"/>
    <col min="16" max="16" width="12.7109375" style="389" customWidth="1"/>
    <col min="17" max="17" width="2.85546875" style="389" customWidth="1"/>
    <col min="18" max="18" width="10" style="400" bestFit="1" customWidth="1"/>
    <col min="19" max="20" width="8.7109375" style="400" customWidth="1"/>
    <col min="21" max="21" width="2.85546875" style="389" customWidth="1"/>
    <col min="22" max="22" width="10.85546875" style="389" bestFit="1" customWidth="1"/>
    <col min="23" max="23" width="12" style="389" customWidth="1"/>
    <col min="24" max="24" width="2.7109375" style="389" customWidth="1"/>
    <col min="25" max="25" width="14.5703125" style="389" customWidth="1"/>
    <col min="26" max="29" width="12.42578125" style="389" bestFit="1" customWidth="1"/>
    <col min="30" max="31" width="10.85546875" style="389" bestFit="1" customWidth="1"/>
    <col min="32" max="52" width="12.42578125" style="389" bestFit="1" customWidth="1"/>
    <col min="53" max="16384" width="11.5703125" style="389"/>
  </cols>
  <sheetData>
    <row r="1" spans="1:52" s="387" customFormat="1" ht="48.75" customHeight="1" thickBot="1">
      <c r="A1" s="1009" t="s">
        <v>512</v>
      </c>
      <c r="B1"/>
      <c r="C1"/>
      <c r="D1"/>
      <c r="E1"/>
      <c r="F1"/>
      <c r="H1" s="1567" t="s">
        <v>49</v>
      </c>
      <c r="I1" s="1567"/>
      <c r="J1" s="1567"/>
      <c r="K1" s="1567"/>
      <c r="L1" s="1567"/>
      <c r="M1" s="1567"/>
      <c r="N1" s="1567"/>
      <c r="O1" s="533"/>
      <c r="P1" s="533"/>
      <c r="Q1" s="533"/>
      <c r="R1" s="551"/>
      <c r="S1" s="551"/>
      <c r="T1" s="551"/>
    </row>
    <row r="2" spans="1:52" ht="21.75" customHeight="1" thickBot="1">
      <c r="A2"/>
      <c r="B2"/>
      <c r="C2"/>
      <c r="D2"/>
      <c r="E2"/>
      <c r="F2"/>
      <c r="H2" s="1568" t="s">
        <v>1</v>
      </c>
      <c r="I2" s="1570" t="s">
        <v>33</v>
      </c>
      <c r="J2" s="1571"/>
      <c r="K2" s="1570" t="s">
        <v>34</v>
      </c>
      <c r="L2" s="1571"/>
      <c r="M2" s="1570" t="s">
        <v>35</v>
      </c>
      <c r="N2" s="1571"/>
      <c r="O2" s="549"/>
      <c r="P2" s="533" t="s">
        <v>709</v>
      </c>
      <c r="Q2" s="549"/>
      <c r="V2" s="389" t="s">
        <v>710</v>
      </c>
    </row>
    <row r="3" spans="1:52" s="396" customFormat="1" ht="45.75" customHeight="1" thickBot="1">
      <c r="A3" s="1011" t="s">
        <v>516</v>
      </c>
      <c r="B3" s="1011" t="s">
        <v>517</v>
      </c>
      <c r="C3" s="1011" t="s">
        <v>518</v>
      </c>
      <c r="D3" s="1011" t="s">
        <v>519</v>
      </c>
      <c r="E3" s="1011" t="s">
        <v>520</v>
      </c>
      <c r="F3" s="1011" t="s">
        <v>521</v>
      </c>
      <c r="H3" s="1569"/>
      <c r="I3" s="1032" t="s">
        <v>22</v>
      </c>
      <c r="J3" s="403" t="s">
        <v>4</v>
      </c>
      <c r="K3" s="403" t="s">
        <v>22</v>
      </c>
      <c r="L3" s="403" t="s">
        <v>4</v>
      </c>
      <c r="M3" s="403" t="s">
        <v>22</v>
      </c>
      <c r="N3" s="403" t="s">
        <v>4</v>
      </c>
      <c r="O3" s="549"/>
      <c r="P3" s="561">
        <f>'E1 BANDEIRA'!B32</f>
        <v>0.46327730985547283</v>
      </c>
      <c r="Q3" s="549"/>
      <c r="R3" s="552"/>
      <c r="S3" s="390">
        <f>'R1 FC'!C29</f>
        <v>1</v>
      </c>
      <c r="T3" s="553"/>
      <c r="U3" s="388" t="s">
        <v>99</v>
      </c>
      <c r="V3" s="556">
        <v>0.29485153234649114</v>
      </c>
      <c r="W3" s="398"/>
      <c r="X3" s="398"/>
      <c r="Y3" s="398"/>
      <c r="Z3" s="398"/>
      <c r="AA3" s="398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</row>
    <row r="4" spans="1:52" ht="20.25" customHeight="1">
      <c r="A4" s="1013">
        <v>43101</v>
      </c>
      <c r="B4" s="1014">
        <v>24073</v>
      </c>
      <c r="C4" s="1014">
        <v>91000</v>
      </c>
      <c r="D4" s="1015">
        <v>55</v>
      </c>
      <c r="E4" s="1016">
        <f t="shared" ref="E4:E11" si="0">B4/(C4*D4/100)</f>
        <v>0.48097902097902095</v>
      </c>
      <c r="F4" s="1017">
        <f t="shared" ref="F4:F11" si="1">0.2725/E4</f>
        <v>0.56655277697004947</v>
      </c>
      <c r="H4" s="404">
        <v>1</v>
      </c>
      <c r="I4" s="1205">
        <v>1192.6491388001104</v>
      </c>
      <c r="J4" s="405">
        <v>549623.26131279115</v>
      </c>
      <c r="K4" s="1206">
        <v>0</v>
      </c>
      <c r="L4" s="1207">
        <f t="shared" ref="L4:L33" si="2">K4*$V$3*1000</f>
        <v>0</v>
      </c>
      <c r="M4" s="406">
        <v>2.8488914177080971</v>
      </c>
      <c r="N4" s="405">
        <f>M4*$P$3*1000</f>
        <v>1319.8267520661514</v>
      </c>
      <c r="O4" s="550"/>
      <c r="P4" s="558">
        <f t="shared" ref="P4:P33" si="3">J4+L4+N4</f>
        <v>550943.08806485729</v>
      </c>
      <c r="Q4" s="550"/>
      <c r="R4" s="398"/>
      <c r="S4" s="398"/>
      <c r="T4" s="398"/>
      <c r="U4" s="397"/>
      <c r="V4" s="397"/>
      <c r="W4" s="398"/>
      <c r="X4" s="398"/>
      <c r="Y4" s="398"/>
      <c r="Z4" s="398"/>
      <c r="AA4" s="398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  <c r="AR4" s="397"/>
      <c r="AS4" s="397"/>
      <c r="AT4" s="397"/>
      <c r="AU4" s="397"/>
      <c r="AV4" s="397"/>
      <c r="AW4" s="397"/>
      <c r="AX4" s="397"/>
      <c r="AY4" s="397"/>
      <c r="AZ4" s="397"/>
    </row>
    <row r="5" spans="1:52" ht="20.25" customHeight="1">
      <c r="A5" s="1013">
        <v>43132</v>
      </c>
      <c r="B5" s="1014">
        <v>23987</v>
      </c>
      <c r="C5" s="1014">
        <v>81200</v>
      </c>
      <c r="D5" s="1015">
        <v>55</v>
      </c>
      <c r="E5" s="1016">
        <f t="shared" si="0"/>
        <v>0.537102552619794</v>
      </c>
      <c r="F5" s="1017">
        <f t="shared" si="1"/>
        <v>0.507351898945262</v>
      </c>
      <c r="H5" s="407">
        <v>2</v>
      </c>
      <c r="I5" s="1205">
        <v>1127.0819509908256</v>
      </c>
      <c r="J5" s="405">
        <v>519407.12278012629</v>
      </c>
      <c r="K5" s="1206">
        <v>0</v>
      </c>
      <c r="L5" s="1207">
        <f t="shared" si="2"/>
        <v>0</v>
      </c>
      <c r="M5" s="408">
        <v>2.8488914177080971</v>
      </c>
      <c r="N5" s="405">
        <f t="shared" ref="N5:N33" si="4">M5*$P$3*1000</f>
        <v>1319.8267520661514</v>
      </c>
      <c r="O5" s="550"/>
      <c r="P5" s="559">
        <f t="shared" si="3"/>
        <v>520726.94953219243</v>
      </c>
      <c r="Q5" s="550"/>
      <c r="R5" s="398"/>
      <c r="S5" s="398"/>
      <c r="T5" s="398"/>
      <c r="U5" s="397"/>
      <c r="V5" s="397"/>
      <c r="W5" s="398"/>
      <c r="X5" s="398"/>
      <c r="Y5" s="398"/>
      <c r="Z5" s="398"/>
      <c r="AA5" s="398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T5" s="399"/>
      <c r="AU5" s="399"/>
      <c r="AV5" s="399"/>
      <c r="AW5" s="399"/>
      <c r="AX5" s="399"/>
      <c r="AY5" s="399"/>
      <c r="AZ5" s="399"/>
    </row>
    <row r="6" spans="1:52" ht="20.25" customHeight="1">
      <c r="A6" s="1013">
        <v>43160</v>
      </c>
      <c r="B6" s="1014">
        <v>22037</v>
      </c>
      <c r="C6" s="1014">
        <v>83500</v>
      </c>
      <c r="D6" s="1015">
        <v>55</v>
      </c>
      <c r="E6" s="1016">
        <f t="shared" si="0"/>
        <v>0.47984757757212848</v>
      </c>
      <c r="F6" s="1017">
        <f t="shared" si="1"/>
        <v>0.56788866451876396</v>
      </c>
      <c r="H6" s="407">
        <v>3</v>
      </c>
      <c r="I6" s="1205">
        <v>1032.7956991235683</v>
      </c>
      <c r="J6" s="405">
        <v>475956.02256772213</v>
      </c>
      <c r="K6" s="1206">
        <v>0</v>
      </c>
      <c r="L6" s="1207">
        <f t="shared" si="2"/>
        <v>0</v>
      </c>
      <c r="M6" s="408">
        <v>2.8488914177080971</v>
      </c>
      <c r="N6" s="405">
        <f t="shared" si="4"/>
        <v>1319.8267520661514</v>
      </c>
      <c r="O6" s="550"/>
      <c r="P6" s="559">
        <f t="shared" si="3"/>
        <v>477275.84931978828</v>
      </c>
      <c r="Q6" s="550"/>
      <c r="R6" s="398"/>
      <c r="S6" s="398"/>
      <c r="T6" s="398"/>
      <c r="U6" s="397"/>
      <c r="V6" s="397"/>
      <c r="W6" s="398"/>
      <c r="X6" s="398"/>
      <c r="Y6" s="398"/>
      <c r="Z6" s="398"/>
      <c r="AA6" s="398"/>
      <c r="AB6" s="397"/>
      <c r="AC6" s="397"/>
      <c r="AD6" s="397"/>
      <c r="AE6" s="397"/>
      <c r="AF6" s="397"/>
      <c r="AG6" s="397"/>
      <c r="AH6" s="397"/>
      <c r="AI6" s="397"/>
      <c r="AJ6" s="397"/>
      <c r="AK6" s="397"/>
      <c r="AL6" s="397"/>
      <c r="AM6" s="397"/>
      <c r="AN6" s="397"/>
      <c r="AO6" s="397"/>
      <c r="AP6" s="397"/>
      <c r="AQ6" s="397"/>
      <c r="AR6" s="397"/>
      <c r="AS6" s="397"/>
      <c r="AT6" s="397"/>
      <c r="AU6" s="397"/>
      <c r="AV6" s="397"/>
      <c r="AW6" s="397"/>
      <c r="AX6" s="397"/>
      <c r="AY6" s="397"/>
      <c r="AZ6" s="397"/>
    </row>
    <row r="7" spans="1:52" ht="20.25" customHeight="1">
      <c r="A7" s="1013">
        <v>43191</v>
      </c>
      <c r="B7" s="1014">
        <v>25660</v>
      </c>
      <c r="C7" s="1014">
        <v>76000</v>
      </c>
      <c r="D7" s="1015">
        <v>55</v>
      </c>
      <c r="E7" s="1016">
        <f t="shared" si="0"/>
        <v>0.61387559808612435</v>
      </c>
      <c r="F7" s="1017">
        <f t="shared" si="1"/>
        <v>0.44390101325019493</v>
      </c>
      <c r="H7" s="407">
        <v>4</v>
      </c>
      <c r="I7" s="1205">
        <v>744.47500608684345</v>
      </c>
      <c r="J7" s="405">
        <v>343083.86180506094</v>
      </c>
      <c r="K7" s="1206">
        <v>0</v>
      </c>
      <c r="L7" s="1207">
        <f t="shared" si="2"/>
        <v>0</v>
      </c>
      <c r="M7" s="408">
        <v>2.8488914177080971</v>
      </c>
      <c r="N7" s="405">
        <f t="shared" si="4"/>
        <v>1319.8267520661514</v>
      </c>
      <c r="O7" s="550"/>
      <c r="P7" s="559">
        <f t="shared" si="3"/>
        <v>344403.68855712708</v>
      </c>
      <c r="Q7" s="550"/>
      <c r="R7" s="398"/>
      <c r="U7" s="400"/>
      <c r="V7" s="400"/>
      <c r="W7" s="400"/>
      <c r="X7" s="400"/>
      <c r="Y7" s="400"/>
      <c r="Z7" s="400"/>
      <c r="AA7" s="398"/>
      <c r="AB7" s="399"/>
      <c r="AC7" s="399"/>
      <c r="AD7" s="399"/>
      <c r="AE7" s="399"/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399"/>
      <c r="AQ7" s="399"/>
      <c r="AR7" s="399"/>
      <c r="AS7" s="399"/>
      <c r="AT7" s="399"/>
      <c r="AU7" s="399"/>
      <c r="AV7" s="399"/>
      <c r="AW7" s="399"/>
      <c r="AX7" s="399"/>
      <c r="AY7" s="399"/>
      <c r="AZ7" s="399"/>
    </row>
    <row r="8" spans="1:52" ht="20.25" customHeight="1">
      <c r="A8" s="1013">
        <v>43221</v>
      </c>
      <c r="B8" s="1014">
        <v>24656</v>
      </c>
      <c r="C8" s="1014">
        <v>75500</v>
      </c>
      <c r="D8" s="1015">
        <v>55</v>
      </c>
      <c r="E8" s="1016">
        <f t="shared" si="0"/>
        <v>0.59376279349789285</v>
      </c>
      <c r="F8" s="1017">
        <f t="shared" si="1"/>
        <v>0.45893747972096044</v>
      </c>
      <c r="H8" s="407">
        <v>5</v>
      </c>
      <c r="I8" s="1205">
        <v>703.46737064598722</v>
      </c>
      <c r="J8" s="557">
        <f t="shared" ref="J8:J33" si="5">I8*$P$3*1000</f>
        <v>325900.47104397573</v>
      </c>
      <c r="K8" s="408">
        <v>435.02358143947941</v>
      </c>
      <c r="L8" s="557">
        <f t="shared" si="2"/>
        <v>128267.36959428908</v>
      </c>
      <c r="M8" s="408">
        <v>2.8488914177080971</v>
      </c>
      <c r="N8" s="557">
        <f t="shared" si="4"/>
        <v>1319.8267520661514</v>
      </c>
      <c r="O8" s="550"/>
      <c r="P8" s="559">
        <f t="shared" si="3"/>
        <v>455487.66739033093</v>
      </c>
      <c r="Q8" s="550"/>
      <c r="R8" s="398">
        <f>P8-'9 R1 EE'!AA8</f>
        <v>1721.5048213358968</v>
      </c>
      <c r="U8" s="400"/>
      <c r="V8" s="400"/>
      <c r="W8" s="400"/>
      <c r="X8" s="400"/>
      <c r="Y8" s="400"/>
      <c r="Z8" s="400"/>
      <c r="AA8" s="400"/>
    </row>
    <row r="9" spans="1:52" ht="20.25" customHeight="1">
      <c r="A9" s="1013">
        <v>43252</v>
      </c>
      <c r="B9" s="1014">
        <v>23433</v>
      </c>
      <c r="C9" s="1014">
        <v>68700</v>
      </c>
      <c r="D9" s="1015">
        <v>55</v>
      </c>
      <c r="E9" s="1016">
        <f t="shared" si="0"/>
        <v>0.62016673283048829</v>
      </c>
      <c r="F9" s="1017">
        <f t="shared" si="1"/>
        <v>0.43939796440916662</v>
      </c>
      <c r="H9" s="407">
        <v>6</v>
      </c>
      <c r="I9" s="1205">
        <v>695.96461492216758</v>
      </c>
      <c r="J9" s="557">
        <f t="shared" si="5"/>
        <v>322424.61455574189</v>
      </c>
      <c r="K9" s="408">
        <v>442.47064533568033</v>
      </c>
      <c r="L9" s="557">
        <f t="shared" si="2"/>
        <v>130463.14779556615</v>
      </c>
      <c r="M9" s="408">
        <v>2.8488914177080971</v>
      </c>
      <c r="N9" s="557">
        <f t="shared" si="4"/>
        <v>1319.8267520661514</v>
      </c>
      <c r="O9" s="550"/>
      <c r="P9" s="559">
        <f t="shared" si="3"/>
        <v>454207.58910337416</v>
      </c>
      <c r="Q9" s="550"/>
      <c r="R9" s="398">
        <f>P9-'9 R1 EE'!AA9</f>
        <v>1703.2182808670914</v>
      </c>
      <c r="U9" s="400"/>
      <c r="V9" s="400"/>
      <c r="W9" s="400"/>
      <c r="X9" s="400"/>
      <c r="Y9" s="400"/>
      <c r="Z9" s="400"/>
      <c r="AA9" s="400"/>
    </row>
    <row r="10" spans="1:52" ht="20.25" customHeight="1">
      <c r="A10" s="1013">
        <v>43282</v>
      </c>
      <c r="B10" s="1014">
        <v>20125</v>
      </c>
      <c r="C10" s="1014">
        <v>69600</v>
      </c>
      <c r="D10" s="1015">
        <v>55</v>
      </c>
      <c r="E10" s="1016">
        <f t="shared" si="0"/>
        <v>0.52573145245559039</v>
      </c>
      <c r="F10" s="1017">
        <f t="shared" si="1"/>
        <v>0.51832546583850936</v>
      </c>
      <c r="H10" s="407">
        <v>7</v>
      </c>
      <c r="I10" s="1205">
        <v>678.10172714504552</v>
      </c>
      <c r="J10" s="557">
        <f t="shared" si="5"/>
        <v>314149.14396010654</v>
      </c>
      <c r="K10" s="408">
        <v>449.93138399557938</v>
      </c>
      <c r="L10" s="557">
        <f t="shared" si="2"/>
        <v>132662.9580218741</v>
      </c>
      <c r="M10" s="408">
        <v>2.8488914177080971</v>
      </c>
      <c r="N10" s="557">
        <f t="shared" si="4"/>
        <v>1319.8267520661514</v>
      </c>
      <c r="O10" s="550"/>
      <c r="P10" s="559">
        <f t="shared" si="3"/>
        <v>448131.92873404676</v>
      </c>
      <c r="Q10" s="550"/>
      <c r="R10" s="398">
        <f>P10-'9 R1 EE'!AA10</f>
        <v>1659.6808884406928</v>
      </c>
      <c r="U10" s="400"/>
      <c r="V10" s="400"/>
      <c r="W10" s="400"/>
      <c r="X10" s="400"/>
      <c r="Y10" s="400"/>
      <c r="Z10" s="400"/>
      <c r="AA10" s="400"/>
    </row>
    <row r="11" spans="1:52" ht="20.25" customHeight="1">
      <c r="A11" s="1010" t="s">
        <v>525</v>
      </c>
      <c r="B11" s="1024">
        <f>AVERAGE(B4:B10)</f>
        <v>23424.428571428572</v>
      </c>
      <c r="C11" s="1024">
        <f>AVERAGE(C4:C10)</f>
        <v>77928.571428571435</v>
      </c>
      <c r="D11" s="1025">
        <f>AVERAGE(D4:D10)</f>
        <v>55</v>
      </c>
      <c r="E11" s="1026">
        <f t="shared" si="0"/>
        <v>0.54652445629530866</v>
      </c>
      <c r="F11" s="1027">
        <f t="shared" si="1"/>
        <v>0.49860531740368735</v>
      </c>
      <c r="H11" s="407">
        <v>8</v>
      </c>
      <c r="I11" s="1205">
        <v>661.17899135619234</v>
      </c>
      <c r="J11" s="557">
        <f t="shared" si="5"/>
        <v>306309.22444845171</v>
      </c>
      <c r="K11" s="408">
        <v>575.55502628469856</v>
      </c>
      <c r="L11" s="557">
        <f t="shared" si="2"/>
        <v>169703.28144976834</v>
      </c>
      <c r="M11" s="408">
        <v>2.8488914177080971</v>
      </c>
      <c r="N11" s="557">
        <f t="shared" si="4"/>
        <v>1319.8267520661514</v>
      </c>
      <c r="O11" s="550"/>
      <c r="P11" s="559">
        <f t="shared" si="3"/>
        <v>477332.3326502862</v>
      </c>
      <c r="Q11" s="550"/>
      <c r="R11" s="398">
        <f>P11-'9 R1 EE'!AA11</f>
        <v>1618.4349377210019</v>
      </c>
      <c r="U11" s="400"/>
      <c r="V11" s="400"/>
      <c r="W11" s="400"/>
      <c r="X11" s="400"/>
      <c r="Y11" s="400"/>
      <c r="Z11" s="400"/>
      <c r="AA11" s="400"/>
    </row>
    <row r="12" spans="1:52" ht="20.25" customHeight="1">
      <c r="A12"/>
      <c r="B12"/>
      <c r="C12"/>
      <c r="D12"/>
      <c r="E12"/>
      <c r="F12"/>
      <c r="H12" s="407">
        <v>9</v>
      </c>
      <c r="I12" s="1205">
        <v>645.12408817189635</v>
      </c>
      <c r="J12" s="557">
        <f t="shared" si="5"/>
        <v>298871.35209124105</v>
      </c>
      <c r="K12" s="408">
        <v>626.75717137488232</v>
      </c>
      <c r="L12" s="557">
        <f t="shared" si="2"/>
        <v>184800.31238903641</v>
      </c>
      <c r="M12" s="408">
        <v>2.8488914177080971</v>
      </c>
      <c r="N12" s="557">
        <f t="shared" si="4"/>
        <v>1319.8267520661514</v>
      </c>
      <c r="O12" s="550"/>
      <c r="P12" s="559">
        <f t="shared" si="3"/>
        <v>484991.4912323436</v>
      </c>
      <c r="Q12" s="550"/>
      <c r="R12" s="398">
        <f>P12-'9 R1 EE'!AA12</f>
        <v>1579.304163961322</v>
      </c>
      <c r="U12" s="400"/>
      <c r="V12" s="400"/>
      <c r="W12" s="400"/>
      <c r="X12" s="400"/>
      <c r="Y12" s="400"/>
      <c r="Z12" s="400"/>
      <c r="AA12" s="400"/>
    </row>
    <row r="13" spans="1:52" ht="20.25" customHeight="1">
      <c r="A13"/>
      <c r="B13"/>
      <c r="C13"/>
      <c r="D13"/>
      <c r="E13" s="1028" t="s">
        <v>526</v>
      </c>
      <c r="F13" s="1031">
        <v>0.65</v>
      </c>
      <c r="H13" s="407">
        <v>10</v>
      </c>
      <c r="I13" s="1205">
        <v>629.91849622077484</v>
      </c>
      <c r="J13" s="557">
        <f t="shared" si="5"/>
        <v>291826.94635736541</v>
      </c>
      <c r="K13" s="408">
        <v>670.97522180169562</v>
      </c>
      <c r="L13" s="557">
        <f t="shared" si="2"/>
        <v>197838.07231475672</v>
      </c>
      <c r="M13" s="408">
        <v>2.8488914177080971</v>
      </c>
      <c r="N13" s="557">
        <f t="shared" si="4"/>
        <v>1319.8267520661514</v>
      </c>
      <c r="O13" s="550"/>
      <c r="P13" s="559">
        <f t="shared" si="3"/>
        <v>490984.8454241883</v>
      </c>
      <c r="Q13" s="550"/>
      <c r="R13" s="398">
        <f>P13-'9 R1 EE'!AA13</f>
        <v>1542.2434248405043</v>
      </c>
      <c r="Y13" s="400"/>
      <c r="Z13" s="400"/>
      <c r="AA13" s="400"/>
    </row>
    <row r="14" spans="1:52" ht="20.25" customHeight="1">
      <c r="A14"/>
      <c r="B14"/>
      <c r="C14"/>
      <c r="D14"/>
      <c r="E14" s="1028" t="s">
        <v>527</v>
      </c>
      <c r="F14" s="1029">
        <f>F11/F13</f>
        <v>0.76708510369798055</v>
      </c>
      <c r="H14" s="407">
        <v>11</v>
      </c>
      <c r="I14" s="1205">
        <v>630.90719946388413</v>
      </c>
      <c r="J14" s="557">
        <f t="shared" si="5"/>
        <v>292284.99013607844</v>
      </c>
      <c r="K14" s="408">
        <v>672.02904042345995</v>
      </c>
      <c r="L14" s="557">
        <f t="shared" si="2"/>
        <v>198148.79235019922</v>
      </c>
      <c r="M14" s="408">
        <v>2.8488914177080971</v>
      </c>
      <c r="N14" s="557">
        <f t="shared" si="4"/>
        <v>1319.8267520661514</v>
      </c>
      <c r="O14" s="550"/>
      <c r="P14" s="559">
        <f t="shared" si="3"/>
        <v>491753.60923834378</v>
      </c>
      <c r="Q14" s="550"/>
      <c r="R14" s="398">
        <f>P14-'9 R1 EE'!AA14</f>
        <v>1544.6532009990187</v>
      </c>
      <c r="Y14" s="400"/>
      <c r="Z14" s="400"/>
      <c r="AA14" s="400"/>
    </row>
    <row r="15" spans="1:52" ht="20.25" customHeight="1">
      <c r="A15"/>
      <c r="B15"/>
      <c r="C15"/>
      <c r="D15"/>
      <c r="E15"/>
      <c r="F15"/>
      <c r="H15" s="407">
        <v>12</v>
      </c>
      <c r="I15" s="1205">
        <v>631.81852790046185</v>
      </c>
      <c r="J15" s="557">
        <f t="shared" si="5"/>
        <v>292707.18792257097</v>
      </c>
      <c r="K15" s="408">
        <v>673.01809557848901</v>
      </c>
      <c r="L15" s="557">
        <f t="shared" si="2"/>
        <v>198440.41677823471</v>
      </c>
      <c r="M15" s="408">
        <v>2.8488914177080971</v>
      </c>
      <c r="N15" s="557">
        <f t="shared" si="4"/>
        <v>1319.8267520661514</v>
      </c>
      <c r="O15" s="550"/>
      <c r="P15" s="559">
        <f t="shared" si="3"/>
        <v>492467.43145287182</v>
      </c>
      <c r="Q15" s="550"/>
      <c r="R15" s="398">
        <f>P15-'9 R1 EE'!AA15</f>
        <v>1546.8743907791213</v>
      </c>
      <c r="Y15" s="400"/>
      <c r="Z15" s="400"/>
      <c r="AA15" s="400"/>
    </row>
    <row r="16" spans="1:52" ht="20.25" customHeight="1">
      <c r="A16"/>
      <c r="B16"/>
      <c r="C16"/>
      <c r="D16"/>
      <c r="E16"/>
      <c r="F16"/>
      <c r="H16" s="407">
        <v>13</v>
      </c>
      <c r="I16" s="1205">
        <v>632.72985633703945</v>
      </c>
      <c r="J16" s="557">
        <f t="shared" si="5"/>
        <v>293129.38570906344</v>
      </c>
      <c r="K16" s="408">
        <v>673.98207164791063</v>
      </c>
      <c r="L16" s="557">
        <f t="shared" si="2"/>
        <v>198724.64659944901</v>
      </c>
      <c r="M16" s="408">
        <v>2.8488914177080971</v>
      </c>
      <c r="N16" s="557">
        <f t="shared" si="4"/>
        <v>1319.8267520661514</v>
      </c>
      <c r="O16" s="550"/>
      <c r="P16" s="559">
        <f t="shared" si="3"/>
        <v>493173.85906057863</v>
      </c>
      <c r="Q16" s="550"/>
      <c r="R16" s="398">
        <f>P16-'9 R1 EE'!AA16</f>
        <v>1549.0955805591075</v>
      </c>
      <c r="Y16" s="400"/>
      <c r="Z16" s="400"/>
      <c r="AA16" s="400"/>
    </row>
    <row r="17" spans="1:52" ht="20.25" customHeight="1">
      <c r="A17"/>
      <c r="B17"/>
      <c r="C17"/>
      <c r="D17"/>
      <c r="E17"/>
      <c r="F17"/>
      <c r="H17" s="407">
        <v>14</v>
      </c>
      <c r="I17" s="1205">
        <v>633.64118477361683</v>
      </c>
      <c r="J17" s="557">
        <f t="shared" si="5"/>
        <v>293551.58349555579</v>
      </c>
      <c r="K17" s="408">
        <v>674.94604771733214</v>
      </c>
      <c r="L17" s="557">
        <f t="shared" si="2"/>
        <v>199008.87642066332</v>
      </c>
      <c r="M17" s="408">
        <v>2.8488914177080971</v>
      </c>
      <c r="N17" s="557">
        <f t="shared" si="4"/>
        <v>1319.8267520661514</v>
      </c>
      <c r="O17" s="550"/>
      <c r="P17" s="559">
        <f t="shared" si="3"/>
        <v>493880.28666828526</v>
      </c>
      <c r="Q17" s="550"/>
      <c r="R17" s="398">
        <f>P17-'9 R1 EE'!AA17</f>
        <v>1551.3167703391518</v>
      </c>
      <c r="Y17" s="400"/>
      <c r="Z17" s="400"/>
      <c r="AA17" s="400"/>
    </row>
    <row r="18" spans="1:52" ht="20.25" customHeight="1">
      <c r="A18"/>
      <c r="B18"/>
      <c r="C18"/>
      <c r="D18"/>
      <c r="E18"/>
      <c r="F18"/>
      <c r="H18" s="407">
        <v>15</v>
      </c>
      <c r="I18" s="1205">
        <v>634.55251321019443</v>
      </c>
      <c r="J18" s="557">
        <f t="shared" si="5"/>
        <v>293973.78128204826</v>
      </c>
      <c r="K18" s="408">
        <v>675.91002378675364</v>
      </c>
      <c r="L18" s="557">
        <f t="shared" si="2"/>
        <v>199293.10624187757</v>
      </c>
      <c r="M18" s="408">
        <v>2.8488914177080971</v>
      </c>
      <c r="N18" s="557">
        <f t="shared" si="4"/>
        <v>1319.8267520661514</v>
      </c>
      <c r="O18" s="550"/>
      <c r="P18" s="559">
        <f t="shared" si="3"/>
        <v>494586.71427599201</v>
      </c>
      <c r="Q18" s="550"/>
      <c r="R18" s="398">
        <f>P18-'9 R1 EE'!AA18</f>
        <v>1553.5379601193126</v>
      </c>
      <c r="Y18" s="400"/>
      <c r="Z18" s="400"/>
      <c r="AA18" s="400"/>
    </row>
    <row r="19" spans="1:52" ht="20.25" customHeight="1">
      <c r="A19"/>
      <c r="B19"/>
      <c r="C19"/>
      <c r="D19"/>
      <c r="E19"/>
      <c r="F19"/>
      <c r="H19" s="407">
        <v>16</v>
      </c>
      <c r="I19" s="1205">
        <v>635.27969520154943</v>
      </c>
      <c r="J19" s="557">
        <f t="shared" si="5"/>
        <v>294310.66819877859</v>
      </c>
      <c r="K19" s="408">
        <v>676.73663811920494</v>
      </c>
      <c r="L19" s="557">
        <f t="shared" si="2"/>
        <v>199536.83474446044</v>
      </c>
      <c r="M19" s="408">
        <v>2.8488914177080971</v>
      </c>
      <c r="N19" s="557">
        <f t="shared" si="4"/>
        <v>1319.8267520661514</v>
      </c>
      <c r="O19" s="550"/>
      <c r="P19" s="559">
        <f t="shared" si="3"/>
        <v>495167.3296953052</v>
      </c>
      <c r="Q19" s="550"/>
      <c r="R19" s="398">
        <f>P19-'9 R1 EE'!AA19</f>
        <v>1555.3103279535426</v>
      </c>
      <c r="Y19" s="400"/>
      <c r="Z19" s="400"/>
      <c r="AA19" s="400"/>
    </row>
    <row r="20" spans="1:52" ht="20.25" customHeight="1">
      <c r="A20"/>
      <c r="B20"/>
      <c r="C20"/>
      <c r="D20"/>
      <c r="E20"/>
      <c r="F20"/>
      <c r="H20" s="407">
        <v>17</v>
      </c>
      <c r="I20" s="1205">
        <v>636.02122263388117</v>
      </c>
      <c r="J20" s="557">
        <f t="shared" si="5"/>
        <v>294654.20103281329</v>
      </c>
      <c r="K20" s="408">
        <v>677.52492106094542</v>
      </c>
      <c r="L20" s="557">
        <f t="shared" si="2"/>
        <v>199769.26117775519</v>
      </c>
      <c r="M20" s="408">
        <v>2.8488914177080971</v>
      </c>
      <c r="N20" s="557">
        <f t="shared" si="4"/>
        <v>1319.8267520661514</v>
      </c>
      <c r="O20" s="550"/>
      <c r="P20" s="559">
        <f t="shared" si="3"/>
        <v>495743.28896263463</v>
      </c>
      <c r="Q20" s="550"/>
      <c r="R20" s="398">
        <f>P20-'9 R1 EE'!AA20</f>
        <v>1557.1176600724575</v>
      </c>
      <c r="Y20" s="400"/>
      <c r="Z20" s="400"/>
      <c r="AA20" s="400"/>
    </row>
    <row r="21" spans="1:52" ht="20.25" customHeight="1">
      <c r="A21"/>
      <c r="B21"/>
      <c r="C21"/>
      <c r="D21"/>
      <c r="E21"/>
      <c r="F21"/>
      <c r="H21" s="407">
        <v>18</v>
      </c>
      <c r="I21" s="1205">
        <v>636.76275006621313</v>
      </c>
      <c r="J21" s="557">
        <f t="shared" si="5"/>
        <v>294997.73386684805</v>
      </c>
      <c r="K21" s="408">
        <v>678.31008968035451</v>
      </c>
      <c r="L21" s="557">
        <f t="shared" si="2"/>
        <v>200000.76934833836</v>
      </c>
      <c r="M21" s="408">
        <v>2.8488914177080971</v>
      </c>
      <c r="N21" s="557">
        <f t="shared" si="4"/>
        <v>1319.8267520661514</v>
      </c>
      <c r="O21" s="550"/>
      <c r="P21" s="559">
        <f t="shared" si="3"/>
        <v>496318.32996725256</v>
      </c>
      <c r="Q21" s="550"/>
      <c r="R21" s="398">
        <f>P21-'9 R1 EE'!AA21</f>
        <v>1558.9249921913724</v>
      </c>
      <c r="Y21" s="400"/>
      <c r="Z21" s="400"/>
      <c r="AA21" s="400"/>
    </row>
    <row r="22" spans="1:52" s="396" customFormat="1" ht="20.25" customHeight="1">
      <c r="A22"/>
      <c r="B22"/>
      <c r="C22"/>
      <c r="D22"/>
      <c r="E22"/>
      <c r="F22"/>
      <c r="H22" s="407">
        <v>19</v>
      </c>
      <c r="I22" s="1205">
        <v>637.50427749854487</v>
      </c>
      <c r="J22" s="557">
        <f t="shared" si="5"/>
        <v>295341.26670088276</v>
      </c>
      <c r="K22" s="408">
        <v>679.09525829976371</v>
      </c>
      <c r="L22" s="557">
        <f t="shared" si="2"/>
        <v>200232.27751892153</v>
      </c>
      <c r="M22" s="408">
        <v>2.8488914177080971</v>
      </c>
      <c r="N22" s="557">
        <f t="shared" si="4"/>
        <v>1319.8267520661514</v>
      </c>
      <c r="O22" s="550"/>
      <c r="P22" s="559">
        <f t="shared" si="3"/>
        <v>496893.37097187043</v>
      </c>
      <c r="Q22" s="550"/>
      <c r="R22" s="398">
        <f>P22-'9 R1 EE'!AA22</f>
        <v>1560.7323243102874</v>
      </c>
      <c r="S22" s="400"/>
      <c r="T22" s="400"/>
      <c r="U22" s="389"/>
      <c r="V22" s="389"/>
      <c r="W22" s="389"/>
      <c r="X22" s="389"/>
      <c r="Y22" s="400"/>
      <c r="Z22" s="400"/>
      <c r="AA22" s="400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</row>
    <row r="23" spans="1:52" ht="20.25" customHeight="1">
      <c r="A23"/>
      <c r="B23"/>
      <c r="C23"/>
      <c r="D23"/>
      <c r="E23"/>
      <c r="F23"/>
      <c r="H23" s="407">
        <v>20</v>
      </c>
      <c r="I23" s="1205">
        <v>638.24580493087683</v>
      </c>
      <c r="J23" s="557">
        <f t="shared" si="5"/>
        <v>295684.79953491746</v>
      </c>
      <c r="K23" s="408">
        <v>679.88042691917315</v>
      </c>
      <c r="L23" s="557">
        <f t="shared" si="2"/>
        <v>200463.78568950479</v>
      </c>
      <c r="M23" s="408">
        <v>2.8488914177080971</v>
      </c>
      <c r="N23" s="557">
        <f t="shared" si="4"/>
        <v>1319.8267520661514</v>
      </c>
      <c r="O23" s="550"/>
      <c r="P23" s="559">
        <f t="shared" si="3"/>
        <v>497468.41197648842</v>
      </c>
      <c r="Q23" s="550"/>
      <c r="R23" s="398">
        <f>P23-'9 R1 EE'!AA23</f>
        <v>1562.5396564292023</v>
      </c>
      <c r="Y23" s="400"/>
      <c r="Z23" s="400"/>
      <c r="AA23" s="400"/>
    </row>
    <row r="24" spans="1:52" ht="20.25" customHeight="1">
      <c r="A24"/>
      <c r="B24"/>
      <c r="C24"/>
      <c r="D24"/>
      <c r="E24"/>
      <c r="F24"/>
      <c r="H24" s="407">
        <v>21</v>
      </c>
      <c r="I24" s="1205">
        <v>639.15783931766032</v>
      </c>
      <c r="J24" s="557">
        <f t="shared" si="5"/>
        <v>296107.32437212218</v>
      </c>
      <c r="K24" s="408">
        <v>680.79278306805486</v>
      </c>
      <c r="L24" s="557">
        <f t="shared" si="2"/>
        <v>200732.7952980483</v>
      </c>
      <c r="M24" s="408">
        <v>2.8488914177080971</v>
      </c>
      <c r="N24" s="557">
        <f t="shared" si="4"/>
        <v>1319.8267520661514</v>
      </c>
      <c r="O24" s="550"/>
      <c r="P24" s="559">
        <f t="shared" si="3"/>
        <v>498159.94642223662</v>
      </c>
      <c r="Q24" s="550"/>
      <c r="R24" s="398">
        <f>P24-'9 R1 EE'!AA24</f>
        <v>1564.7625668285764</v>
      </c>
      <c r="U24" s="396"/>
      <c r="V24" s="396"/>
      <c r="W24" s="396"/>
      <c r="X24" s="396"/>
      <c r="Y24" s="400"/>
      <c r="Z24" s="400"/>
      <c r="AA24" s="400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</row>
    <row r="25" spans="1:52" ht="20.25" customHeight="1">
      <c r="A25"/>
      <c r="B25"/>
      <c r="C25"/>
      <c r="D25"/>
      <c r="E25"/>
      <c r="F25"/>
      <c r="H25" s="407">
        <v>22</v>
      </c>
      <c r="I25" s="1205">
        <v>639.79118321088902</v>
      </c>
      <c r="J25" s="557">
        <f t="shared" si="5"/>
        <v>296400.73822719062</v>
      </c>
      <c r="K25" s="408">
        <v>681.55448115953959</v>
      </c>
      <c r="L25" s="557">
        <f t="shared" si="2"/>
        <v>200957.38314750799</v>
      </c>
      <c r="M25" s="408">
        <v>2.8488914177080971</v>
      </c>
      <c r="N25" s="557">
        <f t="shared" si="4"/>
        <v>1319.8267520661514</v>
      </c>
      <c r="O25" s="550"/>
      <c r="P25" s="559">
        <f t="shared" si="3"/>
        <v>498677.94812676474</v>
      </c>
      <c r="Q25" s="550"/>
      <c r="R25" s="398">
        <f>P25-'9 R1 EE'!AA25</f>
        <v>1566.3062221414875</v>
      </c>
      <c r="Y25" s="400"/>
      <c r="Z25" s="400"/>
      <c r="AA25" s="400"/>
    </row>
    <row r="26" spans="1:52" s="396" customFormat="1" ht="20.25" customHeight="1">
      <c r="A26"/>
      <c r="B26"/>
      <c r="C26"/>
      <c r="D26"/>
      <c r="E26"/>
      <c r="F26"/>
      <c r="H26" s="407">
        <v>23</v>
      </c>
      <c r="I26" s="1205">
        <v>640.42452710411806</v>
      </c>
      <c r="J26" s="557">
        <f t="shared" si="5"/>
        <v>296694.15208225918</v>
      </c>
      <c r="K26" s="408">
        <v>682.22482843493992</v>
      </c>
      <c r="L26" s="557">
        <f t="shared" si="2"/>
        <v>201155.03606886405</v>
      </c>
      <c r="M26" s="408">
        <v>2.8488914177080971</v>
      </c>
      <c r="N26" s="557">
        <f t="shared" si="4"/>
        <v>1319.8267520661514</v>
      </c>
      <c r="O26" s="550"/>
      <c r="P26" s="559">
        <f t="shared" si="3"/>
        <v>499169.01490318938</v>
      </c>
      <c r="Q26" s="550"/>
      <c r="R26" s="398">
        <f>P26-'9 R1 EE'!AA26</f>
        <v>1567.8498774543987</v>
      </c>
      <c r="S26" s="400"/>
      <c r="T26" s="400"/>
      <c r="U26" s="389"/>
      <c r="V26" s="389"/>
      <c r="W26" s="389"/>
      <c r="X26" s="389"/>
      <c r="Y26" s="400"/>
      <c r="Z26" s="400"/>
      <c r="AA26" s="400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</row>
    <row r="27" spans="1:52" s="396" customFormat="1" ht="20.25" customHeight="1">
      <c r="A27"/>
      <c r="B27"/>
      <c r="C27"/>
      <c r="D27"/>
      <c r="E27"/>
      <c r="F27"/>
      <c r="H27" s="407">
        <v>24</v>
      </c>
      <c r="I27" s="1205">
        <v>641.05787099734698</v>
      </c>
      <c r="J27" s="557">
        <f t="shared" si="5"/>
        <v>296987.56593732763</v>
      </c>
      <c r="K27" s="408">
        <v>682.89517571034037</v>
      </c>
      <c r="L27" s="557">
        <f t="shared" si="2"/>
        <v>201352.68899022017</v>
      </c>
      <c r="M27" s="408">
        <v>2.8488914177080971</v>
      </c>
      <c r="N27" s="557">
        <f t="shared" si="4"/>
        <v>1319.8267520661514</v>
      </c>
      <c r="O27" s="550"/>
      <c r="P27" s="559">
        <f t="shared" si="3"/>
        <v>499660.08167961391</v>
      </c>
      <c r="Q27" s="550"/>
      <c r="R27" s="398">
        <f>P27-'9 R1 EE'!AA27</f>
        <v>1569.3935327671934</v>
      </c>
      <c r="S27" s="400"/>
      <c r="T27" s="400"/>
      <c r="U27" s="389"/>
      <c r="V27" s="389"/>
      <c r="W27" s="389"/>
      <c r="X27" s="389"/>
      <c r="Y27" s="400"/>
      <c r="Z27" s="400"/>
      <c r="AA27" s="400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</row>
    <row r="28" spans="1:52" ht="20.25" customHeight="1">
      <c r="A28"/>
      <c r="B28"/>
      <c r="C28"/>
      <c r="D28"/>
      <c r="E28"/>
      <c r="F28"/>
      <c r="H28" s="407">
        <v>25</v>
      </c>
      <c r="I28" s="1205">
        <v>641.69121489057568</v>
      </c>
      <c r="J28" s="557">
        <f t="shared" si="5"/>
        <v>297280.97979239601</v>
      </c>
      <c r="K28" s="408">
        <v>683.5655229857407</v>
      </c>
      <c r="L28" s="557">
        <f t="shared" si="2"/>
        <v>201550.34191157625</v>
      </c>
      <c r="M28" s="408">
        <v>2.8488914177080971</v>
      </c>
      <c r="N28" s="557">
        <f t="shared" si="4"/>
        <v>1319.8267520661514</v>
      </c>
      <c r="O28" s="550"/>
      <c r="P28" s="559">
        <f t="shared" si="3"/>
        <v>500151.14845603844</v>
      </c>
      <c r="Q28" s="550"/>
      <c r="R28" s="398">
        <f>P28-'9 R1 EE'!AA28</f>
        <v>1570.9371880800463</v>
      </c>
      <c r="U28" s="396"/>
      <c r="V28" s="396"/>
      <c r="W28" s="396"/>
      <c r="X28" s="396"/>
      <c r="Y28" s="400"/>
      <c r="Z28" s="400"/>
      <c r="AA28" s="400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</row>
    <row r="29" spans="1:52" ht="20.25" customHeight="1">
      <c r="A29"/>
      <c r="B29"/>
      <c r="C29"/>
      <c r="D29"/>
      <c r="E29"/>
      <c r="F29"/>
      <c r="H29" s="407">
        <v>26</v>
      </c>
      <c r="I29" s="1205">
        <v>642.60324927735917</v>
      </c>
      <c r="J29" s="557">
        <f t="shared" si="5"/>
        <v>297703.50462960079</v>
      </c>
      <c r="K29" s="408">
        <v>684.44375594813073</v>
      </c>
      <c r="L29" s="557">
        <f t="shared" si="2"/>
        <v>201809.29024629414</v>
      </c>
      <c r="M29" s="408">
        <v>2.8488914177080971</v>
      </c>
      <c r="N29" s="557">
        <f t="shared" si="4"/>
        <v>1319.8267520661514</v>
      </c>
      <c r="O29" s="550"/>
      <c r="P29" s="559">
        <f t="shared" si="3"/>
        <v>500832.62162796105</v>
      </c>
      <c r="Q29" s="550"/>
      <c r="R29" s="398">
        <f>P29-'9 R1 EE'!AA29</f>
        <v>1573.1600984794786</v>
      </c>
      <c r="U29" s="396"/>
      <c r="V29" s="396"/>
      <c r="W29" s="396"/>
      <c r="X29" s="396"/>
      <c r="Y29" s="400"/>
      <c r="Z29" s="400"/>
      <c r="AA29" s="400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</row>
    <row r="30" spans="1:52" ht="20.25" customHeight="1">
      <c r="A30"/>
      <c r="B30"/>
      <c r="C30"/>
      <c r="D30"/>
      <c r="E30"/>
      <c r="F30"/>
      <c r="H30" s="407">
        <v>27</v>
      </c>
      <c r="I30" s="1205">
        <v>643.26740190315968</v>
      </c>
      <c r="J30" s="557">
        <f t="shared" si="5"/>
        <v>298011.19147141511</v>
      </c>
      <c r="K30" s="408">
        <v>685.22843594008134</v>
      </c>
      <c r="L30" s="557">
        <f t="shared" si="2"/>
        <v>202040.65434432242</v>
      </c>
      <c r="M30" s="408">
        <v>2.8488914177080971</v>
      </c>
      <c r="N30" s="557">
        <f t="shared" si="4"/>
        <v>1319.8267520661514</v>
      </c>
      <c r="O30" s="550"/>
      <c r="P30" s="559">
        <f t="shared" si="3"/>
        <v>501371.67256780365</v>
      </c>
      <c r="Q30" s="550"/>
      <c r="R30" s="398">
        <f>P30-'9 R1 EE'!AA30</f>
        <v>1574.7788442199817</v>
      </c>
      <c r="Y30" s="400"/>
      <c r="Z30" s="400"/>
      <c r="AA30" s="400"/>
    </row>
    <row r="31" spans="1:52" ht="20.25" customHeight="1">
      <c r="A31"/>
      <c r="B31"/>
      <c r="C31"/>
      <c r="D31"/>
      <c r="E31"/>
      <c r="F31"/>
      <c r="H31" s="407">
        <v>28</v>
      </c>
      <c r="I31" s="1205">
        <v>643.94731187034859</v>
      </c>
      <c r="J31" s="557">
        <f t="shared" si="5"/>
        <v>298326.17833195825</v>
      </c>
      <c r="K31" s="408">
        <v>685.94254275854712</v>
      </c>
      <c r="L31" s="557">
        <f t="shared" si="2"/>
        <v>202251.20983400615</v>
      </c>
      <c r="M31" s="408">
        <v>2.8488914177080971</v>
      </c>
      <c r="N31" s="557">
        <f t="shared" si="4"/>
        <v>1319.8267520661514</v>
      </c>
      <c r="O31" s="550"/>
      <c r="P31" s="559">
        <f t="shared" si="3"/>
        <v>501897.21491803054</v>
      </c>
      <c r="Q31" s="550"/>
      <c r="R31" s="398">
        <f>P31-'9 R1 EE'!AA31</f>
        <v>1576.435995483771</v>
      </c>
      <c r="Y31" s="400"/>
      <c r="Z31" s="400"/>
      <c r="AA31" s="400"/>
    </row>
    <row r="32" spans="1:52" ht="20.25" customHeight="1">
      <c r="A32"/>
      <c r="B32"/>
      <c r="C32"/>
      <c r="D32"/>
      <c r="E32"/>
      <c r="F32"/>
      <c r="H32" s="407">
        <v>29</v>
      </c>
      <c r="I32" s="1205">
        <v>644.65803057010896</v>
      </c>
      <c r="J32" s="557">
        <f t="shared" si="5"/>
        <v>298655.43817924726</v>
      </c>
      <c r="K32" s="408">
        <v>686.68668504751918</v>
      </c>
      <c r="L32" s="557">
        <f t="shared" si="2"/>
        <v>202470.62132819337</v>
      </c>
      <c r="M32" s="408">
        <v>2.8488914177080971</v>
      </c>
      <c r="N32" s="557">
        <f t="shared" si="4"/>
        <v>1319.8267520661514</v>
      </c>
      <c r="O32" s="550"/>
      <c r="P32" s="559">
        <f t="shared" si="3"/>
        <v>502445.88625950681</v>
      </c>
      <c r="Q32" s="550"/>
      <c r="R32" s="398">
        <f>P32-'9 R1 EE'!AA32</f>
        <v>1578.1682371752104</v>
      </c>
      <c r="Y32" s="400"/>
      <c r="Z32" s="400"/>
      <c r="AA32" s="400"/>
    </row>
    <row r="33" spans="1:27" ht="20.25" customHeight="1" thickBot="1">
      <c r="A33"/>
      <c r="B33"/>
      <c r="C33"/>
      <c r="D33"/>
      <c r="E33"/>
      <c r="F33"/>
      <c r="H33" s="409">
        <v>30</v>
      </c>
      <c r="I33" s="1205">
        <v>645.04419865256045</v>
      </c>
      <c r="J33" s="557">
        <f t="shared" si="5"/>
        <v>298834.34108963743</v>
      </c>
      <c r="K33" s="411">
        <v>687.19775574371806</v>
      </c>
      <c r="L33" s="1208">
        <f t="shared" si="2"/>
        <v>202621.31130610502</v>
      </c>
      <c r="M33" s="411">
        <v>2.8488914177080971</v>
      </c>
      <c r="N33" s="1208">
        <f t="shared" si="4"/>
        <v>1319.8267520661514</v>
      </c>
      <c r="O33" s="550"/>
      <c r="P33" s="560">
        <f t="shared" si="3"/>
        <v>502775.47914780863</v>
      </c>
      <c r="Q33" s="550"/>
      <c r="R33" s="398">
        <f>P33-'9 R1 EE'!AA33</f>
        <v>1579.1094484484056</v>
      </c>
      <c r="Y33" s="400"/>
      <c r="Z33" s="400"/>
      <c r="AA33" s="400"/>
    </row>
    <row r="34" spans="1:27">
      <c r="A34"/>
      <c r="B34"/>
      <c r="C34"/>
      <c r="D34"/>
      <c r="E34"/>
      <c r="F34"/>
      <c r="J34" s="400"/>
      <c r="L34" s="400"/>
      <c r="N34" s="400"/>
      <c r="O34" s="400"/>
      <c r="P34" s="400"/>
      <c r="Q34" s="400"/>
    </row>
    <row r="35" spans="1:27">
      <c r="A35"/>
      <c r="B35"/>
      <c r="C35"/>
      <c r="D35"/>
      <c r="E35"/>
      <c r="F35"/>
    </row>
    <row r="36" spans="1:27" ht="22.5" customHeight="1">
      <c r="A36"/>
      <c r="B36"/>
      <c r="C36"/>
      <c r="D36"/>
      <c r="E36"/>
      <c r="F36"/>
      <c r="J36" s="401"/>
      <c r="L36" s="401"/>
      <c r="N36" s="401"/>
      <c r="O36" s="401"/>
      <c r="P36" s="401"/>
      <c r="Q36" s="401"/>
    </row>
    <row r="37" spans="1:27" ht="30" customHeight="1">
      <c r="L37" s="401"/>
    </row>
  </sheetData>
  <mergeCells count="5">
    <mergeCell ref="H1:N1"/>
    <mergeCell ref="H2:H3"/>
    <mergeCell ref="I2:J2"/>
    <mergeCell ref="K2:L2"/>
    <mergeCell ref="M2:N2"/>
  </mergeCells>
  <printOptions horizontalCentered="1"/>
  <pageMargins left="0.98425196850393704" right="0.59055118110236227" top="1.9685039370078741" bottom="1.0629921259842521" header="0.39370078740157483" footer="0.39370078740157483"/>
  <pageSetup paperSize="9" scale="6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rgb="FF7030A0"/>
  </sheetPr>
  <dimension ref="A1:J37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47" customWidth="1"/>
    <col min="2" max="2" width="9.28515625" style="47" customWidth="1"/>
    <col min="3" max="6" width="17.28515625" style="47" customWidth="1"/>
    <col min="7" max="7" width="2.7109375" style="47" customWidth="1"/>
    <col min="8" max="16384" width="11.5703125" style="47"/>
  </cols>
  <sheetData>
    <row r="1" spans="1:10" s="42" customFormat="1" ht="30" customHeight="1" thickBot="1">
      <c r="B1" s="1572" t="s">
        <v>43</v>
      </c>
      <c r="C1" s="1572"/>
      <c r="D1" s="1572"/>
      <c r="E1" s="1572"/>
      <c r="F1" s="1572"/>
      <c r="G1" s="359"/>
    </row>
    <row r="2" spans="1:10" ht="21.75" customHeight="1">
      <c r="B2" s="1607" t="s">
        <v>1</v>
      </c>
      <c r="C2" s="1609" t="s">
        <v>10</v>
      </c>
      <c r="D2" s="1613" t="s">
        <v>29</v>
      </c>
      <c r="E2" s="1611" t="s">
        <v>11</v>
      </c>
      <c r="F2" s="1611" t="s">
        <v>30</v>
      </c>
      <c r="G2" s="591"/>
    </row>
    <row r="3" spans="1:10" s="72" customFormat="1" ht="66.75" customHeight="1" thickBot="1">
      <c r="B3" s="1608"/>
      <c r="C3" s="1610"/>
      <c r="D3" s="1614"/>
      <c r="E3" s="1612"/>
      <c r="F3" s="1612"/>
      <c r="G3" s="591"/>
      <c r="H3" s="64"/>
    </row>
    <row r="4" spans="1:10" ht="20.25" customHeight="1">
      <c r="A4" s="64"/>
      <c r="B4" s="81">
        <v>1</v>
      </c>
      <c r="C4" s="82">
        <f>'1 R1 Pop'!G5/C37</f>
        <v>4097.2646764498004</v>
      </c>
      <c r="D4" s="83">
        <f>C4</f>
        <v>4097.2646764498004</v>
      </c>
      <c r="E4" s="536">
        <f t="shared" ref="E4:E14" si="0">C4*H4</f>
        <v>2294.4682188118886</v>
      </c>
      <c r="F4" s="537">
        <f>E4</f>
        <v>2294.4682188118886</v>
      </c>
      <c r="G4" s="592"/>
      <c r="H4" s="69">
        <v>0.56000000000000005</v>
      </c>
      <c r="I4" s="47">
        <v>4</v>
      </c>
      <c r="J4" s="85"/>
    </row>
    <row r="5" spans="1:10" ht="20.25" customHeight="1">
      <c r="A5" s="64"/>
      <c r="B5" s="65">
        <v>2</v>
      </c>
      <c r="C5" s="82">
        <f>'1 R1 Pop'!G6/3.27</f>
        <v>4104.4681908200891</v>
      </c>
      <c r="D5" s="68">
        <f>C5</f>
        <v>4104.4681908200891</v>
      </c>
      <c r="E5" s="538">
        <f t="shared" si="0"/>
        <v>2298.5021868592503</v>
      </c>
      <c r="F5" s="539">
        <f>E5</f>
        <v>2298.5021868592503</v>
      </c>
      <c r="G5" s="592"/>
      <c r="H5" s="69">
        <v>0.56000000000000005</v>
      </c>
      <c r="I5" s="85">
        <f>E5-E4</f>
        <v>4.0339680473616681</v>
      </c>
      <c r="J5" s="85"/>
    </row>
    <row r="6" spans="1:10" ht="20.25" customHeight="1">
      <c r="A6" s="64"/>
      <c r="B6" s="65">
        <v>3</v>
      </c>
      <c r="C6" s="82">
        <f>'1 R1 Pop'!G7/$C$37</f>
        <v>4111.6717051903788</v>
      </c>
      <c r="D6" s="68">
        <f t="shared" ref="D6:D33" si="1">C6</f>
        <v>4111.6717051903788</v>
      </c>
      <c r="E6" s="538">
        <f t="shared" si="0"/>
        <v>2302.5361549066124</v>
      </c>
      <c r="F6" s="539">
        <f t="shared" ref="F6:F33" si="2">E6</f>
        <v>2302.5361549066124</v>
      </c>
      <c r="G6" s="592"/>
      <c r="H6" s="69">
        <v>0.56000000000000005</v>
      </c>
      <c r="I6" s="85">
        <f t="shared" ref="I6:I33" si="3">E6-E5</f>
        <v>4.0339680473621229</v>
      </c>
      <c r="J6" s="85"/>
    </row>
    <row r="7" spans="1:10" ht="20.25" customHeight="1">
      <c r="A7" s="64"/>
      <c r="B7" s="65">
        <v>4</v>
      </c>
      <c r="C7" s="82">
        <f>'1 R1 Pop'!G8/$C$37</f>
        <v>4119.0821839201117</v>
      </c>
      <c r="D7" s="68">
        <f t="shared" si="1"/>
        <v>4119.0821839201117</v>
      </c>
      <c r="E7" s="890">
        <f t="shared" si="0"/>
        <v>2306.6860229952626</v>
      </c>
      <c r="F7" s="891">
        <f t="shared" si="2"/>
        <v>2306.6860229952626</v>
      </c>
      <c r="G7" s="592"/>
      <c r="H7" s="69">
        <v>0.56000000000000005</v>
      </c>
      <c r="I7" s="85">
        <f t="shared" si="3"/>
        <v>4.149868088650237</v>
      </c>
      <c r="J7" s="85"/>
    </row>
    <row r="8" spans="1:10" ht="20.25" customHeight="1">
      <c r="A8" s="64"/>
      <c r="B8" s="65">
        <v>5</v>
      </c>
      <c r="C8" s="82">
        <f>'1 R1 Pop'!G9/$C$37</f>
        <v>4125.8810418547364</v>
      </c>
      <c r="D8" s="68">
        <f t="shared" si="1"/>
        <v>4125.8810418547364</v>
      </c>
      <c r="E8" s="890">
        <f t="shared" si="0"/>
        <v>2310.4933834386525</v>
      </c>
      <c r="F8" s="891">
        <f t="shared" si="2"/>
        <v>2310.4933834386525</v>
      </c>
      <c r="G8" s="592"/>
      <c r="H8" s="69">
        <v>0.56000000000000005</v>
      </c>
      <c r="I8" s="85">
        <f t="shared" si="3"/>
        <v>3.8073604433898254</v>
      </c>
      <c r="J8" s="85"/>
    </row>
    <row r="9" spans="1:10" ht="20.25" customHeight="1">
      <c r="A9" s="64"/>
      <c r="B9" s="65">
        <v>6</v>
      </c>
      <c r="C9" s="82">
        <f>'1 R1 Pop'!G10/$C$37</f>
        <v>4132.8822280071936</v>
      </c>
      <c r="D9" s="68">
        <f t="shared" si="1"/>
        <v>4132.8822280071936</v>
      </c>
      <c r="E9" s="890">
        <f t="shared" si="0"/>
        <v>2397.071692244172</v>
      </c>
      <c r="F9" s="891">
        <f t="shared" si="2"/>
        <v>2397.071692244172</v>
      </c>
      <c r="G9" s="592"/>
      <c r="H9" s="69">
        <v>0.57999999999999996</v>
      </c>
      <c r="I9" s="85">
        <f t="shared" si="3"/>
        <v>86.578308805519555</v>
      </c>
      <c r="J9" s="85"/>
    </row>
    <row r="10" spans="1:10" ht="20.25" customHeight="1">
      <c r="A10" s="64"/>
      <c r="B10" s="65">
        <v>7</v>
      </c>
      <c r="C10" s="82">
        <f>'1 R1 Pop'!G11/$C$37</f>
        <v>4139.1729473264331</v>
      </c>
      <c r="D10" s="68">
        <f t="shared" si="1"/>
        <v>4139.1729473264331</v>
      </c>
      <c r="E10" s="890">
        <f t="shared" si="0"/>
        <v>2814.6376041819749</v>
      </c>
      <c r="F10" s="891">
        <f t="shared" si="2"/>
        <v>2814.6376041819749</v>
      </c>
      <c r="G10" s="592"/>
      <c r="H10" s="69">
        <v>0.68</v>
      </c>
      <c r="I10" s="85">
        <f t="shared" si="3"/>
        <v>417.56591193780287</v>
      </c>
      <c r="J10" s="85"/>
    </row>
    <row r="11" spans="1:10" ht="20.25" customHeight="1">
      <c r="A11" s="64"/>
      <c r="B11" s="65">
        <v>8</v>
      </c>
      <c r="C11" s="82">
        <f>'1 R1 Pop'!G12/$C$37</f>
        <v>4145.4636666456727</v>
      </c>
      <c r="D11" s="68">
        <f t="shared" si="1"/>
        <v>4145.4636666456727</v>
      </c>
      <c r="E11" s="890">
        <f t="shared" si="0"/>
        <v>2984.7338399848841</v>
      </c>
      <c r="F11" s="891">
        <f t="shared" si="2"/>
        <v>2984.7338399848841</v>
      </c>
      <c r="G11" s="592"/>
      <c r="H11" s="69">
        <v>0.72</v>
      </c>
      <c r="I11" s="85">
        <f t="shared" si="3"/>
        <v>170.09623580290918</v>
      </c>
      <c r="J11" s="85"/>
    </row>
    <row r="12" spans="1:10" ht="20.25" customHeight="1">
      <c r="A12" s="64"/>
      <c r="B12" s="65">
        <v>9</v>
      </c>
      <c r="C12" s="82">
        <f>'1 R1 Pop'!G13/$C$37</f>
        <v>4151.7543859649122</v>
      </c>
      <c r="D12" s="68">
        <f t="shared" si="1"/>
        <v>4151.7543859649122</v>
      </c>
      <c r="E12" s="890">
        <f t="shared" si="0"/>
        <v>3113.8157894736842</v>
      </c>
      <c r="F12" s="891">
        <f t="shared" si="2"/>
        <v>3113.8157894736842</v>
      </c>
      <c r="G12" s="592"/>
      <c r="H12" s="69">
        <v>0.75</v>
      </c>
      <c r="I12" s="85">
        <f t="shared" si="3"/>
        <v>129.08194948880009</v>
      </c>
      <c r="J12" s="85"/>
    </row>
    <row r="13" spans="1:10" ht="20.25" customHeight="1">
      <c r="A13" s="64"/>
      <c r="B13" s="65">
        <v>10</v>
      </c>
      <c r="C13" s="82">
        <f>'1 R1 Pop'!G14/$C$37</f>
        <v>4158.3509156817054</v>
      </c>
      <c r="D13" s="68">
        <f t="shared" si="1"/>
        <v>4158.3509156817054</v>
      </c>
      <c r="E13" s="890">
        <f t="shared" si="0"/>
        <v>3285.0972233885473</v>
      </c>
      <c r="F13" s="891">
        <f t="shared" si="2"/>
        <v>3285.0972233885473</v>
      </c>
      <c r="G13" s="592"/>
      <c r="H13" s="69">
        <v>0.79</v>
      </c>
      <c r="I13" s="85">
        <f t="shared" si="3"/>
        <v>171.2814339148631</v>
      </c>
      <c r="J13" s="85"/>
    </row>
    <row r="14" spans="1:10" ht="20.25" customHeight="1">
      <c r="A14" s="64"/>
      <c r="B14" s="65">
        <v>11</v>
      </c>
      <c r="C14" s="82">
        <f>'1 R1 Pop'!G15/$C$37</f>
        <v>4164.8439632187765</v>
      </c>
      <c r="D14" s="68">
        <f t="shared" si="1"/>
        <v>4164.8439632187765</v>
      </c>
      <c r="E14" s="890">
        <f t="shared" si="0"/>
        <v>3623.4142480003356</v>
      </c>
      <c r="F14" s="891">
        <f t="shared" si="2"/>
        <v>3623.4142480003356</v>
      </c>
      <c r="G14" s="592"/>
      <c r="H14" s="69">
        <v>0.87</v>
      </c>
      <c r="I14" s="85">
        <f t="shared" si="3"/>
        <v>338.31702461178838</v>
      </c>
      <c r="J14" s="85"/>
    </row>
    <row r="15" spans="1:10" ht="20.25" customHeight="1">
      <c r="A15" s="64"/>
      <c r="B15" s="65">
        <v>12</v>
      </c>
      <c r="C15" s="82">
        <f>'1 R1 Pop'!G16/$C$37</f>
        <v>4170.8288721404624</v>
      </c>
      <c r="D15" s="68">
        <f t="shared" si="1"/>
        <v>4170.8288721404624</v>
      </c>
      <c r="E15" s="86">
        <v>4132.912246030095</v>
      </c>
      <c r="F15" s="87">
        <f t="shared" si="2"/>
        <v>4132.912246030095</v>
      </c>
      <c r="G15" s="592"/>
      <c r="H15" s="84"/>
      <c r="I15" s="85">
        <f t="shared" si="3"/>
        <v>509.4979980297594</v>
      </c>
      <c r="J15" s="85"/>
    </row>
    <row r="16" spans="1:10" ht="20.25" customHeight="1">
      <c r="A16" s="64"/>
      <c r="B16" s="65">
        <v>13</v>
      </c>
      <c r="C16" s="82">
        <f>'1 R1 Pop'!G17/$C$37</f>
        <v>4176.8137810621483</v>
      </c>
      <c r="D16" s="68">
        <f t="shared" si="1"/>
        <v>4176.8137810621483</v>
      </c>
      <c r="E16" s="86">
        <v>4138.8427466888561</v>
      </c>
      <c r="F16" s="87">
        <f t="shared" si="2"/>
        <v>4138.8427466888561</v>
      </c>
      <c r="G16" s="592"/>
      <c r="H16" s="84"/>
      <c r="I16" s="85">
        <f t="shared" si="3"/>
        <v>5.9305006587610478</v>
      </c>
      <c r="J16" s="85"/>
    </row>
    <row r="17" spans="1:10" ht="20.25" customHeight="1">
      <c r="A17" s="64"/>
      <c r="B17" s="65">
        <v>14</v>
      </c>
      <c r="C17" s="82">
        <f>'1 R1 Pop'!G18/$C$37</f>
        <v>4182.7986899838343</v>
      </c>
      <c r="D17" s="68">
        <f t="shared" si="1"/>
        <v>4182.7986899838343</v>
      </c>
      <c r="E17" s="86">
        <v>4144.7732473476181</v>
      </c>
      <c r="F17" s="87">
        <f t="shared" si="2"/>
        <v>4144.7732473476181</v>
      </c>
      <c r="G17" s="592"/>
      <c r="H17" s="84"/>
      <c r="I17" s="85">
        <f t="shared" si="3"/>
        <v>5.9305006587619573</v>
      </c>
      <c r="J17" s="85"/>
    </row>
    <row r="18" spans="1:10" ht="20.25" customHeight="1">
      <c r="A18" s="64"/>
      <c r="B18" s="65">
        <v>15</v>
      </c>
      <c r="C18" s="82">
        <f>'1 R1 Pop'!G19/$C$37</f>
        <v>4188.7835989055211</v>
      </c>
      <c r="D18" s="68">
        <f t="shared" si="1"/>
        <v>4188.7835989055211</v>
      </c>
      <c r="E18" s="86">
        <v>4150.70374800638</v>
      </c>
      <c r="F18" s="87">
        <f t="shared" si="2"/>
        <v>4150.70374800638</v>
      </c>
      <c r="G18" s="592"/>
      <c r="H18" s="84"/>
      <c r="I18" s="85">
        <f t="shared" si="3"/>
        <v>5.9305006587619573</v>
      </c>
      <c r="J18" s="85"/>
    </row>
    <row r="19" spans="1:10" ht="20.25" customHeight="1">
      <c r="A19" s="64"/>
      <c r="B19" s="65">
        <v>16</v>
      </c>
      <c r="C19" s="82">
        <f>'1 R1 Pop'!G20/$C$37</f>
        <v>4193.5591746618238</v>
      </c>
      <c r="D19" s="68">
        <f t="shared" si="1"/>
        <v>4193.5591746618238</v>
      </c>
      <c r="E19" s="86">
        <v>4155.4359094376259</v>
      </c>
      <c r="F19" s="87">
        <f t="shared" si="2"/>
        <v>4155.4359094376259</v>
      </c>
      <c r="G19" s="592"/>
      <c r="H19" s="84"/>
      <c r="I19" s="85">
        <f t="shared" si="3"/>
        <v>4.7321614312459133</v>
      </c>
      <c r="J19" s="85"/>
    </row>
    <row r="20" spans="1:10" ht="20.25" customHeight="1">
      <c r="A20" s="64"/>
      <c r="B20" s="65">
        <v>17</v>
      </c>
      <c r="C20" s="82">
        <f>'1 R1 Pop'!G21/$C$37</f>
        <v>4198.4289603146271</v>
      </c>
      <c r="D20" s="68">
        <f t="shared" si="1"/>
        <v>4198.4289603146271</v>
      </c>
      <c r="E20" s="86">
        <v>4160.2614243117678</v>
      </c>
      <c r="F20" s="87">
        <f t="shared" si="2"/>
        <v>4160.2614243117678</v>
      </c>
      <c r="G20" s="592"/>
      <c r="H20" s="84"/>
      <c r="I20" s="85">
        <f t="shared" si="3"/>
        <v>4.8255148741418452</v>
      </c>
      <c r="J20" s="85"/>
    </row>
    <row r="21" spans="1:10" ht="20.25" customHeight="1">
      <c r="A21" s="64"/>
      <c r="B21" s="65">
        <v>18</v>
      </c>
      <c r="C21" s="82">
        <f>'1 R1 Pop'!G22/$C$37</f>
        <v>4203.2987459674314</v>
      </c>
      <c r="D21" s="68">
        <f t="shared" si="1"/>
        <v>4203.2987459674314</v>
      </c>
      <c r="E21" s="86">
        <v>4165.0869391859096</v>
      </c>
      <c r="F21" s="87">
        <f t="shared" si="2"/>
        <v>4165.0869391859096</v>
      </c>
      <c r="G21" s="592"/>
      <c r="H21" s="84"/>
      <c r="I21" s="85">
        <f t="shared" si="3"/>
        <v>4.8255148741418452</v>
      </c>
      <c r="J21" s="85"/>
    </row>
    <row r="22" spans="1:10" s="72" customFormat="1" ht="20.25" customHeight="1">
      <c r="A22" s="64"/>
      <c r="B22" s="65">
        <v>19</v>
      </c>
      <c r="C22" s="82">
        <f>'1 R1 Pop'!G23/$C$37</f>
        <v>4208.1685316202356</v>
      </c>
      <c r="D22" s="68">
        <f t="shared" si="1"/>
        <v>4208.1685316202356</v>
      </c>
      <c r="E22" s="86">
        <v>4169.9124540600515</v>
      </c>
      <c r="F22" s="87">
        <f t="shared" si="2"/>
        <v>4169.9124540600515</v>
      </c>
      <c r="G22" s="592"/>
      <c r="H22" s="84"/>
      <c r="I22" s="85">
        <f t="shared" si="3"/>
        <v>4.8255148741418452</v>
      </c>
      <c r="J22" s="85"/>
    </row>
    <row r="23" spans="1:10" ht="20.25" customHeight="1">
      <c r="A23" s="64"/>
      <c r="B23" s="65">
        <v>20</v>
      </c>
      <c r="C23" s="82">
        <f>'1 R1 Pop'!G24/$C$37</f>
        <v>4213.038317273039</v>
      </c>
      <c r="D23" s="68">
        <f t="shared" si="1"/>
        <v>4213.038317273039</v>
      </c>
      <c r="E23" s="86">
        <v>4174.7379689341933</v>
      </c>
      <c r="F23" s="87">
        <f t="shared" si="2"/>
        <v>4174.7379689341933</v>
      </c>
      <c r="G23" s="592"/>
      <c r="H23" s="84"/>
      <c r="I23" s="85">
        <f t="shared" si="3"/>
        <v>4.8255148741418452</v>
      </c>
      <c r="J23" s="85"/>
    </row>
    <row r="24" spans="1:10" ht="20.25" customHeight="1">
      <c r="A24" s="64"/>
      <c r="B24" s="65">
        <v>21</v>
      </c>
      <c r="C24" s="82">
        <f>'1 R1 Pop'!G25/$C$37</f>
        <v>4219.0278623363356</v>
      </c>
      <c r="D24" s="68">
        <f t="shared" si="1"/>
        <v>4219.0278623363356</v>
      </c>
      <c r="E24" s="86">
        <v>4180.673063587823</v>
      </c>
      <c r="F24" s="87">
        <f t="shared" si="2"/>
        <v>4180.673063587823</v>
      </c>
      <c r="G24" s="592"/>
      <c r="H24" s="84"/>
      <c r="I24" s="85">
        <f t="shared" si="3"/>
        <v>5.935094653629676</v>
      </c>
      <c r="J24" s="85"/>
    </row>
    <row r="25" spans="1:10" ht="20.25" customHeight="1">
      <c r="A25" s="64"/>
      <c r="B25" s="65">
        <v>22</v>
      </c>
      <c r="C25" s="82">
        <f>'1 R1 Pop'!G26/$C$37</f>
        <v>4223.1871811559213</v>
      </c>
      <c r="D25" s="68">
        <f t="shared" si="1"/>
        <v>4223.1871811559213</v>
      </c>
      <c r="E25" s="86">
        <v>4184.7945704181402</v>
      </c>
      <c r="F25" s="87">
        <f t="shared" si="2"/>
        <v>4184.7945704181402</v>
      </c>
      <c r="G25" s="592"/>
      <c r="H25" s="84"/>
      <c r="I25" s="85">
        <f t="shared" si="3"/>
        <v>4.1215068303172302</v>
      </c>
      <c r="J25" s="85"/>
    </row>
    <row r="26" spans="1:10" s="72" customFormat="1" ht="20.25" customHeight="1">
      <c r="A26" s="64"/>
      <c r="B26" s="65">
        <v>23</v>
      </c>
      <c r="C26" s="82">
        <f>'1 R1 Pop'!G27/$C$37</f>
        <v>4227.346499975507</v>
      </c>
      <c r="D26" s="68">
        <f t="shared" si="1"/>
        <v>4227.346499975507</v>
      </c>
      <c r="E26" s="86">
        <v>4188.9160772484574</v>
      </c>
      <c r="F26" s="87">
        <f t="shared" si="2"/>
        <v>4188.9160772484574</v>
      </c>
      <c r="G26" s="592"/>
      <c r="H26" s="84"/>
      <c r="I26" s="85">
        <f t="shared" si="3"/>
        <v>4.1215068303172302</v>
      </c>
      <c r="J26" s="85"/>
    </row>
    <row r="27" spans="1:10" s="72" customFormat="1" ht="20.25" customHeight="1">
      <c r="A27" s="64"/>
      <c r="B27" s="65">
        <v>24</v>
      </c>
      <c r="C27" s="82">
        <f>'1 R1 Pop'!G28/$C$37</f>
        <v>4231.5058187950935</v>
      </c>
      <c r="D27" s="68">
        <f t="shared" si="1"/>
        <v>4231.5058187950935</v>
      </c>
      <c r="E27" s="86">
        <v>4193.0375840787747</v>
      </c>
      <c r="F27" s="87">
        <f t="shared" si="2"/>
        <v>4193.0375840787747</v>
      </c>
      <c r="G27" s="592"/>
      <c r="H27" s="84"/>
      <c r="I27" s="85">
        <f t="shared" si="3"/>
        <v>4.1215068303172302</v>
      </c>
      <c r="J27" s="85"/>
    </row>
    <row r="28" spans="1:10" ht="20.25" customHeight="1">
      <c r="A28" s="64"/>
      <c r="B28" s="65">
        <v>25</v>
      </c>
      <c r="C28" s="82">
        <f>'1 R1 Pop'!G29/$C$37</f>
        <v>4235.6651376146792</v>
      </c>
      <c r="D28" s="68">
        <f t="shared" si="1"/>
        <v>4235.6651376146792</v>
      </c>
      <c r="E28" s="86">
        <v>4197.159090909091</v>
      </c>
      <c r="F28" s="87">
        <f t="shared" si="2"/>
        <v>4197.159090909091</v>
      </c>
      <c r="G28" s="592"/>
      <c r="H28" s="84"/>
      <c r="I28" s="85">
        <f t="shared" si="3"/>
        <v>4.1215068303163207</v>
      </c>
      <c r="J28" s="85"/>
    </row>
    <row r="29" spans="1:10" ht="20.25" customHeight="1">
      <c r="A29" s="64"/>
      <c r="B29" s="65">
        <v>26</v>
      </c>
      <c r="C29" s="82">
        <f>'1 R1 Pop'!G30/$C$37</f>
        <v>4241.654682677975</v>
      </c>
      <c r="D29" s="68">
        <f t="shared" si="1"/>
        <v>4241.654682677975</v>
      </c>
      <c r="E29" s="86">
        <v>4203.0941855627216</v>
      </c>
      <c r="F29" s="87">
        <f t="shared" si="2"/>
        <v>4203.0941855627216</v>
      </c>
      <c r="G29" s="592"/>
      <c r="H29" s="84"/>
      <c r="I29" s="85">
        <f t="shared" si="3"/>
        <v>5.9350946536305855</v>
      </c>
      <c r="J29" s="85"/>
    </row>
    <row r="30" spans="1:10" ht="20.25" customHeight="1">
      <c r="A30" s="64"/>
      <c r="B30" s="65">
        <v>27</v>
      </c>
      <c r="C30" s="82">
        <f>'1 R1 Pop'!G31/$C$37</f>
        <v>4246.016329715394</v>
      </c>
      <c r="D30" s="68">
        <f t="shared" si="1"/>
        <v>4246.016329715394</v>
      </c>
      <c r="E30" s="86">
        <v>4207.4161812634356</v>
      </c>
      <c r="F30" s="87">
        <f t="shared" si="2"/>
        <v>4207.4161812634356</v>
      </c>
      <c r="G30" s="592"/>
      <c r="H30" s="84"/>
      <c r="I30" s="85">
        <f t="shared" si="3"/>
        <v>4.3219957007140692</v>
      </c>
      <c r="J30" s="85"/>
    </row>
    <row r="31" spans="1:10" ht="20.25" customHeight="1">
      <c r="A31" s="64"/>
      <c r="B31" s="65">
        <v>28</v>
      </c>
      <c r="C31" s="82">
        <f>'1 R1 Pop'!G32/$C$37</f>
        <v>4250.4814589325324</v>
      </c>
      <c r="D31" s="68">
        <f t="shared" si="1"/>
        <v>4250.4814589325324</v>
      </c>
      <c r="E31" s="86">
        <v>4211.8407183967829</v>
      </c>
      <c r="F31" s="87">
        <f t="shared" si="2"/>
        <v>4211.8407183967829</v>
      </c>
      <c r="G31" s="592"/>
      <c r="H31" s="84"/>
      <c r="I31" s="85">
        <f t="shared" si="3"/>
        <v>4.4245371333472576</v>
      </c>
      <c r="J31" s="85"/>
    </row>
    <row r="32" spans="1:10" ht="20.25" customHeight="1">
      <c r="A32" s="64"/>
      <c r="B32" s="65">
        <v>29</v>
      </c>
      <c r="C32" s="82">
        <f>'1 R1 Pop'!G33/$C$37</f>
        <v>4255.1489163675042</v>
      </c>
      <c r="D32" s="68">
        <f t="shared" si="1"/>
        <v>4255.1489163675042</v>
      </c>
      <c r="E32" s="86">
        <v>4216.4657444005279</v>
      </c>
      <c r="F32" s="87">
        <f t="shared" si="2"/>
        <v>4216.4657444005279</v>
      </c>
      <c r="G32" s="592"/>
      <c r="H32" s="84"/>
      <c r="I32" s="85">
        <f t="shared" si="3"/>
        <v>4.6250260037450062</v>
      </c>
      <c r="J32" s="85"/>
    </row>
    <row r="33" spans="1:10" ht="20.25" customHeight="1" thickBot="1">
      <c r="A33" s="64"/>
      <c r="B33" s="73">
        <v>30</v>
      </c>
      <c r="C33" s="374">
        <f>'1 R1 Pop'!G34/$C$37</f>
        <v>4257.6849733028221</v>
      </c>
      <c r="D33" s="76">
        <f t="shared" si="1"/>
        <v>4257.6849733028221</v>
      </c>
      <c r="E33" s="375">
        <f>D33*100%</f>
        <v>4257.6849733028221</v>
      </c>
      <c r="F33" s="376">
        <f t="shared" si="2"/>
        <v>4257.6849733028221</v>
      </c>
      <c r="G33" s="592"/>
      <c r="H33" s="84"/>
      <c r="I33" s="85">
        <f t="shared" si="3"/>
        <v>41.219228902294162</v>
      </c>
      <c r="J33" s="85"/>
    </row>
    <row r="34" spans="1:10">
      <c r="A34" s="72"/>
      <c r="I34" s="85">
        <f>SUM(I4:I33)</f>
        <v>1967.2167544909335</v>
      </c>
    </row>
    <row r="35" spans="1:10">
      <c r="D35" s="88"/>
      <c r="E35" s="88"/>
      <c r="F35" s="88"/>
      <c r="G35" s="88"/>
      <c r="I35" s="85"/>
    </row>
    <row r="37" spans="1:10">
      <c r="C37" s="23">
        <v>3.27</v>
      </c>
      <c r="D37" s="47" t="s">
        <v>55</v>
      </c>
    </row>
  </sheetData>
  <mergeCells count="6">
    <mergeCell ref="B2:B3"/>
    <mergeCell ref="C2:C3"/>
    <mergeCell ref="F2:F3"/>
    <mergeCell ref="B1:F1"/>
    <mergeCell ref="E2:E3"/>
    <mergeCell ref="D2:D3"/>
  </mergeCells>
  <phoneticPr fontId="12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ignoredErrors>
    <ignoredError sqref="E33 E4:E14" formula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rgb="FF00B050"/>
    <pageSetUpPr fitToPage="1"/>
  </sheetPr>
  <dimension ref="B1:N42"/>
  <sheetViews>
    <sheetView showGridLines="0" workbookViewId="0">
      <selection activeCell="B20" sqref="B20"/>
    </sheetView>
  </sheetViews>
  <sheetFormatPr defaultColWidth="11.5703125" defaultRowHeight="14.25"/>
  <cols>
    <col min="1" max="1" width="2.7109375" style="41" customWidth="1"/>
    <col min="2" max="2" width="9.7109375" style="41" customWidth="1"/>
    <col min="3" max="7" width="22.85546875" style="41" customWidth="1"/>
    <col min="8" max="8" width="2.7109375" style="41" customWidth="1"/>
    <col min="9" max="17" width="11.5703125" style="41" customWidth="1"/>
    <col min="18" max="16384" width="11.5703125" style="41"/>
  </cols>
  <sheetData>
    <row r="1" spans="2:14" ht="30" customHeight="1" thickBot="1">
      <c r="B1" s="89" t="s">
        <v>44</v>
      </c>
      <c r="J1" s="92" t="s">
        <v>58</v>
      </c>
      <c r="K1" s="92" t="s">
        <v>59</v>
      </c>
      <c r="L1" s="92" t="s">
        <v>60</v>
      </c>
      <c r="M1" s="92" t="s">
        <v>61</v>
      </c>
      <c r="N1" s="345"/>
    </row>
    <row r="2" spans="2:14" ht="21.75" customHeight="1">
      <c r="B2" s="1617" t="s">
        <v>1</v>
      </c>
      <c r="C2" s="1619" t="s">
        <v>260</v>
      </c>
      <c r="D2" s="1621" t="s">
        <v>261</v>
      </c>
      <c r="E2" s="1621" t="s">
        <v>262</v>
      </c>
      <c r="F2" s="1621" t="s">
        <v>263</v>
      </c>
      <c r="G2" s="1621" t="s">
        <v>8</v>
      </c>
      <c r="J2" s="1615" t="s">
        <v>56</v>
      </c>
      <c r="K2" s="1615" t="s">
        <v>62</v>
      </c>
      <c r="L2" s="1615" t="s">
        <v>57</v>
      </c>
      <c r="M2" s="90"/>
      <c r="N2" s="346"/>
    </row>
    <row r="3" spans="2:14" s="89" customFormat="1" ht="30.75" customHeight="1" thickBot="1">
      <c r="B3" s="1618"/>
      <c r="C3" s="1620"/>
      <c r="D3" s="1622"/>
      <c r="E3" s="1622"/>
      <c r="F3" s="1622"/>
      <c r="G3" s="1622"/>
      <c r="H3" s="41"/>
      <c r="I3" s="41"/>
      <c r="J3" s="1616"/>
      <c r="K3" s="1616"/>
      <c r="L3" s="1616"/>
      <c r="M3" s="91"/>
      <c r="N3" s="347"/>
    </row>
    <row r="4" spans="2:14" ht="20.25" customHeight="1">
      <c r="B4" s="93">
        <v>1</v>
      </c>
      <c r="C4" s="94">
        <f>D4/(1-G4)</f>
        <v>1153299.4359067942</v>
      </c>
      <c r="D4" s="94">
        <f>(('1 R1 Pop'!G5*'3 Vol'!K4)/1000)*365</f>
        <v>576649.71795339708</v>
      </c>
      <c r="E4" s="94">
        <f>L4*(60*60*24*365)/1000</f>
        <v>576649.71795339708</v>
      </c>
      <c r="F4" s="95">
        <f>E4/M4</f>
        <v>721108.36546377453</v>
      </c>
      <c r="G4" s="343">
        <v>0.5</v>
      </c>
      <c r="J4" s="96">
        <v>36.497889428739995</v>
      </c>
      <c r="K4" s="96">
        <v>117.91727851199218</v>
      </c>
      <c r="L4" s="96">
        <v>18.285442603798739</v>
      </c>
      <c r="M4" s="97">
        <v>0.79967137474896699</v>
      </c>
      <c r="N4" s="348"/>
    </row>
    <row r="5" spans="2:14" ht="20.25" customHeight="1">
      <c r="B5" s="98">
        <v>2</v>
      </c>
      <c r="C5" s="94">
        <f t="shared" ref="C5:C33" si="0">D5/(1-G5)</f>
        <v>1087946.0179781113</v>
      </c>
      <c r="D5" s="94">
        <f>(('1 R1 Pop'!G6*'3 Vol'!K5)/1000)*365</f>
        <v>587490.84970818018</v>
      </c>
      <c r="E5" s="94">
        <f t="shared" ref="E5:E33" si="1">L5*(60*60*24*365)/1000</f>
        <v>587490.84970818018</v>
      </c>
      <c r="F5" s="95">
        <f t="shared" ref="F5:F33" si="2">E5/M5</f>
        <v>734665.34911619837</v>
      </c>
      <c r="G5" s="344">
        <v>0.46</v>
      </c>
      <c r="J5" s="99">
        <v>34.498541919650918</v>
      </c>
      <c r="K5" s="99">
        <v>119.9233068015607</v>
      </c>
      <c r="L5" s="99">
        <v>18.629212636611499</v>
      </c>
      <c r="M5" s="97">
        <v>0.79967137474896699</v>
      </c>
      <c r="N5" s="348"/>
    </row>
    <row r="6" spans="2:14" ht="20.25" customHeight="1">
      <c r="B6" s="98">
        <v>3</v>
      </c>
      <c r="C6" s="94">
        <f t="shared" si="0"/>
        <v>997277.46023463074</v>
      </c>
      <c r="D6" s="94">
        <f>(('1 R1 Pop'!G7*'3 Vol'!K6)/1000)*365</f>
        <v>598366.4761407784</v>
      </c>
      <c r="E6" s="94">
        <f t="shared" si="1"/>
        <v>598366.4761407784</v>
      </c>
      <c r="F6" s="95">
        <f t="shared" si="2"/>
        <v>748265.46883539215</v>
      </c>
      <c r="G6" s="344">
        <v>0.4</v>
      </c>
      <c r="J6" s="99">
        <v>31.623460814137196</v>
      </c>
      <c r="K6" s="99">
        <v>121.92933509112919</v>
      </c>
      <c r="L6" s="99">
        <v>18.974076488482318</v>
      </c>
      <c r="M6" s="97">
        <v>0.79967137474896699</v>
      </c>
      <c r="N6" s="348"/>
    </row>
    <row r="7" spans="2:14" ht="20.25" customHeight="1">
      <c r="B7" s="98">
        <v>4</v>
      </c>
      <c r="C7" s="94">
        <f t="shared" si="0"/>
        <v>937395.71084783855</v>
      </c>
      <c r="D7" s="94">
        <f>(('1 R1 Pop'!G8*'3 Vol'!K7)/1000)*365</f>
        <v>609307.21205109509</v>
      </c>
      <c r="E7" s="94">
        <f t="shared" si="1"/>
        <v>609307.21205109498</v>
      </c>
      <c r="F7" s="95">
        <f t="shared" si="2"/>
        <v>761947.00884768926</v>
      </c>
      <c r="G7" s="344">
        <v>0.35</v>
      </c>
      <c r="J7" s="99">
        <v>29.724622997458095</v>
      </c>
      <c r="K7" s="99">
        <v>123.93536338069769</v>
      </c>
      <c r="L7" s="99">
        <v>19.321004948347763</v>
      </c>
      <c r="M7" s="97">
        <v>0.79967137474896699</v>
      </c>
      <c r="N7" s="348"/>
    </row>
    <row r="8" spans="2:14" ht="20.25" customHeight="1">
      <c r="B8" s="98">
        <v>5</v>
      </c>
      <c r="C8" s="94">
        <f t="shared" si="0"/>
        <v>885987.85212970909</v>
      </c>
      <c r="D8" s="94">
        <f>(('1 R1 Pop'!G9*'3 Vol'!K8)/1000)*365</f>
        <v>620191.49649079633</v>
      </c>
      <c r="E8" s="94">
        <f t="shared" si="1"/>
        <v>620191.49649079633</v>
      </c>
      <c r="F8" s="95">
        <f t="shared" si="2"/>
        <v>775557.955523276</v>
      </c>
      <c r="G8" s="344">
        <v>0.3</v>
      </c>
      <c r="J8" s="99">
        <v>28.094490491175456</v>
      </c>
      <c r="K8" s="99">
        <v>125.94139167026621</v>
      </c>
      <c r="L8" s="99">
        <v>19.666143343822817</v>
      </c>
      <c r="M8" s="97">
        <v>0.79967137474896699</v>
      </c>
      <c r="N8" s="348"/>
    </row>
    <row r="9" spans="2:14" ht="20.25" customHeight="1">
      <c r="B9" s="98">
        <v>6</v>
      </c>
      <c r="C9" s="94">
        <f t="shared" si="0"/>
        <v>876582.27187373373</v>
      </c>
      <c r="D9" s="94">
        <f>(('1 R1 Pop'!G10*'3 Vol'!K9)/1000)*365</f>
        <v>631139.23574908823</v>
      </c>
      <c r="E9" s="94">
        <f t="shared" si="1"/>
        <v>631139.23574908834</v>
      </c>
      <c r="F9" s="95">
        <f t="shared" si="2"/>
        <v>789248.253318078</v>
      </c>
      <c r="G9" s="344">
        <v>0.28000000000000003</v>
      </c>
      <c r="J9" s="99">
        <v>27.79624149777187</v>
      </c>
      <c r="K9" s="99">
        <v>127.94741995983472</v>
      </c>
      <c r="L9" s="99">
        <v>20.013293878395746</v>
      </c>
      <c r="M9" s="97">
        <v>0.79967137474896699</v>
      </c>
      <c r="N9" s="348"/>
    </row>
    <row r="10" spans="2:14" ht="20.25" customHeight="1">
      <c r="B10" s="98">
        <v>7</v>
      </c>
      <c r="C10" s="94">
        <f t="shared" si="0"/>
        <v>854189.05653049541</v>
      </c>
      <c r="D10" s="94">
        <f>(('1 R1 Pop'!G11*'3 Vol'!K10)/1000)*365</f>
        <v>632099.9018325666</v>
      </c>
      <c r="E10" s="94">
        <f t="shared" si="1"/>
        <v>632099.9018325666</v>
      </c>
      <c r="F10" s="95">
        <f t="shared" si="2"/>
        <v>790449.57940503443</v>
      </c>
      <c r="G10" s="344">
        <v>0.26</v>
      </c>
      <c r="J10" s="99">
        <v>27.086157297390137</v>
      </c>
      <c r="K10" s="99">
        <v>127.94741995983472</v>
      </c>
      <c r="L10" s="99">
        <v>20.043756400068702</v>
      </c>
      <c r="M10" s="97">
        <v>0.79967137474896699</v>
      </c>
      <c r="N10" s="348"/>
    </row>
    <row r="11" spans="2:14" ht="20.25" customHeight="1">
      <c r="B11" s="98">
        <v>8</v>
      </c>
      <c r="C11" s="94">
        <f t="shared" si="0"/>
        <v>844080.75722139317</v>
      </c>
      <c r="D11" s="94">
        <f>(('1 R1 Pop'!G12*'3 Vol'!K11)/1000)*365</f>
        <v>633060.56791604485</v>
      </c>
      <c r="E11" s="94">
        <f t="shared" si="1"/>
        <v>633060.56791604485</v>
      </c>
      <c r="F11" s="95">
        <f t="shared" si="2"/>
        <v>791650.90549199085</v>
      </c>
      <c r="G11" s="344">
        <v>0.25</v>
      </c>
      <c r="J11" s="99">
        <v>26.413445949660069</v>
      </c>
      <c r="K11" s="99">
        <v>127.94741995983472</v>
      </c>
      <c r="L11" s="99">
        <v>20.074218921741654</v>
      </c>
      <c r="M11" s="97">
        <v>0.79967137474896699</v>
      </c>
      <c r="N11" s="348"/>
    </row>
    <row r="12" spans="2:14" ht="20.25" customHeight="1">
      <c r="B12" s="98">
        <v>9</v>
      </c>
      <c r="C12" s="94">
        <f t="shared" si="0"/>
        <v>845361.64533269766</v>
      </c>
      <c r="D12" s="94">
        <f>(('1 R1 Pop'!G13*'3 Vol'!K12)/1000)*365</f>
        <v>634021.23399952322</v>
      </c>
      <c r="E12" s="94">
        <f t="shared" si="1"/>
        <v>634021.23399952333</v>
      </c>
      <c r="F12" s="95">
        <f t="shared" si="2"/>
        <v>792852.23157894751</v>
      </c>
      <c r="G12" s="344">
        <f>G11</f>
        <v>0.25</v>
      </c>
      <c r="J12" s="99">
        <v>25.775232619762324</v>
      </c>
      <c r="K12" s="99">
        <v>127.94741995983472</v>
      </c>
      <c r="L12" s="99">
        <v>20.104681443414613</v>
      </c>
      <c r="M12" s="97">
        <v>0.79967137474896699</v>
      </c>
      <c r="N12" s="348"/>
    </row>
    <row r="13" spans="2:14" ht="20.25" customHeight="1">
      <c r="B13" s="98">
        <v>10</v>
      </c>
      <c r="C13" s="94">
        <f t="shared" si="0"/>
        <v>846704.80118838232</v>
      </c>
      <c r="D13" s="94">
        <f>(('1 R1 Pop'!G14*'3 Vol'!K13)/1000)*365</f>
        <v>635028.60089128674</v>
      </c>
      <c r="E13" s="94">
        <f t="shared" si="1"/>
        <v>635028.60089128674</v>
      </c>
      <c r="F13" s="95">
        <f t="shared" si="2"/>
        <v>794111.95766590373</v>
      </c>
      <c r="G13" s="344">
        <f t="shared" ref="G13:G33" si="3">G12</f>
        <v>0.25</v>
      </c>
      <c r="J13" s="99">
        <v>25.170781047504704</v>
      </c>
      <c r="K13" s="99">
        <v>127.94741995983472</v>
      </c>
      <c r="L13" s="99">
        <v>20.136624838003765</v>
      </c>
      <c r="M13" s="97">
        <v>0.79967137474896699</v>
      </c>
      <c r="N13" s="348"/>
    </row>
    <row r="14" spans="2:14" ht="20.25" customHeight="1">
      <c r="B14" s="98">
        <v>11</v>
      </c>
      <c r="C14" s="94">
        <f t="shared" si="0"/>
        <v>848026.88646580593</v>
      </c>
      <c r="D14" s="94">
        <f>(('1 R1 Pop'!G15*'3 Vol'!K14)/1000)*365</f>
        <v>636020.16484935442</v>
      </c>
      <c r="E14" s="94">
        <f t="shared" si="1"/>
        <v>636020.16484935442</v>
      </c>
      <c r="F14" s="95">
        <f t="shared" si="2"/>
        <v>795351.92196796346</v>
      </c>
      <c r="G14" s="344">
        <f t="shared" si="3"/>
        <v>0.25</v>
      </c>
      <c r="J14" s="99">
        <v>25.210083906065858</v>
      </c>
      <c r="K14" s="99">
        <v>127.94741995983472</v>
      </c>
      <c r="L14" s="99">
        <v>20.168067124852687</v>
      </c>
      <c r="M14" s="97">
        <v>0.79967137474896699</v>
      </c>
      <c r="N14" s="348"/>
    </row>
    <row r="15" spans="2:14" ht="20.25" customHeight="1">
      <c r="B15" s="98">
        <v>12</v>
      </c>
      <c r="C15" s="94">
        <f t="shared" si="0"/>
        <v>849245.50683272991</v>
      </c>
      <c r="D15" s="94">
        <f>(('1 R1 Pop'!G16*'3 Vol'!K15)/1000)*365</f>
        <v>636934.1301245474</v>
      </c>
      <c r="E15" s="94">
        <f t="shared" si="1"/>
        <v>636934.1301245474</v>
      </c>
      <c r="F15" s="95">
        <f t="shared" si="2"/>
        <v>796494.84805491997</v>
      </c>
      <c r="G15" s="344">
        <f t="shared" si="3"/>
        <v>0.25</v>
      </c>
      <c r="J15" s="99">
        <v>25.246310967011802</v>
      </c>
      <c r="K15" s="99">
        <v>127.94741995983472</v>
      </c>
      <c r="L15" s="99">
        <v>20.197048773609442</v>
      </c>
      <c r="M15" s="97">
        <v>0.79967137474896699</v>
      </c>
      <c r="N15" s="348"/>
    </row>
    <row r="16" spans="2:14" ht="20.25" customHeight="1">
      <c r="B16" s="98">
        <v>13</v>
      </c>
      <c r="C16" s="94">
        <f t="shared" si="0"/>
        <v>850464.12719965365</v>
      </c>
      <c r="D16" s="94">
        <f>(('1 R1 Pop'!G17*'3 Vol'!K16)/1000)*365</f>
        <v>637848.09539974027</v>
      </c>
      <c r="E16" s="94">
        <f t="shared" si="1"/>
        <v>637848.09539974038</v>
      </c>
      <c r="F16" s="95">
        <f t="shared" si="2"/>
        <v>797637.77414187649</v>
      </c>
      <c r="G16" s="344">
        <f t="shared" si="3"/>
        <v>0.25</v>
      </c>
      <c r="J16" s="99">
        <v>25.282538027957745</v>
      </c>
      <c r="K16" s="99">
        <v>127.94741995983472</v>
      </c>
      <c r="L16" s="99">
        <v>20.226030422366197</v>
      </c>
      <c r="M16" s="97">
        <v>0.79967137474896699</v>
      </c>
      <c r="N16" s="348"/>
    </row>
    <row r="17" spans="2:14" ht="20.25" customHeight="1">
      <c r="B17" s="98">
        <v>14</v>
      </c>
      <c r="C17" s="94">
        <f t="shared" si="0"/>
        <v>851682.74756657786</v>
      </c>
      <c r="D17" s="94">
        <f>(('1 R1 Pop'!G18*'3 Vol'!K17)/1000)*365</f>
        <v>638762.06067493337</v>
      </c>
      <c r="E17" s="94">
        <f t="shared" si="1"/>
        <v>638762.06067493348</v>
      </c>
      <c r="F17" s="95">
        <f t="shared" si="2"/>
        <v>798780.70022883313</v>
      </c>
      <c r="G17" s="344">
        <f t="shared" si="3"/>
        <v>0.25</v>
      </c>
      <c r="J17" s="99">
        <v>25.318765088903689</v>
      </c>
      <c r="K17" s="99">
        <v>127.94741995983472</v>
      </c>
      <c r="L17" s="99">
        <v>20.255012071122952</v>
      </c>
      <c r="M17" s="97">
        <v>0.79967137474896699</v>
      </c>
      <c r="N17" s="348"/>
    </row>
    <row r="18" spans="2:14" ht="20.25" customHeight="1">
      <c r="B18" s="98">
        <v>15</v>
      </c>
      <c r="C18" s="94">
        <f t="shared" si="0"/>
        <v>852901.36793350184</v>
      </c>
      <c r="D18" s="94">
        <f>(('1 R1 Pop'!G19*'3 Vol'!K18)/1000)*365</f>
        <v>639676.02595012635</v>
      </c>
      <c r="E18" s="94">
        <f t="shared" si="1"/>
        <v>639676.02595012647</v>
      </c>
      <c r="F18" s="95">
        <f t="shared" si="2"/>
        <v>799923.62631578965</v>
      </c>
      <c r="G18" s="344">
        <f t="shared" si="3"/>
        <v>0.25</v>
      </c>
      <c r="J18" s="99">
        <v>25.354992149849632</v>
      </c>
      <c r="K18" s="99">
        <v>127.94741995983472</v>
      </c>
      <c r="L18" s="99">
        <v>20.283993719879707</v>
      </c>
      <c r="M18" s="97">
        <v>0.79967137474896699</v>
      </c>
      <c r="N18" s="348"/>
    </row>
    <row r="19" spans="2:14" ht="20.25" customHeight="1">
      <c r="B19" s="98">
        <v>16</v>
      </c>
      <c r="C19" s="94">
        <f t="shared" si="0"/>
        <v>853873.7492941157</v>
      </c>
      <c r="D19" s="94">
        <f>(('1 R1 Pop'!G20*'3 Vol'!K19)/1000)*365</f>
        <v>640405.31197058677</v>
      </c>
      <c r="E19" s="94">
        <f t="shared" si="1"/>
        <v>640405.31197058677</v>
      </c>
      <c r="F19" s="95">
        <f t="shared" si="2"/>
        <v>800835.60846681916</v>
      </c>
      <c r="G19" s="344">
        <f t="shared" si="3"/>
        <v>0.25</v>
      </c>
      <c r="J19" s="99">
        <v>25.383899034856462</v>
      </c>
      <c r="K19" s="99">
        <v>127.94741995983472</v>
      </c>
      <c r="L19" s="99">
        <v>20.30711922788517</v>
      </c>
      <c r="M19" s="97">
        <v>0.79967137474896699</v>
      </c>
      <c r="N19" s="348"/>
    </row>
    <row r="20" spans="2:14" ht="20.25" customHeight="1">
      <c r="B20" s="98">
        <v>17</v>
      </c>
      <c r="C20" s="94">
        <f t="shared" si="0"/>
        <v>854865.31325218326</v>
      </c>
      <c r="D20" s="94">
        <f>(('1 R1 Pop'!G21*'3 Vol'!K20)/1000)*365</f>
        <v>641148.98493913747</v>
      </c>
      <c r="E20" s="94">
        <f t="shared" si="1"/>
        <v>641148.98493913736</v>
      </c>
      <c r="F20" s="95">
        <f t="shared" si="2"/>
        <v>801765.58169336373</v>
      </c>
      <c r="G20" s="344">
        <f t="shared" si="3"/>
        <v>0.25</v>
      </c>
      <c r="J20" s="99">
        <v>25.413376178777323</v>
      </c>
      <c r="K20" s="99">
        <v>127.94741995983472</v>
      </c>
      <c r="L20" s="99">
        <v>20.33070094302186</v>
      </c>
      <c r="M20" s="97">
        <v>0.79967137474896699</v>
      </c>
      <c r="N20" s="348"/>
    </row>
    <row r="21" spans="2:14" ht="20.25" customHeight="1">
      <c r="B21" s="98">
        <v>18</v>
      </c>
      <c r="C21" s="94">
        <f t="shared" si="0"/>
        <v>855856.87721025094</v>
      </c>
      <c r="D21" s="94">
        <f>(('1 R1 Pop'!G22*'3 Vol'!K21)/1000)*365</f>
        <v>641892.65790768818</v>
      </c>
      <c r="E21" s="94">
        <f t="shared" si="1"/>
        <v>641892.65790768818</v>
      </c>
      <c r="F21" s="95">
        <f t="shared" si="2"/>
        <v>802695.55491990852</v>
      </c>
      <c r="G21" s="344">
        <f t="shared" si="3"/>
        <v>0.25</v>
      </c>
      <c r="J21" s="99">
        <v>25.442853322698191</v>
      </c>
      <c r="K21" s="99">
        <v>127.94741995983472</v>
      </c>
      <c r="L21" s="99">
        <v>20.354282658158553</v>
      </c>
      <c r="M21" s="97">
        <v>0.79967137474896699</v>
      </c>
      <c r="N21" s="348"/>
    </row>
    <row r="22" spans="2:14" ht="20.25" customHeight="1">
      <c r="B22" s="98">
        <v>19</v>
      </c>
      <c r="C22" s="94">
        <f t="shared" si="0"/>
        <v>856848.44116831839</v>
      </c>
      <c r="D22" s="94">
        <f>(('1 R1 Pop'!G23*'3 Vol'!K22)/1000)*365</f>
        <v>642636.33087623876</v>
      </c>
      <c r="E22" s="94">
        <f t="shared" si="1"/>
        <v>642636.33087623888</v>
      </c>
      <c r="F22" s="95">
        <f t="shared" si="2"/>
        <v>803625.5281464532</v>
      </c>
      <c r="G22" s="344">
        <f t="shared" si="3"/>
        <v>0.25</v>
      </c>
      <c r="J22" s="99">
        <v>25.472330466619052</v>
      </c>
      <c r="K22" s="99">
        <v>127.94741995983472</v>
      </c>
      <c r="L22" s="99">
        <v>20.377864373295242</v>
      </c>
      <c r="M22" s="97">
        <v>0.79967137474896699</v>
      </c>
      <c r="N22" s="348"/>
    </row>
    <row r="23" spans="2:14" ht="20.25" customHeight="1">
      <c r="B23" s="98">
        <v>20</v>
      </c>
      <c r="C23" s="94">
        <f t="shared" si="0"/>
        <v>857840.00512638595</v>
      </c>
      <c r="D23" s="94">
        <f>(('1 R1 Pop'!G24*'3 Vol'!K23)/1000)*365</f>
        <v>643380.00384478946</v>
      </c>
      <c r="E23" s="94">
        <f t="shared" si="1"/>
        <v>643380.00384478946</v>
      </c>
      <c r="F23" s="95">
        <f t="shared" si="2"/>
        <v>804555.50137299765</v>
      </c>
      <c r="G23" s="344">
        <f t="shared" si="3"/>
        <v>0.25</v>
      </c>
      <c r="J23" s="99">
        <v>25.501807610539917</v>
      </c>
      <c r="K23" s="99">
        <v>127.94741995983472</v>
      </c>
      <c r="L23" s="99">
        <v>20.401446088431936</v>
      </c>
      <c r="M23" s="97">
        <v>0.79967137474896699</v>
      </c>
      <c r="N23" s="348"/>
    </row>
    <row r="24" spans="2:14" ht="20.25" customHeight="1">
      <c r="B24" s="98">
        <v>21</v>
      </c>
      <c r="C24" s="94">
        <f t="shared" si="0"/>
        <v>859059.56948371383</v>
      </c>
      <c r="D24" s="94">
        <f>(('1 R1 Pop'!G25*'3 Vol'!K24)/1000)*365</f>
        <v>644294.6771127854</v>
      </c>
      <c r="E24" s="94">
        <f t="shared" si="1"/>
        <v>644294.67711278528</v>
      </c>
      <c r="F24" s="95">
        <f t="shared" si="2"/>
        <v>805699.31281464512</v>
      </c>
      <c r="G24" s="344">
        <f t="shared" si="3"/>
        <v>0.25</v>
      </c>
      <c r="J24" s="99">
        <v>25.538062734366491</v>
      </c>
      <c r="K24" s="99">
        <v>127.94741995983472</v>
      </c>
      <c r="L24" s="99">
        <v>20.430450187493193</v>
      </c>
      <c r="M24" s="97">
        <v>0.79967137474896699</v>
      </c>
      <c r="N24" s="348"/>
    </row>
    <row r="25" spans="2:14" ht="20.25" customHeight="1">
      <c r="B25" s="98">
        <v>22</v>
      </c>
      <c r="C25" s="94">
        <f t="shared" si="0"/>
        <v>859906.47136516299</v>
      </c>
      <c r="D25" s="94">
        <f>(('1 R1 Pop'!G26*'3 Vol'!K25)/1000)*365</f>
        <v>644929.85352387221</v>
      </c>
      <c r="E25" s="94">
        <f t="shared" si="1"/>
        <v>644929.85352387221</v>
      </c>
      <c r="F25" s="95">
        <f t="shared" si="2"/>
        <v>806493.60961098387</v>
      </c>
      <c r="G25" s="344">
        <f t="shared" si="3"/>
        <v>0.25</v>
      </c>
      <c r="J25" s="99">
        <v>25.56323937420219</v>
      </c>
      <c r="K25" s="99">
        <v>127.94741995983472</v>
      </c>
      <c r="L25" s="99">
        <v>20.450591499361753</v>
      </c>
      <c r="M25" s="97">
        <v>0.79967137474896699</v>
      </c>
      <c r="N25" s="348"/>
    </row>
    <row r="26" spans="2:14" ht="20.25" customHeight="1">
      <c r="B26" s="98">
        <v>23</v>
      </c>
      <c r="C26" s="94">
        <f t="shared" si="0"/>
        <v>860753.37324661214</v>
      </c>
      <c r="D26" s="94">
        <f>(('1 R1 Pop'!G27*'3 Vol'!K26)/1000)*365</f>
        <v>645565.02993495914</v>
      </c>
      <c r="E26" s="94">
        <f t="shared" si="1"/>
        <v>645565.02993495914</v>
      </c>
      <c r="F26" s="95">
        <f t="shared" si="2"/>
        <v>807287.90640732273</v>
      </c>
      <c r="G26" s="344">
        <f t="shared" si="3"/>
        <v>0.25</v>
      </c>
      <c r="J26" s="99">
        <v>25.58841601403789</v>
      </c>
      <c r="K26" s="99">
        <v>127.94741995983472</v>
      </c>
      <c r="L26" s="99">
        <v>20.470732811230313</v>
      </c>
      <c r="M26" s="97">
        <v>0.79967137474896699</v>
      </c>
      <c r="N26" s="348"/>
    </row>
    <row r="27" spans="2:14" ht="20.25" customHeight="1">
      <c r="B27" s="98">
        <v>24</v>
      </c>
      <c r="C27" s="94">
        <f t="shared" si="0"/>
        <v>861600.27512806142</v>
      </c>
      <c r="D27" s="94">
        <f>(('1 R1 Pop'!G28*'3 Vol'!K27)/1000)*365</f>
        <v>646200.20634604606</v>
      </c>
      <c r="E27" s="94">
        <f t="shared" si="1"/>
        <v>646200.20634604595</v>
      </c>
      <c r="F27" s="95">
        <f t="shared" si="2"/>
        <v>808082.20320366137</v>
      </c>
      <c r="G27" s="344">
        <f t="shared" si="3"/>
        <v>0.25</v>
      </c>
      <c r="J27" s="99">
        <v>25.613592653873585</v>
      </c>
      <c r="K27" s="99">
        <v>127.94741995983472</v>
      </c>
      <c r="L27" s="99">
        <v>20.49087412309887</v>
      </c>
      <c r="M27" s="97">
        <v>0.79967137474896699</v>
      </c>
      <c r="N27" s="348"/>
    </row>
    <row r="28" spans="2:14" ht="20.25" customHeight="1">
      <c r="B28" s="98">
        <v>25</v>
      </c>
      <c r="C28" s="94">
        <f t="shared" si="0"/>
        <v>862447.17700951046</v>
      </c>
      <c r="D28" s="94">
        <f>(('1 R1 Pop'!G29*'3 Vol'!K28)/1000)*365</f>
        <v>646835.38275713287</v>
      </c>
      <c r="E28" s="94">
        <f t="shared" si="1"/>
        <v>646835.38275713287</v>
      </c>
      <c r="F28" s="95">
        <f t="shared" si="2"/>
        <v>808876.50000000012</v>
      </c>
      <c r="G28" s="344">
        <f t="shared" si="3"/>
        <v>0.25</v>
      </c>
      <c r="J28" s="99">
        <v>25.638769293709284</v>
      </c>
      <c r="K28" s="99">
        <v>127.94741995983472</v>
      </c>
      <c r="L28" s="99">
        <v>20.51101543496743</v>
      </c>
      <c r="M28" s="97">
        <v>0.79967137474896699</v>
      </c>
      <c r="N28" s="348"/>
    </row>
    <row r="29" spans="2:14" ht="20.25" customHeight="1">
      <c r="B29" s="98">
        <v>26</v>
      </c>
      <c r="C29" s="94">
        <f t="shared" si="0"/>
        <v>863666.74136683822</v>
      </c>
      <c r="D29" s="94">
        <f>(('1 R1 Pop'!G30*'3 Vol'!K29)/1000)*365</f>
        <v>647750.0560251287</v>
      </c>
      <c r="E29" s="94">
        <f t="shared" si="1"/>
        <v>647750.0560251287</v>
      </c>
      <c r="F29" s="95">
        <f t="shared" si="2"/>
        <v>810020.31144164759</v>
      </c>
      <c r="G29" s="344">
        <f t="shared" si="3"/>
        <v>0.25</v>
      </c>
      <c r="J29" s="99">
        <v>25.675024417535859</v>
      </c>
      <c r="K29" s="99">
        <v>127.94741995983472</v>
      </c>
      <c r="L29" s="99">
        <v>20.540019534028687</v>
      </c>
      <c r="M29" s="97">
        <v>0.79967137474896699</v>
      </c>
      <c r="N29" s="348"/>
    </row>
    <row r="30" spans="2:14" ht="20.25" customHeight="1">
      <c r="B30" s="98">
        <v>27</v>
      </c>
      <c r="C30" s="94">
        <f t="shared" si="0"/>
        <v>864554.84041440662</v>
      </c>
      <c r="D30" s="94">
        <f>(('1 R1 Pop'!G31*'3 Vol'!K30)/1000)*365</f>
        <v>648416.13031080493</v>
      </c>
      <c r="E30" s="94">
        <f t="shared" si="1"/>
        <v>648416.13031080482</v>
      </c>
      <c r="F30" s="95">
        <f t="shared" si="2"/>
        <v>810853.24645308929</v>
      </c>
      <c r="G30" s="344">
        <f t="shared" si="3"/>
        <v>0.25</v>
      </c>
      <c r="J30" s="99">
        <v>25.701425763841517</v>
      </c>
      <c r="K30" s="99">
        <v>127.94741995983472</v>
      </c>
      <c r="L30" s="99">
        <v>20.561140611073213</v>
      </c>
      <c r="M30" s="97">
        <v>0.79967137474896699</v>
      </c>
      <c r="N30" s="348"/>
    </row>
    <row r="31" spans="2:14" ht="20.25" customHeight="1">
      <c r="B31" s="98">
        <v>28</v>
      </c>
      <c r="C31" s="94">
        <f t="shared" si="0"/>
        <v>865464.01004023605</v>
      </c>
      <c r="D31" s="94">
        <f>(('1 R1 Pop'!G32*'3 Vol'!K31)/1000)*365</f>
        <v>649098.00753017701</v>
      </c>
      <c r="E31" s="94">
        <f t="shared" si="1"/>
        <v>649098.00753017713</v>
      </c>
      <c r="F31" s="95">
        <f t="shared" si="2"/>
        <v>811705.94324942806</v>
      </c>
      <c r="G31" s="344">
        <f t="shared" si="3"/>
        <v>0.25</v>
      </c>
      <c r="J31" s="99">
        <v>25.728453494822467</v>
      </c>
      <c r="K31" s="99">
        <v>127.94741995983472</v>
      </c>
      <c r="L31" s="99">
        <v>20.582762795857974</v>
      </c>
      <c r="M31" s="97">
        <v>0.79967137474896699</v>
      </c>
      <c r="N31" s="348"/>
    </row>
    <row r="32" spans="2:14" ht="20.25" customHeight="1">
      <c r="B32" s="98">
        <v>29</v>
      </c>
      <c r="C32" s="94">
        <f t="shared" si="0"/>
        <v>866414.37683218473</v>
      </c>
      <c r="D32" s="94">
        <f>(('1 R1 Pop'!G33*'3 Vol'!K32)/1000)*365</f>
        <v>649810.78262413852</v>
      </c>
      <c r="E32" s="94">
        <f t="shared" si="1"/>
        <v>649810.78262413852</v>
      </c>
      <c r="F32" s="95">
        <f t="shared" si="2"/>
        <v>812597.27826086967</v>
      </c>
      <c r="G32" s="344">
        <f t="shared" si="3"/>
        <v>0.25</v>
      </c>
      <c r="J32" s="99">
        <v>25.75670593227337</v>
      </c>
      <c r="K32" s="99">
        <v>127.94741995983472</v>
      </c>
      <c r="L32" s="99">
        <v>20.605364745818697</v>
      </c>
      <c r="M32" s="97">
        <v>0.79967137474896699</v>
      </c>
      <c r="N32" s="348"/>
    </row>
    <row r="33" spans="2:14" ht="20.25" customHeight="1" thickBot="1">
      <c r="B33" s="100">
        <v>30</v>
      </c>
      <c r="C33" s="377">
        <f t="shared" si="0"/>
        <v>866930.75739427784</v>
      </c>
      <c r="D33" s="378">
        <f>(('1 R1 Pop'!G34*'3 Vol'!K33)/1000)*365</f>
        <v>650198.06804570835</v>
      </c>
      <c r="E33" s="378">
        <f t="shared" si="1"/>
        <v>650198.06804570847</v>
      </c>
      <c r="F33" s="370">
        <f t="shared" si="2"/>
        <v>813081.58398169349</v>
      </c>
      <c r="G33" s="379">
        <f t="shared" si="3"/>
        <v>0.25</v>
      </c>
      <c r="J33" s="99">
        <v>25.77205685746878</v>
      </c>
      <c r="K33" s="99">
        <v>127.94741995983472</v>
      </c>
      <c r="L33" s="99">
        <v>20.617645485975025</v>
      </c>
      <c r="M33" s="97">
        <v>0.79967137474896699</v>
      </c>
      <c r="N33" s="348"/>
    </row>
    <row r="34" spans="2:14">
      <c r="C34" s="101"/>
      <c r="D34" s="101"/>
      <c r="E34" s="101"/>
    </row>
    <row r="35" spans="2:14">
      <c r="C35" s="101"/>
      <c r="D35" s="101"/>
      <c r="E35" s="101"/>
    </row>
    <row r="36" spans="2:14">
      <c r="C36" s="101"/>
      <c r="D36" s="101"/>
      <c r="E36" s="101"/>
    </row>
    <row r="37" spans="2:14">
      <c r="C37" s="101"/>
      <c r="D37" s="101"/>
      <c r="E37" s="101"/>
    </row>
    <row r="38" spans="2:14">
      <c r="C38" s="101"/>
      <c r="D38" s="101"/>
      <c r="E38" s="101"/>
    </row>
    <row r="39" spans="2:14">
      <c r="C39" s="101"/>
      <c r="D39" s="101"/>
      <c r="E39" s="101"/>
    </row>
    <row r="40" spans="2:14">
      <c r="C40" s="101"/>
      <c r="D40" s="101"/>
      <c r="E40" s="101"/>
    </row>
    <row r="41" spans="2:14">
      <c r="C41" s="101"/>
      <c r="D41" s="101"/>
      <c r="E41" s="101"/>
    </row>
    <row r="42" spans="2:14">
      <c r="C42" s="101"/>
      <c r="D42" s="101"/>
      <c r="E42" s="101"/>
    </row>
  </sheetData>
  <mergeCells count="9">
    <mergeCell ref="L2:L3"/>
    <mergeCell ref="J2:J3"/>
    <mergeCell ref="K2:K3"/>
    <mergeCell ref="B2:B3"/>
    <mergeCell ref="C2:C3"/>
    <mergeCell ref="F2:F3"/>
    <mergeCell ref="G2:G3"/>
    <mergeCell ref="D2:D3"/>
    <mergeCell ref="E2:E3"/>
  </mergeCells>
  <phoneticPr fontId="12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65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rgb="FF7030A0"/>
    <pageSetUpPr fitToPage="1"/>
  </sheetPr>
  <dimension ref="B1:R35"/>
  <sheetViews>
    <sheetView showGridLines="0" workbookViewId="0">
      <selection activeCell="B20" sqref="B20"/>
    </sheetView>
  </sheetViews>
  <sheetFormatPr defaultColWidth="11.5703125" defaultRowHeight="14.25"/>
  <cols>
    <col min="1" max="1" width="2.7109375" style="41" customWidth="1"/>
    <col min="2" max="2" width="8.28515625" style="41" customWidth="1"/>
    <col min="3" max="3" width="15.85546875" style="41" customWidth="1"/>
    <col min="4" max="4" width="16" style="41" customWidth="1"/>
    <col min="5" max="6" width="15.85546875" style="41" customWidth="1"/>
    <col min="7" max="7" width="17" style="41" customWidth="1"/>
    <col min="8" max="8" width="16.28515625" style="41" customWidth="1"/>
    <col min="9" max="9" width="15.85546875" style="41" customWidth="1"/>
    <col min="10" max="10" width="2.7109375" style="41" customWidth="1"/>
    <col min="11" max="13" width="11.5703125" style="41" customWidth="1"/>
    <col min="14" max="14" width="11.7109375" style="109" customWidth="1"/>
    <col min="15" max="18" width="11.5703125" style="41" customWidth="1"/>
    <col min="19" max="16384" width="11.5703125" style="41"/>
  </cols>
  <sheetData>
    <row r="1" spans="2:18" ht="30" customHeight="1">
      <c r="B1" s="1572" t="s">
        <v>45</v>
      </c>
      <c r="C1" s="1572"/>
      <c r="D1" s="1572"/>
      <c r="E1" s="1572"/>
      <c r="F1" s="1572"/>
      <c r="G1" s="1572"/>
      <c r="H1" s="1572"/>
      <c r="I1" s="1572"/>
      <c r="M1" s="41">
        <f>O1/1000</f>
        <v>1.4999999999999999E-4</v>
      </c>
      <c r="N1" s="109" t="s">
        <v>84</v>
      </c>
      <c r="O1" s="41">
        <f>0.15</f>
        <v>0.15</v>
      </c>
      <c r="P1" s="41" t="s">
        <v>83</v>
      </c>
    </row>
    <row r="2" spans="2:18" s="102" customFormat="1" ht="16.149999999999999" customHeight="1" thickBot="1">
      <c r="D2" s="103"/>
      <c r="E2" s="103"/>
      <c r="F2" s="103"/>
      <c r="G2" s="103"/>
      <c r="H2" s="103"/>
      <c r="I2" s="103"/>
      <c r="N2" s="103"/>
    </row>
    <row r="3" spans="2:18" ht="21.75" customHeight="1">
      <c r="B3" s="1634" t="s">
        <v>1</v>
      </c>
      <c r="C3" s="1632" t="s">
        <v>63</v>
      </c>
      <c r="D3" s="1636" t="s">
        <v>64</v>
      </c>
      <c r="E3" s="1630" t="s">
        <v>65</v>
      </c>
      <c r="F3" s="1630" t="s">
        <v>9</v>
      </c>
      <c r="G3" s="1630" t="s">
        <v>66</v>
      </c>
      <c r="H3" s="1630" t="s">
        <v>67</v>
      </c>
      <c r="I3" s="1632" t="s">
        <v>68</v>
      </c>
      <c r="M3" s="1623" t="s">
        <v>69</v>
      </c>
      <c r="N3" s="1628" t="s">
        <v>70</v>
      </c>
      <c r="O3" s="1627" t="s">
        <v>80</v>
      </c>
      <c r="P3" s="1625" t="s">
        <v>97</v>
      </c>
      <c r="Q3" s="1623" t="s">
        <v>343</v>
      </c>
    </row>
    <row r="4" spans="2:18" s="89" customFormat="1" ht="45.75" customHeight="1" thickBot="1">
      <c r="B4" s="1635"/>
      <c r="C4" s="1633"/>
      <c r="D4" s="1637"/>
      <c r="E4" s="1631"/>
      <c r="F4" s="1631"/>
      <c r="G4" s="1631"/>
      <c r="H4" s="1631"/>
      <c r="I4" s="1633"/>
      <c r="J4" s="41"/>
      <c r="K4" s="41"/>
      <c r="L4" s="41"/>
      <c r="M4" s="1624"/>
      <c r="N4" s="1629"/>
      <c r="O4" s="1627"/>
      <c r="P4" s="1626"/>
      <c r="Q4" s="1624"/>
    </row>
    <row r="5" spans="2:18" ht="20.25" customHeight="1">
      <c r="B5" s="93">
        <v>1</v>
      </c>
      <c r="C5" s="104">
        <f>('3 Vol'!D4/(1-'3 Vol'!G4)*(1000/365/24/60/60))</f>
        <v>36.570885207597478</v>
      </c>
      <c r="D5" s="104">
        <f>(('3 Vol'!D4*1.2)*1000/365/24/60/60)+Q5</f>
        <v>40.154977949499752</v>
      </c>
      <c r="E5" s="105">
        <f>(('3 Vol'!D4*1.2*1.5)*1000/365/24/60/60)+Q5</f>
        <v>51.126243511778981</v>
      </c>
      <c r="F5" s="95">
        <v>1450</v>
      </c>
      <c r="G5" s="600">
        <f>((N5*0.8)+(O5*$M$1))*P5</f>
        <v>0</v>
      </c>
      <c r="H5" s="600">
        <f>((N5*0.8*1.2)+(O5*$M$1))*P5</f>
        <v>0</v>
      </c>
      <c r="I5" s="601">
        <f>((N5*0.8*1.2*1.5)+(O5*$M$1))*P5</f>
        <v>0</v>
      </c>
      <c r="L5" s="41">
        <v>1</v>
      </c>
      <c r="M5" s="594">
        <v>0.499</v>
      </c>
      <c r="N5" s="111">
        <f>'3 Vol'!D4*1000/365/24/60/60</f>
        <v>18.285442603798742</v>
      </c>
      <c r="O5" s="146">
        <v>38132</v>
      </c>
      <c r="P5" s="147">
        <f>'1 R1 Pop'!J5</f>
        <v>0</v>
      </c>
      <c r="Q5" s="595">
        <v>18.212446824941257</v>
      </c>
      <c r="R5" s="110"/>
    </row>
    <row r="6" spans="2:18" ht="20.25" customHeight="1">
      <c r="B6" s="98">
        <v>2</v>
      </c>
      <c r="C6" s="104">
        <f>('3 Vol'!D5/(1-'3 Vol'!G5)*(1000/365/24/60/60))</f>
        <v>34.498541919650911</v>
      </c>
      <c r="D6" s="104">
        <f>(('3 Vol'!D5*1.2)*1000/365/24/60/60)+Q6</f>
        <v>39.551251443882876</v>
      </c>
      <c r="E6" s="105">
        <f>(('3 Vol'!D5*1.2*1.5)*1000/365/24/60/60)+Q6</f>
        <v>50.728779025849768</v>
      </c>
      <c r="F6" s="108">
        <f>F5</f>
        <v>1450</v>
      </c>
      <c r="G6" s="600">
        <f t="shared" ref="G6:G34" si="0">((N6*0.8)+(O6*$M$1))*P6</f>
        <v>0</v>
      </c>
      <c r="H6" s="600">
        <f t="shared" ref="H6:H34" si="1">((N6*0.8*1.2)+(O6*$M$1))*P6</f>
        <v>0</v>
      </c>
      <c r="I6" s="601">
        <f t="shared" ref="I6:I34" si="2">((N6*0.8*1.2*1.5)+(O6*$M$1))*P6</f>
        <v>0</v>
      </c>
      <c r="L6" s="41">
        <v>2</v>
      </c>
      <c r="M6" s="594">
        <v>0.48</v>
      </c>
      <c r="N6" s="112">
        <f>'3 Vol'!D5*1000/365/24/60/60</f>
        <v>18.629212636611499</v>
      </c>
      <c r="O6" s="122">
        <v>38327.664104859141</v>
      </c>
      <c r="P6" s="147">
        <f>'1 R1 Pop'!J6</f>
        <v>0</v>
      </c>
      <c r="Q6" s="595">
        <v>17.196196279949078</v>
      </c>
    </row>
    <row r="7" spans="2:18" ht="20.25" customHeight="1">
      <c r="B7" s="98">
        <v>3</v>
      </c>
      <c r="C7" s="104">
        <f>('3 Vol'!D6/(1-'3 Vol'!G6)*(1000/365/24/60/60))</f>
        <v>31.623460814137196</v>
      </c>
      <c r="D7" s="104">
        <f>(('3 Vol'!D6*1.2)*1000/365/24/60/60)+Q7</f>
        <v>38.93199398007112</v>
      </c>
      <c r="E7" s="105">
        <f>(('3 Vol'!D6*1.2*1.5)*1000/365/24/60/60)+Q7</f>
        <v>50.316439873160519</v>
      </c>
      <c r="F7" s="108">
        <f t="shared" ref="F7:F34" si="3">F6</f>
        <v>1450</v>
      </c>
      <c r="G7" s="600">
        <f t="shared" si="0"/>
        <v>0</v>
      </c>
      <c r="H7" s="600">
        <f t="shared" si="1"/>
        <v>0</v>
      </c>
      <c r="I7" s="601">
        <f t="shared" si="2"/>
        <v>0</v>
      </c>
      <c r="L7" s="41">
        <v>3</v>
      </c>
      <c r="M7" s="594">
        <v>0.46</v>
      </c>
      <c r="N7" s="112">
        <f>'3 Vol'!D6*1000/365/24/60/60</f>
        <v>18.974076488482318</v>
      </c>
      <c r="O7" s="122">
        <v>38519.800339002082</v>
      </c>
      <c r="P7" s="147">
        <f>'1 R1 Pop'!J7</f>
        <v>0</v>
      </c>
      <c r="Q7" s="595">
        <v>16.163102193892342</v>
      </c>
    </row>
    <row r="8" spans="2:18" ht="20.25" customHeight="1">
      <c r="B8" s="98">
        <v>4</v>
      </c>
      <c r="C8" s="104">
        <f>('3 Vol'!D7/(1-'3 Vol'!G7)*(1000/365/24/60/60))</f>
        <v>29.724622997458095</v>
      </c>
      <c r="D8" s="104">
        <f>(('3 Vol'!D7*1.2)*1000/365/24/60/60)+Q8</f>
        <v>38.365995540290555</v>
      </c>
      <c r="E8" s="105">
        <f>(('3 Vol'!D7*1.2*1.5)*1000/365/24/60/60)+Q8</f>
        <v>49.958598509299215</v>
      </c>
      <c r="F8" s="108">
        <f t="shared" si="3"/>
        <v>1450</v>
      </c>
      <c r="G8" s="600">
        <f t="shared" si="0"/>
        <v>0</v>
      </c>
      <c r="H8" s="600">
        <f t="shared" si="1"/>
        <v>0</v>
      </c>
      <c r="I8" s="601">
        <f t="shared" si="2"/>
        <v>0</v>
      </c>
      <c r="L8" s="41">
        <v>4</v>
      </c>
      <c r="M8" s="594">
        <v>0.44</v>
      </c>
      <c r="N8" s="112">
        <f>'3 Vol'!D7*1000/365/24/60/60</f>
        <v>19.321004948347767</v>
      </c>
      <c r="O8" s="122">
        <v>38708.610635030127</v>
      </c>
      <c r="P8" s="147">
        <f>'1 R1 Pop'!J8</f>
        <v>0</v>
      </c>
      <c r="Q8" s="595">
        <v>15.180789602273236</v>
      </c>
    </row>
    <row r="9" spans="2:18" ht="20.25" customHeight="1">
      <c r="B9" s="98">
        <v>5</v>
      </c>
      <c r="C9" s="104">
        <f>('3 Vol'!D8/(1-'3 Vol'!G8)*(1000/365/24/60/60))</f>
        <v>28.094490491175453</v>
      </c>
      <c r="D9" s="104">
        <f>(('3 Vol'!D8*1.2)*1000/365/24/60/60)+Q9</f>
        <v>37.840372365010793</v>
      </c>
      <c r="E9" s="105">
        <f>(('3 Vol'!D8*1.2*1.5)*1000/365/24/60/60)+Q9</f>
        <v>49.640058371304477</v>
      </c>
      <c r="F9" s="108">
        <f t="shared" si="3"/>
        <v>1450</v>
      </c>
      <c r="G9" s="892">
        <f t="shared" si="0"/>
        <v>8.6527555265580514</v>
      </c>
      <c r="H9" s="892">
        <f t="shared" si="1"/>
        <v>9.9113887005627124</v>
      </c>
      <c r="I9" s="893">
        <f>((N9*0.8*1.2*1.5)+(O9*$M$1))*P9</f>
        <v>13.687288222576695</v>
      </c>
      <c r="L9" s="41">
        <v>5</v>
      </c>
      <c r="M9" s="594">
        <v>0.42</v>
      </c>
      <c r="N9" s="112">
        <f>'3 Vol'!D8*1000/365/24/60/60</f>
        <v>19.666143343822817</v>
      </c>
      <c r="O9" s="122">
        <v>39326.494275579178</v>
      </c>
      <c r="P9" s="147">
        <f>'1 R1 Pop'!J9</f>
        <v>0.4</v>
      </c>
      <c r="Q9" s="595">
        <v>14.241000352423413</v>
      </c>
    </row>
    <row r="10" spans="2:18" ht="20.25" customHeight="1">
      <c r="B10" s="98">
        <v>6</v>
      </c>
      <c r="C10" s="104">
        <f>('3 Vol'!D9/(1-'3 Vol'!G9)*(1000/365/24/60/60))</f>
        <v>27.79624149777187</v>
      </c>
      <c r="D10" s="104">
        <f>(('3 Vol'!D9*1.2)*1000/365/24/60/60)+Q10</f>
        <v>37.358148573005394</v>
      </c>
      <c r="E10" s="105">
        <f>(('3 Vol'!D9*1.2*1.5)*1000/365/24/60/60)+Q10</f>
        <v>49.366124900042834</v>
      </c>
      <c r="F10" s="108">
        <f t="shared" si="3"/>
        <v>1450</v>
      </c>
      <c r="G10" s="892">
        <f t="shared" si="0"/>
        <v>12.879219163525876</v>
      </c>
      <c r="H10" s="892">
        <f t="shared" si="1"/>
        <v>14.736452835441002</v>
      </c>
      <c r="I10" s="893">
        <f t="shared" si="2"/>
        <v>20.308153851186376</v>
      </c>
      <c r="L10" s="41">
        <v>6</v>
      </c>
      <c r="M10" s="594">
        <v>0.4</v>
      </c>
      <c r="N10" s="112">
        <f>'3 Vol'!D9*1000/365/24/60/60</f>
        <v>20.013293878395746</v>
      </c>
      <c r="O10" s="122">
        <v>41299.434528163794</v>
      </c>
      <c r="P10" s="147">
        <f>'1 R1 Pop'!J10</f>
        <v>0.57999999999999996</v>
      </c>
      <c r="Q10" s="595">
        <v>13.342195918930496</v>
      </c>
    </row>
    <row r="11" spans="2:18" ht="20.25" customHeight="1">
      <c r="B11" s="98">
        <v>7</v>
      </c>
      <c r="C11" s="104">
        <f>('3 Vol'!D10/(1-'3 Vol'!G10)*(1000/365/24/60/60))</f>
        <v>27.086157297390137</v>
      </c>
      <c r="D11" s="104">
        <f>(('3 Vol'!D10*1.2)*1000/365/24/60/60)+Q11</f>
        <v>36.337390634963256</v>
      </c>
      <c r="E11" s="105">
        <f>(('3 Vol'!D10*1.2*1.5)*1000/365/24/60/60)+Q11</f>
        <v>48.363644475004477</v>
      </c>
      <c r="F11" s="108">
        <f t="shared" si="3"/>
        <v>1450</v>
      </c>
      <c r="G11" s="892">
        <f t="shared" si="0"/>
        <v>15.306693137707978</v>
      </c>
      <c r="H11" s="892">
        <f t="shared" si="1"/>
        <v>17.487453834035453</v>
      </c>
      <c r="I11" s="893">
        <f t="shared" si="2"/>
        <v>24.029735923017881</v>
      </c>
      <c r="L11" s="41">
        <v>7</v>
      </c>
      <c r="M11" s="594">
        <v>0.38</v>
      </c>
      <c r="N11" s="112">
        <f>'3 Vol'!D10*1000/365/24/60/60</f>
        <v>20.043756400068705</v>
      </c>
      <c r="O11" s="122">
        <v>43165.584863437267</v>
      </c>
      <c r="P11" s="147">
        <f>'1 R1 Pop'!J11</f>
        <v>0.68</v>
      </c>
      <c r="Q11" s="595">
        <v>12.284882954880814</v>
      </c>
    </row>
    <row r="12" spans="2:18" ht="20.25" customHeight="1">
      <c r="B12" s="98">
        <v>8</v>
      </c>
      <c r="C12" s="104">
        <f>('3 Vol'!D11/(1-'3 Vol'!G11)*(1000/365/24/60/60))</f>
        <v>26.765625228988874</v>
      </c>
      <c r="D12" s="104">
        <f>(('3 Vol'!D11*1.2)*1000/365/24/60/60)+Q12</f>
        <v>35.38081084956967</v>
      </c>
      <c r="E12" s="105">
        <f>(('3 Vol'!D11*1.2*1.5)*1000/365/24/60/60)+Q12</f>
        <v>47.425342202614658</v>
      </c>
      <c r="F12" s="108">
        <f t="shared" si="3"/>
        <v>1450</v>
      </c>
      <c r="G12" s="892">
        <f t="shared" si="0"/>
        <v>16.433550527856053</v>
      </c>
      <c r="H12" s="892">
        <f t="shared" si="1"/>
        <v>18.746100547640694</v>
      </c>
      <c r="I12" s="893">
        <f t="shared" si="2"/>
        <v>25.683750606994611</v>
      </c>
      <c r="L12" s="41">
        <v>8</v>
      </c>
      <c r="M12" s="594">
        <v>0.36</v>
      </c>
      <c r="N12" s="112">
        <f>'3 Vol'!D11*1000/365/24/60/60</f>
        <v>20.074218921741654</v>
      </c>
      <c r="O12" s="122">
        <v>45100.003971600563</v>
      </c>
      <c r="P12" s="147">
        <f>'1 R1 Pop'!J12</f>
        <v>0.72</v>
      </c>
      <c r="Q12" s="595">
        <v>11.29174814347968</v>
      </c>
    </row>
    <row r="13" spans="2:18" ht="20.25" customHeight="1">
      <c r="B13" s="98">
        <v>9</v>
      </c>
      <c r="C13" s="104">
        <f>('3 Vol'!D12/(1-'3 Vol'!G12)*(1000/365/24/60/60))</f>
        <v>26.806241924552815</v>
      </c>
      <c r="D13" s="104">
        <f>(('3 Vol'!D12*1.2)*1000/365/24/60/60)+Q13</f>
        <v>34.482574839311127</v>
      </c>
      <c r="E13" s="105">
        <f>(('3 Vol'!D12*1.2*1.5)*1000/365/24/60/60)+Q13</f>
        <v>46.545383705359896</v>
      </c>
      <c r="F13" s="108">
        <f t="shared" si="3"/>
        <v>1450</v>
      </c>
      <c r="G13" s="892">
        <f t="shared" si="0"/>
        <v>17.144239549803935</v>
      </c>
      <c r="H13" s="892">
        <f t="shared" si="1"/>
        <v>19.556801323013691</v>
      </c>
      <c r="I13" s="893">
        <f t="shared" si="2"/>
        <v>26.794486642642951</v>
      </c>
      <c r="L13" s="41">
        <v>9</v>
      </c>
      <c r="M13" s="594">
        <v>0.34</v>
      </c>
      <c r="N13" s="112">
        <f>'3 Vol'!D12*1000/365/24/60/60</f>
        <v>20.104681443414613</v>
      </c>
      <c r="O13" s="122">
        <v>45168.272744490379</v>
      </c>
      <c r="P13" s="147">
        <f>'1 R1 Pop'!J13</f>
        <v>0.75</v>
      </c>
      <c r="Q13" s="595">
        <v>10.356957107213592</v>
      </c>
    </row>
    <row r="14" spans="2:18" ht="20.25" customHeight="1">
      <c r="B14" s="98">
        <v>10</v>
      </c>
      <c r="C14" s="104">
        <f>('3 Vol'!D13/(1-'3 Vol'!G13)*(1000/365/24/60/60))</f>
        <v>26.848833117338351</v>
      </c>
      <c r="D14" s="104">
        <f>(('3 Vol'!D13*1.2)*1000/365/24/60/60)+Q14</f>
        <v>33.640008552900412</v>
      </c>
      <c r="E14" s="105">
        <f>(('3 Vol'!D13*1.2*1.5)*1000/365/24/60/60)+Q14</f>
        <v>45.721983455702656</v>
      </c>
      <c r="F14" s="108">
        <f t="shared" si="3"/>
        <v>1450</v>
      </c>
      <c r="G14" s="892">
        <f t="shared" si="0"/>
        <v>18.087309829935926</v>
      </c>
      <c r="H14" s="892">
        <f t="shared" si="1"/>
        <v>20.6325792094596</v>
      </c>
      <c r="I14" s="893">
        <f t="shared" si="2"/>
        <v>28.268387348030632</v>
      </c>
      <c r="L14" s="41">
        <v>10</v>
      </c>
      <c r="M14" s="594">
        <v>0.32</v>
      </c>
      <c r="N14" s="112">
        <f>'3 Vol'!D13*1000/365/24/60/60</f>
        <v>20.136624838003762</v>
      </c>
      <c r="O14" s="122">
        <v>45240.193521667075</v>
      </c>
      <c r="P14" s="147">
        <f>'1 R1 Pop'!J14</f>
        <v>0.79</v>
      </c>
      <c r="Q14" s="595">
        <v>9.476058747295891</v>
      </c>
    </row>
    <row r="15" spans="2:18" ht="20.25" customHeight="1">
      <c r="B15" s="98">
        <v>11</v>
      </c>
      <c r="C15" s="104">
        <f>('3 Vol'!D14/(1-'3 Vol'!G14)*(1000/365/24/60/60))</f>
        <v>26.890756166470254</v>
      </c>
      <c r="D15" s="104">
        <f>(('3 Vol'!D14*1.2)*1000/365/24/60/60)+Q15</f>
        <v>32.845137889045802</v>
      </c>
      <c r="E15" s="105">
        <f>(('3 Vol'!D14*1.2*1.5)*1000/365/24/60/60)+Q15</f>
        <v>44.94597816395742</v>
      </c>
      <c r="F15" s="108">
        <f t="shared" si="3"/>
        <v>1450</v>
      </c>
      <c r="G15" s="892">
        <f t="shared" si="0"/>
        <v>19.949996541353819</v>
      </c>
      <c r="H15" s="892">
        <f t="shared" si="1"/>
        <v>22.757391485133315</v>
      </c>
      <c r="I15" s="893">
        <f t="shared" si="2"/>
        <v>31.179576316471799</v>
      </c>
      <c r="L15" s="41">
        <v>11</v>
      </c>
      <c r="M15" s="594">
        <v>0.3</v>
      </c>
      <c r="N15" s="112">
        <f>'3 Vol'!D14*1000/365/24/60/60</f>
        <v>20.168067124852691</v>
      </c>
      <c r="O15" s="122">
        <v>45310.512049473924</v>
      </c>
      <c r="P15" s="147">
        <f>'1 R1 Pop'!J15</f>
        <v>0.87</v>
      </c>
      <c r="Q15" s="595">
        <v>8.6434573392225822</v>
      </c>
    </row>
    <row r="16" spans="2:18" ht="20.25" customHeight="1">
      <c r="B16" s="98">
        <v>12</v>
      </c>
      <c r="C16" s="104">
        <f>('3 Vol'!D15/(1-'3 Vol'!G15)*(1000/365/24/60/60))</f>
        <v>26.929398364812592</v>
      </c>
      <c r="D16" s="104">
        <f>(('3 Vol'!D15*1.2)*1000/365/24/60/60)+Q16</f>
        <v>32.090866384735001</v>
      </c>
      <c r="E16" s="105">
        <f>(('3 Vol'!D15*1.2*1.5)*1000/365/24/60/60)+Q16</f>
        <v>44.209095648900657</v>
      </c>
      <c r="F16" s="108">
        <f t="shared" si="3"/>
        <v>1450</v>
      </c>
      <c r="G16" s="105">
        <f t="shared" si="0"/>
        <v>22.963908248472862</v>
      </c>
      <c r="H16" s="105">
        <f t="shared" si="1"/>
        <v>26.195436052250372</v>
      </c>
      <c r="I16" s="106">
        <f t="shared" si="2"/>
        <v>35.890019463582902</v>
      </c>
      <c r="L16" s="41">
        <v>12</v>
      </c>
      <c r="M16" s="594">
        <v>0.28000000000000003</v>
      </c>
      <c r="N16" s="112">
        <f>'3 Vol'!D15*1000/365/24/60/60</f>
        <v>20.197048773609442</v>
      </c>
      <c r="O16" s="122">
        <v>45375.128197235383</v>
      </c>
      <c r="P16" s="147">
        <f>'1 R1 Pop'!J16</f>
        <v>1</v>
      </c>
      <c r="Q16" s="595">
        <v>7.8544078564036717</v>
      </c>
    </row>
    <row r="17" spans="2:17" ht="20.25" customHeight="1">
      <c r="B17" s="98">
        <v>13</v>
      </c>
      <c r="C17" s="104">
        <f>('3 Vol'!D16/(1-'3 Vol'!G16)*(1000/365/24/60/60))</f>
        <v>26.968040563154922</v>
      </c>
      <c r="D17" s="104">
        <f>(('3 Vol'!D16*1.2)*1000/365/24/60/60)+Q17</f>
        <v>31.013246647628161</v>
      </c>
      <c r="E17" s="105">
        <f>(('3 Vol'!D16*1.2*1.5)*1000/365/24/60/60)+Q17</f>
        <v>43.148864901047872</v>
      </c>
      <c r="F17" s="108">
        <f t="shared" si="3"/>
        <v>1450</v>
      </c>
      <c r="G17" s="105">
        <f t="shared" si="0"/>
        <v>22.996785989642476</v>
      </c>
      <c r="H17" s="105">
        <f t="shared" si="1"/>
        <v>26.23295085722107</v>
      </c>
      <c r="I17" s="106">
        <f t="shared" si="2"/>
        <v>35.941445459956839</v>
      </c>
      <c r="L17" s="41">
        <v>13</v>
      </c>
      <c r="M17" s="594">
        <v>0.25</v>
      </c>
      <c r="N17" s="112">
        <f>'3 Vol'!D16*1000/365/24/60/60</f>
        <v>20.226030422366193</v>
      </c>
      <c r="O17" s="122">
        <v>45439.744344996827</v>
      </c>
      <c r="P17" s="147">
        <f>'1 R1 Pop'!J17</f>
        <v>1</v>
      </c>
      <c r="Q17" s="595">
        <v>6.7420101407887323</v>
      </c>
    </row>
    <row r="18" spans="2:17" ht="20.25" customHeight="1">
      <c r="B18" s="98">
        <v>14</v>
      </c>
      <c r="C18" s="104">
        <f>('3 Vol'!D17/(1-'3 Vol'!G17)*(1000/365/24/60/60))</f>
        <v>27.006682761497267</v>
      </c>
      <c r="D18" s="104">
        <f>(('3 Vol'!D17*1.2)*1000/365/24/60/60)+Q18</f>
        <v>31.057685175721858</v>
      </c>
      <c r="E18" s="105">
        <f>(('3 Vol'!D17*1.2*1.5)*1000/365/24/60/60)+Q18</f>
        <v>43.210692418395624</v>
      </c>
      <c r="F18" s="108">
        <f t="shared" si="3"/>
        <v>1450</v>
      </c>
      <c r="G18" s="105">
        <f t="shared" si="0"/>
        <v>23.0296637308121</v>
      </c>
      <c r="H18" s="105">
        <f t="shared" si="1"/>
        <v>26.270465662191771</v>
      </c>
      <c r="I18" s="106">
        <f t="shared" si="2"/>
        <v>35.992871456330789</v>
      </c>
      <c r="L18" s="41">
        <v>14</v>
      </c>
      <c r="M18" s="594">
        <f t="shared" ref="M18:M34" si="4">M17</f>
        <v>0.25</v>
      </c>
      <c r="N18" s="112">
        <f>'3 Vol'!D17*1000/365/24/60/60</f>
        <v>20.255012071122948</v>
      </c>
      <c r="O18" s="122">
        <v>45504.360492758271</v>
      </c>
      <c r="P18" s="147">
        <f>'1 R1 Pop'!J18</f>
        <v>1</v>
      </c>
      <c r="Q18" s="595">
        <v>6.7516706903743184</v>
      </c>
    </row>
    <row r="19" spans="2:17" ht="20.25" customHeight="1">
      <c r="B19" s="98">
        <v>15</v>
      </c>
      <c r="C19" s="104">
        <f>('3 Vol'!D18/(1-'3 Vol'!G18)*(1000/365/24/60/60))</f>
        <v>27.045324959839604</v>
      </c>
      <c r="D19" s="104">
        <f>(('3 Vol'!D18*1.2)*1000/365/24/60/60)+Q19</f>
        <v>31.102123703815547</v>
      </c>
      <c r="E19" s="105">
        <f>(('3 Vol'!D18*1.2*1.5)*1000/365/24/60/60)+Q19</f>
        <v>43.272519935743375</v>
      </c>
      <c r="F19" s="108">
        <f t="shared" si="3"/>
        <v>1450</v>
      </c>
      <c r="G19" s="105">
        <f t="shared" si="0"/>
        <v>23.062541471981724</v>
      </c>
      <c r="H19" s="105">
        <f t="shared" si="1"/>
        <v>26.307980467162476</v>
      </c>
      <c r="I19" s="106">
        <f t="shared" si="2"/>
        <v>36.04429745270474</v>
      </c>
      <c r="L19" s="41">
        <v>15</v>
      </c>
      <c r="M19" s="594">
        <f t="shared" si="4"/>
        <v>0.25</v>
      </c>
      <c r="N19" s="112">
        <f>'3 Vol'!D18*1000/365/24/60/60</f>
        <v>20.283993719879707</v>
      </c>
      <c r="O19" s="122">
        <v>45568.976640519715</v>
      </c>
      <c r="P19" s="147">
        <f>'1 R1 Pop'!J19</f>
        <v>1</v>
      </c>
      <c r="Q19" s="595">
        <v>6.761331239959901</v>
      </c>
    </row>
    <row r="20" spans="2:17" ht="20.25" customHeight="1">
      <c r="B20" s="98">
        <v>16</v>
      </c>
      <c r="C20" s="104">
        <f>('3 Vol'!D19/(1-'3 Vol'!G19)*(1000/365/24/60/60))</f>
        <v>27.076158970513561</v>
      </c>
      <c r="D20" s="104">
        <f>(('3 Vol'!D19*1.2)*1000/365/24/60/60)+Q20</f>
        <v>31.137582816090596</v>
      </c>
      <c r="E20" s="105">
        <f>(('3 Vol'!D19*1.2*1.5)*1000/365/24/60/60)+Q20</f>
        <v>43.321854352821703</v>
      </c>
      <c r="F20" s="108">
        <f t="shared" si="3"/>
        <v>1450</v>
      </c>
      <c r="G20" s="105">
        <f t="shared" si="0"/>
        <v>23.089061989588082</v>
      </c>
      <c r="H20" s="105">
        <f t="shared" si="1"/>
        <v>26.338201066049713</v>
      </c>
      <c r="I20" s="106">
        <f t="shared" si="2"/>
        <v>36.085618295434593</v>
      </c>
      <c r="L20" s="41">
        <v>16</v>
      </c>
      <c r="M20" s="594">
        <f t="shared" si="4"/>
        <v>0.25</v>
      </c>
      <c r="N20" s="112">
        <f>'3 Vol'!D19*1000/365/24/60/60</f>
        <v>20.30711922788517</v>
      </c>
      <c r="O20" s="122">
        <v>45622.444048532969</v>
      </c>
      <c r="P20" s="147">
        <f>'1 R1 Pop'!J20</f>
        <v>1</v>
      </c>
      <c r="Q20" s="595">
        <v>6.7690397426283901</v>
      </c>
    </row>
    <row r="21" spans="2:17" ht="20.25" customHeight="1">
      <c r="B21" s="98">
        <v>17</v>
      </c>
      <c r="C21" s="104">
        <f>('3 Vol'!D20/(1-'3 Vol'!G20)*(1000/365/24/60/60))</f>
        <v>27.107601257362482</v>
      </c>
      <c r="D21" s="104">
        <f>(('3 Vol'!D20*1.2)*1000/365/24/60/60)+Q21</f>
        <v>31.173741445966851</v>
      </c>
      <c r="E21" s="105">
        <f>(('3 Vol'!D20*1.2*1.5)*1000/365/24/60/60)+Q21</f>
        <v>43.372162011779977</v>
      </c>
      <c r="F21" s="108">
        <f t="shared" si="3"/>
        <v>1450</v>
      </c>
      <c r="G21" s="105">
        <f t="shared" si="0"/>
        <v>23.115841254615823</v>
      </c>
      <c r="H21" s="105">
        <f t="shared" si="1"/>
        <v>26.368753405499319</v>
      </c>
      <c r="I21" s="106">
        <f t="shared" si="2"/>
        <v>36.127489858149815</v>
      </c>
      <c r="L21" s="41">
        <v>17</v>
      </c>
      <c r="M21" s="594">
        <f t="shared" si="4"/>
        <v>0.25</v>
      </c>
      <c r="N21" s="112">
        <f>'3 Vol'!D20*1000/365/24/60/60</f>
        <v>20.33070094302186</v>
      </c>
      <c r="O21" s="122">
        <v>45675.203334655584</v>
      </c>
      <c r="P21" s="147">
        <f>'1 R1 Pop'!J21</f>
        <v>1</v>
      </c>
      <c r="Q21" s="595">
        <v>6.7769003143406188</v>
      </c>
    </row>
    <row r="22" spans="2:17" ht="20.25" customHeight="1">
      <c r="B22" s="98">
        <v>18</v>
      </c>
      <c r="C22" s="104">
        <f>('3 Vol'!D21/(1-'3 Vol'!G21)*(1000/365/24/60/60))</f>
        <v>27.139043544211408</v>
      </c>
      <c r="D22" s="104">
        <f>(('3 Vol'!D21*1.2)*1000/365/24/60/60)+Q22</f>
        <v>31.20990007584312</v>
      </c>
      <c r="E22" s="105">
        <f>(('3 Vol'!D21*1.2*1.5)*1000/365/24/60/60)+Q22</f>
        <v>43.422469670738245</v>
      </c>
      <c r="F22" s="108">
        <f t="shared" si="3"/>
        <v>1450</v>
      </c>
      <c r="G22" s="105">
        <f t="shared" si="0"/>
        <v>23.142620519643572</v>
      </c>
      <c r="H22" s="105">
        <f t="shared" si="1"/>
        <v>26.39930574494894</v>
      </c>
      <c r="I22" s="106">
        <f t="shared" si="2"/>
        <v>36.169361420865052</v>
      </c>
      <c r="L22" s="41">
        <v>18</v>
      </c>
      <c r="M22" s="594">
        <f t="shared" si="4"/>
        <v>0.25</v>
      </c>
      <c r="N22" s="112">
        <f>'3 Vol'!D21*1000/365/24/60/60</f>
        <v>20.354282658158557</v>
      </c>
      <c r="O22" s="122">
        <v>45727.962620778198</v>
      </c>
      <c r="P22" s="147">
        <f>'1 R1 Pop'!J22</f>
        <v>1</v>
      </c>
      <c r="Q22" s="595">
        <v>6.784760886052851</v>
      </c>
    </row>
    <row r="23" spans="2:17" s="89" customFormat="1" ht="20.25" customHeight="1">
      <c r="B23" s="98">
        <v>19</v>
      </c>
      <c r="C23" s="104">
        <f>('3 Vol'!D22/(1-'3 Vol'!G22)*(1000/365/24/60/60))</f>
        <v>27.170485831060322</v>
      </c>
      <c r="D23" s="104">
        <f>(('3 Vol'!D22*1.2)*1000/365/24/60/60)+Q23</f>
        <v>31.246058705719371</v>
      </c>
      <c r="E23" s="105">
        <f>(('3 Vol'!D22*1.2*1.5)*1000/365/24/60/60)+Q23</f>
        <v>43.47277732969652</v>
      </c>
      <c r="F23" s="108">
        <f t="shared" si="3"/>
        <v>1450</v>
      </c>
      <c r="G23" s="105">
        <f t="shared" si="0"/>
        <v>23.169399784671317</v>
      </c>
      <c r="H23" s="105">
        <f t="shared" si="1"/>
        <v>26.429858084398553</v>
      </c>
      <c r="I23" s="106">
        <f t="shared" si="2"/>
        <v>36.211232983580267</v>
      </c>
      <c r="J23" s="41"/>
      <c r="K23" s="41"/>
      <c r="L23" s="41">
        <v>19</v>
      </c>
      <c r="M23" s="594">
        <f t="shared" si="4"/>
        <v>0.25</v>
      </c>
      <c r="N23" s="112">
        <f>'3 Vol'!D22*1000/365/24/60/60</f>
        <v>20.377864373295242</v>
      </c>
      <c r="O23" s="122">
        <v>45780.721906900813</v>
      </c>
      <c r="P23" s="147">
        <f>'1 R1 Pop'!J23</f>
        <v>1</v>
      </c>
      <c r="Q23" s="595">
        <v>6.7926214577650796</v>
      </c>
    </row>
    <row r="24" spans="2:17" ht="20.25" customHeight="1">
      <c r="B24" s="98">
        <v>20</v>
      </c>
      <c r="C24" s="104">
        <f>('3 Vol'!D23/(1-'3 Vol'!G23)*(1000/365/24/60/60))</f>
        <v>27.201928117909244</v>
      </c>
      <c r="D24" s="104">
        <f>(('3 Vol'!D23*1.2)*1000/365/24/60/60)+Q24</f>
        <v>31.282217335595632</v>
      </c>
      <c r="E24" s="105">
        <f>(('3 Vol'!D23*1.2*1.5)*1000/365/24/60/60)+Q24</f>
        <v>43.523084988654787</v>
      </c>
      <c r="F24" s="108">
        <f t="shared" si="3"/>
        <v>1450</v>
      </c>
      <c r="G24" s="105">
        <f t="shared" si="0"/>
        <v>23.196179049699065</v>
      </c>
      <c r="H24" s="105">
        <f t="shared" si="1"/>
        <v>26.460410423848174</v>
      </c>
      <c r="I24" s="106">
        <f t="shared" si="2"/>
        <v>36.253104546295503</v>
      </c>
      <c r="L24" s="41">
        <v>20</v>
      </c>
      <c r="M24" s="594">
        <f t="shared" si="4"/>
        <v>0.25</v>
      </c>
      <c r="N24" s="112">
        <f>'3 Vol'!D23*1000/365/24/60/60</f>
        <v>20.401446088431936</v>
      </c>
      <c r="O24" s="122">
        <v>45833.481193023428</v>
      </c>
      <c r="P24" s="147">
        <f>'1 R1 Pop'!J24</f>
        <v>1</v>
      </c>
      <c r="Q24" s="595">
        <v>6.8004820294773118</v>
      </c>
    </row>
    <row r="25" spans="2:17" ht="20.25" customHeight="1">
      <c r="B25" s="98">
        <v>21</v>
      </c>
      <c r="C25" s="104">
        <f>('3 Vol'!D24/(1-'3 Vol'!G24)*(1000/365/24/60/60))</f>
        <v>27.240600249990923</v>
      </c>
      <c r="D25" s="104">
        <f>(('3 Vol'!D24*1.2)*1000/365/24/60/60)+Q25</f>
        <v>31.326690287489562</v>
      </c>
      <c r="E25" s="105">
        <f>(('3 Vol'!D24*1.2*1.5)*1000/365/24/60/60)+Q25</f>
        <v>43.584960399985476</v>
      </c>
      <c r="F25" s="108">
        <f t="shared" si="3"/>
        <v>1450</v>
      </c>
      <c r="G25" s="105">
        <f t="shared" si="0"/>
        <v>23.229248049565491</v>
      </c>
      <c r="H25" s="105">
        <f t="shared" si="1"/>
        <v>26.498120079564401</v>
      </c>
      <c r="I25" s="106">
        <f t="shared" si="2"/>
        <v>36.304736169561139</v>
      </c>
      <c r="L25" s="41">
        <v>21</v>
      </c>
      <c r="M25" s="594">
        <f t="shared" si="4"/>
        <v>0.25</v>
      </c>
      <c r="N25" s="112">
        <f>'3 Vol'!D24*1000/365/24/60/60</f>
        <v>20.430450187493197</v>
      </c>
      <c r="O25" s="122">
        <v>45899.252663806234</v>
      </c>
      <c r="P25" s="147">
        <f>'1 R1 Pop'!J25</f>
        <v>1</v>
      </c>
      <c r="Q25" s="595">
        <v>6.8101500624977298</v>
      </c>
    </row>
    <row r="26" spans="2:17" ht="20.25" customHeight="1">
      <c r="B26" s="98">
        <v>22</v>
      </c>
      <c r="C26" s="104">
        <f>('3 Vol'!D25/(1-'3 Vol'!G25)*(1000/365/24/60/60))</f>
        <v>27.267455332482335</v>
      </c>
      <c r="D26" s="104">
        <f>(('3 Vol'!D25*1.2)*1000/365/24/60/60)+Q26</f>
        <v>31.35757363235469</v>
      </c>
      <c r="E26" s="105">
        <f>(('3 Vol'!D25*1.2*1.5)*1000/365/24/60/60)+Q26</f>
        <v>43.62792853197174</v>
      </c>
      <c r="F26" s="108">
        <f t="shared" si="3"/>
        <v>1450</v>
      </c>
      <c r="G26" s="105">
        <f t="shared" si="0"/>
        <v>23.252111173364398</v>
      </c>
      <c r="H26" s="105">
        <f t="shared" si="1"/>
        <v>26.524205813262277</v>
      </c>
      <c r="I26" s="106">
        <f t="shared" si="2"/>
        <v>36.340489732955923</v>
      </c>
      <c r="L26" s="41">
        <v>22</v>
      </c>
      <c r="M26" s="594">
        <f t="shared" si="4"/>
        <v>0.25</v>
      </c>
      <c r="N26" s="112">
        <f>'3 Vol'!D25*1000/365/24/60/60</f>
        <v>20.450591499361753</v>
      </c>
      <c r="O26" s="122">
        <v>45944.253159166648</v>
      </c>
      <c r="P26" s="147">
        <f>'1 R1 Pop'!J26</f>
        <v>1</v>
      </c>
      <c r="Q26" s="595">
        <v>6.8168638331205855</v>
      </c>
    </row>
    <row r="27" spans="2:17" s="89" customFormat="1" ht="20.25" customHeight="1">
      <c r="B27" s="98">
        <v>23</v>
      </c>
      <c r="C27" s="104">
        <f>('3 Vol'!D26/(1-'3 Vol'!G26)*(1000/365/24/60/60))</f>
        <v>27.294310414973747</v>
      </c>
      <c r="D27" s="104">
        <f>(('3 Vol'!D26*1.2)*1000/365/24/60/60)+Q27</f>
        <v>31.388456977219807</v>
      </c>
      <c r="E27" s="105">
        <f>(('3 Vol'!D26*1.2*1.5)*1000/365/24/60/60)+Q27</f>
        <v>43.670896663957997</v>
      </c>
      <c r="F27" s="108">
        <f t="shared" si="3"/>
        <v>1450</v>
      </c>
      <c r="G27" s="105">
        <f t="shared" si="0"/>
        <v>23.274974297163311</v>
      </c>
      <c r="H27" s="105">
        <f t="shared" si="1"/>
        <v>26.55029154696016</v>
      </c>
      <c r="I27" s="106">
        <f t="shared" si="2"/>
        <v>36.376243296350715</v>
      </c>
      <c r="J27" s="41"/>
      <c r="K27" s="41"/>
      <c r="L27" s="41">
        <v>23</v>
      </c>
      <c r="M27" s="594">
        <f t="shared" si="4"/>
        <v>0.25</v>
      </c>
      <c r="N27" s="112">
        <f>'3 Vol'!D26*1000/365/24/60/60</f>
        <v>20.470732811230313</v>
      </c>
      <c r="O27" s="122">
        <v>45989.253654527085</v>
      </c>
      <c r="P27" s="147">
        <f>'1 R1 Pop'!J27</f>
        <v>1</v>
      </c>
      <c r="Q27" s="595">
        <v>6.8235776037434377</v>
      </c>
    </row>
    <row r="28" spans="2:17" s="89" customFormat="1" ht="20.25" customHeight="1">
      <c r="B28" s="98">
        <v>24</v>
      </c>
      <c r="C28" s="104">
        <f>('3 Vol'!D27/(1-'3 Vol'!G27)*(1000/365/24/60/60))</f>
        <v>27.321165497465163</v>
      </c>
      <c r="D28" s="104">
        <f>(('3 Vol'!D27*1.2)*1000/365/24/60/60)+Q28</f>
        <v>31.419340322084938</v>
      </c>
      <c r="E28" s="105">
        <f>(('3 Vol'!D27*1.2*1.5)*1000/365/24/60/60)+Q28</f>
        <v>43.713864795944254</v>
      </c>
      <c r="F28" s="108">
        <f t="shared" si="3"/>
        <v>1450</v>
      </c>
      <c r="G28" s="105">
        <f t="shared" si="0"/>
        <v>23.297837420962221</v>
      </c>
      <c r="H28" s="105">
        <f t="shared" si="1"/>
        <v>26.57637728065804</v>
      </c>
      <c r="I28" s="106">
        <f t="shared" si="2"/>
        <v>36.4119968597455</v>
      </c>
      <c r="J28" s="41"/>
      <c r="K28" s="41"/>
      <c r="L28" s="41">
        <v>24</v>
      </c>
      <c r="M28" s="594">
        <f t="shared" si="4"/>
        <v>0.25</v>
      </c>
      <c r="N28" s="112">
        <f>'3 Vol'!D27*1000/365/24/60/60</f>
        <v>20.490874123098873</v>
      </c>
      <c r="O28" s="122">
        <v>46034.2541498875</v>
      </c>
      <c r="P28" s="147">
        <f>'1 R1 Pop'!J28</f>
        <v>1</v>
      </c>
      <c r="Q28" s="595">
        <v>6.8302913743662899</v>
      </c>
    </row>
    <row r="29" spans="2:17" ht="20.25" customHeight="1">
      <c r="B29" s="98">
        <v>25</v>
      </c>
      <c r="C29" s="104">
        <f>('3 Vol'!D28/(1-'3 Vol'!G28)*(1000/365/24/60/60))</f>
        <v>27.348020579956572</v>
      </c>
      <c r="D29" s="104">
        <f>(('3 Vol'!D28*1.2)*1000/365/24/60/60)+Q29</f>
        <v>31.450223666950059</v>
      </c>
      <c r="E29" s="105">
        <f>(('3 Vol'!D28*1.2*1.5)*1000/365/24/60/60)+Q29</f>
        <v>43.756832927930517</v>
      </c>
      <c r="F29" s="108">
        <f t="shared" si="3"/>
        <v>1450</v>
      </c>
      <c r="G29" s="105">
        <f t="shared" si="0"/>
        <v>23.320700544761131</v>
      </c>
      <c r="H29" s="105">
        <f t="shared" si="1"/>
        <v>26.602463014355919</v>
      </c>
      <c r="I29" s="106">
        <f t="shared" si="2"/>
        <v>36.447750423140292</v>
      </c>
      <c r="L29" s="41">
        <v>25</v>
      </c>
      <c r="M29" s="594">
        <f t="shared" si="4"/>
        <v>0.25</v>
      </c>
      <c r="N29" s="112">
        <f>'3 Vol'!D28*1000/365/24/60/60</f>
        <v>20.511015434967433</v>
      </c>
      <c r="O29" s="122">
        <v>46079.254645247915</v>
      </c>
      <c r="P29" s="147">
        <f>'1 R1 Pop'!J29</f>
        <v>1</v>
      </c>
      <c r="Q29" s="595">
        <v>6.837005144989142</v>
      </c>
    </row>
    <row r="30" spans="2:17" ht="20.25" customHeight="1">
      <c r="B30" s="98">
        <v>26</v>
      </c>
      <c r="C30" s="104">
        <f>('3 Vol'!D29/(1-'3 Vol'!G29)*(1000/365/24/60/60))</f>
        <v>27.386692712038247</v>
      </c>
      <c r="D30" s="104">
        <f>(('3 Vol'!D29*1.2)*1000/365/24/60/60)+Q30</f>
        <v>31.494696618843985</v>
      </c>
      <c r="E30" s="105">
        <f>(('3 Vol'!D29*1.2*1.5)*1000/365/24/60/60)+Q30</f>
        <v>43.818708339261207</v>
      </c>
      <c r="F30" s="108">
        <f t="shared" si="3"/>
        <v>1450</v>
      </c>
      <c r="G30" s="105">
        <f t="shared" si="0"/>
        <v>23.353769562084928</v>
      </c>
      <c r="H30" s="105">
        <f t="shared" si="1"/>
        <v>26.640172687529514</v>
      </c>
      <c r="I30" s="106">
        <f t="shared" si="2"/>
        <v>36.499382063863287</v>
      </c>
      <c r="L30" s="41">
        <v>26</v>
      </c>
      <c r="M30" s="594">
        <f t="shared" si="4"/>
        <v>0.25</v>
      </c>
      <c r="N30" s="112">
        <f>'3 Vol'!D29*1000/365/24/60/60</f>
        <v>20.540019534028691</v>
      </c>
      <c r="O30" s="122">
        <v>46145.026232413162</v>
      </c>
      <c r="P30" s="147">
        <f>'1 R1 Pop'!J30</f>
        <v>1</v>
      </c>
      <c r="Q30" s="595">
        <v>6.8466731780095635</v>
      </c>
    </row>
    <row r="31" spans="2:17" ht="20.25" customHeight="1">
      <c r="B31" s="98">
        <v>27</v>
      </c>
      <c r="C31" s="104">
        <f>('3 Vol'!D30/(1-'3 Vol'!G30)*(1000/365/24/60/60))</f>
        <v>27.414854148097621</v>
      </c>
      <c r="D31" s="104">
        <f>(('3 Vol'!D30*1.2)*1000/365/24/60/60)+Q31</f>
        <v>31.52708227031226</v>
      </c>
      <c r="E31" s="105">
        <f>(('3 Vol'!D30*1.2*1.5)*1000/365/24/60/60)+Q31</f>
        <v>43.863766636956193</v>
      </c>
      <c r="F31" s="108">
        <f t="shared" si="3"/>
        <v>1450</v>
      </c>
      <c r="G31" s="105">
        <f t="shared" si="0"/>
        <v>23.377724279615414</v>
      </c>
      <c r="H31" s="105">
        <f t="shared" si="1"/>
        <v>26.667506777387128</v>
      </c>
      <c r="I31" s="106">
        <f t="shared" si="2"/>
        <v>36.536854270702271</v>
      </c>
      <c r="L31" s="41">
        <v>27</v>
      </c>
      <c r="M31" s="594">
        <f t="shared" si="4"/>
        <v>0.25</v>
      </c>
      <c r="N31" s="112">
        <f>'3 Vol'!D30*1000/365/24/60/60</f>
        <v>20.561140611073217</v>
      </c>
      <c r="O31" s="122">
        <v>46192.078605045601</v>
      </c>
      <c r="P31" s="147">
        <f>'1 R1 Pop'!J31</f>
        <v>1</v>
      </c>
      <c r="Q31" s="595">
        <v>6.8537135370244044</v>
      </c>
    </row>
    <row r="32" spans="2:17" ht="20.25" customHeight="1">
      <c r="B32" s="98">
        <v>28</v>
      </c>
      <c r="C32" s="104">
        <f>('3 Vol'!D31/(1-'3 Vol'!G31)*(1000/365/24/60/60))</f>
        <v>27.44368372781063</v>
      </c>
      <c r="D32" s="104">
        <f>(('3 Vol'!D31*1.2)*1000/365/24/60/60)+Q32</f>
        <v>31.560236286982228</v>
      </c>
      <c r="E32" s="105">
        <f>(('3 Vol'!D31*1.2*1.5)*1000/365/24/60/60)+Q32</f>
        <v>43.909893964497016</v>
      </c>
      <c r="F32" s="108">
        <f t="shared" si="3"/>
        <v>1450</v>
      </c>
      <c r="G32" s="105">
        <f t="shared" si="0"/>
        <v>23.402320472587075</v>
      </c>
      <c r="H32" s="105">
        <f t="shared" si="1"/>
        <v>26.695562519924348</v>
      </c>
      <c r="I32" s="106">
        <f t="shared" si="2"/>
        <v>36.57528866193617</v>
      </c>
      <c r="L32" s="41">
        <v>28</v>
      </c>
      <c r="M32" s="594">
        <f t="shared" si="4"/>
        <v>0.25</v>
      </c>
      <c r="N32" s="112">
        <f>'3 Vol'!D31*1000/365/24/60/60</f>
        <v>20.582762795857967</v>
      </c>
      <c r="O32" s="122">
        <v>46240.734906004662</v>
      </c>
      <c r="P32" s="147">
        <f>'1 R1 Pop'!J32</f>
        <v>1</v>
      </c>
      <c r="Q32" s="595">
        <v>6.8609209319526592</v>
      </c>
    </row>
    <row r="33" spans="2:17" ht="20.25" customHeight="1">
      <c r="B33" s="98">
        <v>29</v>
      </c>
      <c r="C33" s="104">
        <f>('3 Vol'!D32/(1-'3 Vol'!G32)*(1000/365/24/60/60))</f>
        <v>27.4738196610916</v>
      </c>
      <c r="D33" s="104">
        <f>(('3 Vol'!D32*1.2)*1000/365/24/60/60)+Q33</f>
        <v>31.594892610255339</v>
      </c>
      <c r="E33" s="105">
        <f>(('3 Vol'!D32*1.2*1.5)*1000/365/24/60/60)+Q33</f>
        <v>43.958111457746554</v>
      </c>
      <c r="F33" s="108">
        <f t="shared" si="3"/>
        <v>1450</v>
      </c>
      <c r="G33" s="105">
        <f t="shared" si="0"/>
        <v>23.428008215531772</v>
      </c>
      <c r="H33" s="105">
        <f t="shared" si="1"/>
        <v>26.724866574862762</v>
      </c>
      <c r="I33" s="106">
        <f t="shared" si="2"/>
        <v>36.615441652855736</v>
      </c>
      <c r="L33" s="41">
        <v>29</v>
      </c>
      <c r="M33" s="594">
        <f t="shared" si="4"/>
        <v>0.25</v>
      </c>
      <c r="N33" s="112">
        <f>'3 Vol'!D32*1000/365/24/60/60</f>
        <v>20.605364745818697</v>
      </c>
      <c r="O33" s="122">
        <v>46291.442792512105</v>
      </c>
      <c r="P33" s="147">
        <f>'1 R1 Pop'!J33</f>
        <v>1</v>
      </c>
      <c r="Q33" s="595">
        <v>6.8684549152728991</v>
      </c>
    </row>
    <row r="34" spans="2:17" ht="20.25" customHeight="1" thickBot="1">
      <c r="B34" s="100">
        <v>30</v>
      </c>
      <c r="C34" s="368">
        <f>('3 Vol'!D33/(1-'3 Vol'!G33)*(1000/365/24/60/60))</f>
        <v>27.490193981300031</v>
      </c>
      <c r="D34" s="380">
        <f>(('3 Vol'!D33*1.2)*1000/365/24/60/60)+Q34</f>
        <v>31.613723078495042</v>
      </c>
      <c r="E34" s="369">
        <f>(('3 Vol'!D33*1.2*1.5)*1000/365/24/60/60)+Q34</f>
        <v>43.984310370080053</v>
      </c>
      <c r="F34" s="370">
        <f t="shared" si="3"/>
        <v>1450</v>
      </c>
      <c r="G34" s="369">
        <f t="shared" si="0"/>
        <v>23.441946031469762</v>
      </c>
      <c r="H34" s="369">
        <f t="shared" si="1"/>
        <v>26.740769309225762</v>
      </c>
      <c r="I34" s="371">
        <f t="shared" si="2"/>
        <v>36.637239142493776</v>
      </c>
      <c r="L34" s="41">
        <v>30</v>
      </c>
      <c r="M34" s="596">
        <f t="shared" si="4"/>
        <v>0.25</v>
      </c>
      <c r="N34" s="597">
        <f>'3 Vol'!D33*1000/365/24/60/60</f>
        <v>20.617645485975018</v>
      </c>
      <c r="O34" s="124">
        <v>46318.864284598305</v>
      </c>
      <c r="P34" s="598">
        <f>'1 R1 Pop'!J34</f>
        <v>1</v>
      </c>
      <c r="Q34" s="599">
        <v>6.8725484953250096</v>
      </c>
    </row>
    <row r="35" spans="2:17">
      <c r="Q35" s="593">
        <v>6.8725484953250096</v>
      </c>
    </row>
  </sheetData>
  <mergeCells count="14">
    <mergeCell ref="B1:I1"/>
    <mergeCell ref="H3:H4"/>
    <mergeCell ref="I3:I4"/>
    <mergeCell ref="B3:B4"/>
    <mergeCell ref="C3:C4"/>
    <mergeCell ref="D3:D4"/>
    <mergeCell ref="E3:E4"/>
    <mergeCell ref="F3:F4"/>
    <mergeCell ref="G3:G4"/>
    <mergeCell ref="Q3:Q4"/>
    <mergeCell ref="P3:P4"/>
    <mergeCell ref="O3:O4"/>
    <mergeCell ref="M3:M4"/>
    <mergeCell ref="N3:N4"/>
  </mergeCells>
  <printOptions horizontalCentered="1"/>
  <pageMargins left="0.98425196850393704" right="0.59055118110236227" top="1.9685039370078741" bottom="1.0629921259842521" header="0.39370078740157483" footer="0.39370078740157483"/>
  <pageSetup paperSize="9" scale="6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B1:G100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47" customWidth="1"/>
    <col min="2" max="2" width="7.28515625" style="47" customWidth="1"/>
    <col min="3" max="7" width="14" style="47" customWidth="1"/>
    <col min="8" max="8" width="2.7109375" style="47" customWidth="1"/>
    <col min="9" max="257" width="11.5703125" style="47"/>
    <col min="258" max="258" width="7.28515625" style="47" customWidth="1"/>
    <col min="259" max="263" width="14" style="47" customWidth="1"/>
    <col min="264" max="513" width="11.5703125" style="47"/>
    <col min="514" max="514" width="7.28515625" style="47" customWidth="1"/>
    <col min="515" max="519" width="14" style="47" customWidth="1"/>
    <col min="520" max="769" width="11.5703125" style="47"/>
    <col min="770" max="770" width="7.28515625" style="47" customWidth="1"/>
    <col min="771" max="775" width="14" style="47" customWidth="1"/>
    <col min="776" max="1025" width="11.5703125" style="47"/>
    <col min="1026" max="1026" width="7.28515625" style="47" customWidth="1"/>
    <col min="1027" max="1031" width="14" style="47" customWidth="1"/>
    <col min="1032" max="1281" width="11.5703125" style="47"/>
    <col min="1282" max="1282" width="7.28515625" style="47" customWidth="1"/>
    <col min="1283" max="1287" width="14" style="47" customWidth="1"/>
    <col min="1288" max="1537" width="11.5703125" style="47"/>
    <col min="1538" max="1538" width="7.28515625" style="47" customWidth="1"/>
    <col min="1539" max="1543" width="14" style="47" customWidth="1"/>
    <col min="1544" max="1793" width="11.5703125" style="47"/>
    <col min="1794" max="1794" width="7.28515625" style="47" customWidth="1"/>
    <col min="1795" max="1799" width="14" style="47" customWidth="1"/>
    <col min="1800" max="2049" width="11.5703125" style="47"/>
    <col min="2050" max="2050" width="7.28515625" style="47" customWidth="1"/>
    <col min="2051" max="2055" width="14" style="47" customWidth="1"/>
    <col min="2056" max="2305" width="11.5703125" style="47"/>
    <col min="2306" max="2306" width="7.28515625" style="47" customWidth="1"/>
    <col min="2307" max="2311" width="14" style="47" customWidth="1"/>
    <col min="2312" max="2561" width="11.5703125" style="47"/>
    <col min="2562" max="2562" width="7.28515625" style="47" customWidth="1"/>
    <col min="2563" max="2567" width="14" style="47" customWidth="1"/>
    <col min="2568" max="2817" width="11.5703125" style="47"/>
    <col min="2818" max="2818" width="7.28515625" style="47" customWidth="1"/>
    <col min="2819" max="2823" width="14" style="47" customWidth="1"/>
    <col min="2824" max="3073" width="11.5703125" style="47"/>
    <col min="3074" max="3074" width="7.28515625" style="47" customWidth="1"/>
    <col min="3075" max="3079" width="14" style="47" customWidth="1"/>
    <col min="3080" max="3329" width="11.5703125" style="47"/>
    <col min="3330" max="3330" width="7.28515625" style="47" customWidth="1"/>
    <col min="3331" max="3335" width="14" style="47" customWidth="1"/>
    <col min="3336" max="3585" width="11.5703125" style="47"/>
    <col min="3586" max="3586" width="7.28515625" style="47" customWidth="1"/>
    <col min="3587" max="3591" width="14" style="47" customWidth="1"/>
    <col min="3592" max="3841" width="11.5703125" style="47"/>
    <col min="3842" max="3842" width="7.28515625" style="47" customWidth="1"/>
    <col min="3843" max="3847" width="14" style="47" customWidth="1"/>
    <col min="3848" max="4097" width="11.5703125" style="47"/>
    <col min="4098" max="4098" width="7.28515625" style="47" customWidth="1"/>
    <col min="4099" max="4103" width="14" style="47" customWidth="1"/>
    <col min="4104" max="4353" width="11.5703125" style="47"/>
    <col min="4354" max="4354" width="7.28515625" style="47" customWidth="1"/>
    <col min="4355" max="4359" width="14" style="47" customWidth="1"/>
    <col min="4360" max="4609" width="11.5703125" style="47"/>
    <col min="4610" max="4610" width="7.28515625" style="47" customWidth="1"/>
    <col min="4611" max="4615" width="14" style="47" customWidth="1"/>
    <col min="4616" max="4865" width="11.5703125" style="47"/>
    <col min="4866" max="4866" width="7.28515625" style="47" customWidth="1"/>
    <col min="4867" max="4871" width="14" style="47" customWidth="1"/>
    <col min="4872" max="5121" width="11.5703125" style="47"/>
    <col min="5122" max="5122" width="7.28515625" style="47" customWidth="1"/>
    <col min="5123" max="5127" width="14" style="47" customWidth="1"/>
    <col min="5128" max="5377" width="11.5703125" style="47"/>
    <col min="5378" max="5378" width="7.28515625" style="47" customWidth="1"/>
    <col min="5379" max="5383" width="14" style="47" customWidth="1"/>
    <col min="5384" max="5633" width="11.5703125" style="47"/>
    <col min="5634" max="5634" width="7.28515625" style="47" customWidth="1"/>
    <col min="5635" max="5639" width="14" style="47" customWidth="1"/>
    <col min="5640" max="5889" width="11.5703125" style="47"/>
    <col min="5890" max="5890" width="7.28515625" style="47" customWidth="1"/>
    <col min="5891" max="5895" width="14" style="47" customWidth="1"/>
    <col min="5896" max="6145" width="11.5703125" style="47"/>
    <col min="6146" max="6146" width="7.28515625" style="47" customWidth="1"/>
    <col min="6147" max="6151" width="14" style="47" customWidth="1"/>
    <col min="6152" max="6401" width="11.5703125" style="47"/>
    <col min="6402" max="6402" width="7.28515625" style="47" customWidth="1"/>
    <col min="6403" max="6407" width="14" style="47" customWidth="1"/>
    <col min="6408" max="6657" width="11.5703125" style="47"/>
    <col min="6658" max="6658" width="7.28515625" style="47" customWidth="1"/>
    <col min="6659" max="6663" width="14" style="47" customWidth="1"/>
    <col min="6664" max="6913" width="11.5703125" style="47"/>
    <col min="6914" max="6914" width="7.28515625" style="47" customWidth="1"/>
    <col min="6915" max="6919" width="14" style="47" customWidth="1"/>
    <col min="6920" max="7169" width="11.5703125" style="47"/>
    <col min="7170" max="7170" width="7.28515625" style="47" customWidth="1"/>
    <col min="7171" max="7175" width="14" style="47" customWidth="1"/>
    <col min="7176" max="7425" width="11.5703125" style="47"/>
    <col min="7426" max="7426" width="7.28515625" style="47" customWidth="1"/>
    <col min="7427" max="7431" width="14" style="47" customWidth="1"/>
    <col min="7432" max="7681" width="11.5703125" style="47"/>
    <col min="7682" max="7682" width="7.28515625" style="47" customWidth="1"/>
    <col min="7683" max="7687" width="14" style="47" customWidth="1"/>
    <col min="7688" max="7937" width="11.5703125" style="47"/>
    <col min="7938" max="7938" width="7.28515625" style="47" customWidth="1"/>
    <col min="7939" max="7943" width="14" style="47" customWidth="1"/>
    <col min="7944" max="8193" width="11.5703125" style="47"/>
    <col min="8194" max="8194" width="7.28515625" style="47" customWidth="1"/>
    <col min="8195" max="8199" width="14" style="47" customWidth="1"/>
    <col min="8200" max="8449" width="11.5703125" style="47"/>
    <col min="8450" max="8450" width="7.28515625" style="47" customWidth="1"/>
    <col min="8451" max="8455" width="14" style="47" customWidth="1"/>
    <col min="8456" max="8705" width="11.5703125" style="47"/>
    <col min="8706" max="8706" width="7.28515625" style="47" customWidth="1"/>
    <col min="8707" max="8711" width="14" style="47" customWidth="1"/>
    <col min="8712" max="8961" width="11.5703125" style="47"/>
    <col min="8962" max="8962" width="7.28515625" style="47" customWidth="1"/>
    <col min="8963" max="8967" width="14" style="47" customWidth="1"/>
    <col min="8968" max="9217" width="11.5703125" style="47"/>
    <col min="9218" max="9218" width="7.28515625" style="47" customWidth="1"/>
    <col min="9219" max="9223" width="14" style="47" customWidth="1"/>
    <col min="9224" max="9473" width="11.5703125" style="47"/>
    <col min="9474" max="9474" width="7.28515625" style="47" customWidth="1"/>
    <col min="9475" max="9479" width="14" style="47" customWidth="1"/>
    <col min="9480" max="9729" width="11.5703125" style="47"/>
    <col min="9730" max="9730" width="7.28515625" style="47" customWidth="1"/>
    <col min="9731" max="9735" width="14" style="47" customWidth="1"/>
    <col min="9736" max="9985" width="11.5703125" style="47"/>
    <col min="9986" max="9986" width="7.28515625" style="47" customWidth="1"/>
    <col min="9987" max="9991" width="14" style="47" customWidth="1"/>
    <col min="9992" max="10241" width="11.5703125" style="47"/>
    <col min="10242" max="10242" width="7.28515625" style="47" customWidth="1"/>
    <col min="10243" max="10247" width="14" style="47" customWidth="1"/>
    <col min="10248" max="10497" width="11.5703125" style="47"/>
    <col min="10498" max="10498" width="7.28515625" style="47" customWidth="1"/>
    <col min="10499" max="10503" width="14" style="47" customWidth="1"/>
    <col min="10504" max="10753" width="11.5703125" style="47"/>
    <col min="10754" max="10754" width="7.28515625" style="47" customWidth="1"/>
    <col min="10755" max="10759" width="14" style="47" customWidth="1"/>
    <col min="10760" max="11009" width="11.5703125" style="47"/>
    <col min="11010" max="11010" width="7.28515625" style="47" customWidth="1"/>
    <col min="11011" max="11015" width="14" style="47" customWidth="1"/>
    <col min="11016" max="11265" width="11.5703125" style="47"/>
    <col min="11266" max="11266" width="7.28515625" style="47" customWidth="1"/>
    <col min="11267" max="11271" width="14" style="47" customWidth="1"/>
    <col min="11272" max="11521" width="11.5703125" style="47"/>
    <col min="11522" max="11522" width="7.28515625" style="47" customWidth="1"/>
    <col min="11523" max="11527" width="14" style="47" customWidth="1"/>
    <col min="11528" max="11777" width="11.5703125" style="47"/>
    <col min="11778" max="11778" width="7.28515625" style="47" customWidth="1"/>
    <col min="11779" max="11783" width="14" style="47" customWidth="1"/>
    <col min="11784" max="12033" width="11.5703125" style="47"/>
    <col min="12034" max="12034" width="7.28515625" style="47" customWidth="1"/>
    <col min="12035" max="12039" width="14" style="47" customWidth="1"/>
    <col min="12040" max="12289" width="11.5703125" style="47"/>
    <col min="12290" max="12290" width="7.28515625" style="47" customWidth="1"/>
    <col min="12291" max="12295" width="14" style="47" customWidth="1"/>
    <col min="12296" max="12545" width="11.5703125" style="47"/>
    <col min="12546" max="12546" width="7.28515625" style="47" customWidth="1"/>
    <col min="12547" max="12551" width="14" style="47" customWidth="1"/>
    <col min="12552" max="12801" width="11.5703125" style="47"/>
    <col min="12802" max="12802" width="7.28515625" style="47" customWidth="1"/>
    <col min="12803" max="12807" width="14" style="47" customWidth="1"/>
    <col min="12808" max="13057" width="11.5703125" style="47"/>
    <col min="13058" max="13058" width="7.28515625" style="47" customWidth="1"/>
    <col min="13059" max="13063" width="14" style="47" customWidth="1"/>
    <col min="13064" max="13313" width="11.5703125" style="47"/>
    <col min="13314" max="13314" width="7.28515625" style="47" customWidth="1"/>
    <col min="13315" max="13319" width="14" style="47" customWidth="1"/>
    <col min="13320" max="13569" width="11.5703125" style="47"/>
    <col min="13570" max="13570" width="7.28515625" style="47" customWidth="1"/>
    <col min="13571" max="13575" width="14" style="47" customWidth="1"/>
    <col min="13576" max="13825" width="11.5703125" style="47"/>
    <col min="13826" max="13826" width="7.28515625" style="47" customWidth="1"/>
    <col min="13827" max="13831" width="14" style="47" customWidth="1"/>
    <col min="13832" max="14081" width="11.5703125" style="47"/>
    <col min="14082" max="14082" width="7.28515625" style="47" customWidth="1"/>
    <col min="14083" max="14087" width="14" style="47" customWidth="1"/>
    <col min="14088" max="14337" width="11.5703125" style="47"/>
    <col min="14338" max="14338" width="7.28515625" style="47" customWidth="1"/>
    <col min="14339" max="14343" width="14" style="47" customWidth="1"/>
    <col min="14344" max="14593" width="11.5703125" style="47"/>
    <col min="14594" max="14594" width="7.28515625" style="47" customWidth="1"/>
    <col min="14595" max="14599" width="14" style="47" customWidth="1"/>
    <col min="14600" max="14849" width="11.5703125" style="47"/>
    <col min="14850" max="14850" width="7.28515625" style="47" customWidth="1"/>
    <col min="14851" max="14855" width="14" style="47" customWidth="1"/>
    <col min="14856" max="15105" width="11.5703125" style="47"/>
    <col min="15106" max="15106" width="7.28515625" style="47" customWidth="1"/>
    <col min="15107" max="15111" width="14" style="47" customWidth="1"/>
    <col min="15112" max="15361" width="11.5703125" style="47"/>
    <col min="15362" max="15362" width="7.28515625" style="47" customWidth="1"/>
    <col min="15363" max="15367" width="14" style="47" customWidth="1"/>
    <col min="15368" max="15617" width="11.5703125" style="47"/>
    <col min="15618" max="15618" width="7.28515625" style="47" customWidth="1"/>
    <col min="15619" max="15623" width="14" style="47" customWidth="1"/>
    <col min="15624" max="15873" width="11.5703125" style="47"/>
    <col min="15874" max="15874" width="7.28515625" style="47" customWidth="1"/>
    <col min="15875" max="15879" width="14" style="47" customWidth="1"/>
    <col min="15880" max="16129" width="11.5703125" style="47"/>
    <col min="16130" max="16130" width="7.28515625" style="47" customWidth="1"/>
    <col min="16131" max="16135" width="14" style="47" customWidth="1"/>
    <col min="16136" max="16384" width="11.5703125" style="47"/>
  </cols>
  <sheetData>
    <row r="1" spans="2:7" s="42" customFormat="1" ht="30" customHeight="1">
      <c r="B1" s="89" t="s">
        <v>52</v>
      </c>
      <c r="D1" s="113"/>
      <c r="E1" s="113"/>
      <c r="F1" s="113"/>
      <c r="G1" s="113"/>
    </row>
    <row r="2" spans="2:7" ht="6.75" customHeight="1" thickBot="1">
      <c r="B2" s="114"/>
      <c r="C2" s="113"/>
      <c r="D2" s="113"/>
      <c r="E2" s="113"/>
      <c r="F2" s="113"/>
      <c r="G2" s="113"/>
    </row>
    <row r="3" spans="2:7" ht="21.75" customHeight="1" thickBot="1">
      <c r="B3" s="1638" t="s">
        <v>1</v>
      </c>
      <c r="C3" s="1640" t="s">
        <v>36</v>
      </c>
      <c r="D3" s="1642" t="s">
        <v>37</v>
      </c>
      <c r="E3" s="1643"/>
      <c r="F3" s="1642" t="s">
        <v>38</v>
      </c>
      <c r="G3" s="1643"/>
    </row>
    <row r="4" spans="2:7" s="72" customFormat="1" ht="45.75" customHeight="1" thickBot="1">
      <c r="B4" s="1639"/>
      <c r="C4" s="1641"/>
      <c r="D4" s="48" t="s">
        <v>39</v>
      </c>
      <c r="E4" s="48" t="s">
        <v>344</v>
      </c>
      <c r="F4" s="48" t="s">
        <v>40</v>
      </c>
      <c r="G4" s="48" t="s">
        <v>41</v>
      </c>
    </row>
    <row r="5" spans="2:7" ht="20.25" customHeight="1">
      <c r="B5" s="115">
        <v>1</v>
      </c>
      <c r="C5" s="82">
        <f>'3 Vol'!C4</f>
        <v>1153299.4359067942</v>
      </c>
      <c r="D5" s="381">
        <f>'3 Vol'!E4</f>
        <v>576649.71795339708</v>
      </c>
      <c r="E5" s="117">
        <f>(C5-D5)/C5</f>
        <v>0.5</v>
      </c>
      <c r="F5" s="381">
        <f>'3 Vol'!F4</f>
        <v>721108.36546377453</v>
      </c>
      <c r="G5" s="382">
        <f>(C5-F5)/C5</f>
        <v>0.374743156015857</v>
      </c>
    </row>
    <row r="6" spans="2:7" ht="20.25" customHeight="1">
      <c r="B6" s="118">
        <v>2</v>
      </c>
      <c r="C6" s="82">
        <f>'3 Vol'!C5</f>
        <v>1087946.0179781113</v>
      </c>
      <c r="D6" s="381">
        <f>'3 Vol'!E5</f>
        <v>587490.84970818018</v>
      </c>
      <c r="E6" s="117">
        <f t="shared" ref="E6:E34" si="0">(C6-D6)/C6</f>
        <v>0.45999999999999991</v>
      </c>
      <c r="F6" s="381">
        <f>'3 Vol'!F5</f>
        <v>734665.34911619837</v>
      </c>
      <c r="G6" s="382">
        <f t="shared" ref="G6:G34" si="1">(C6-F6)/C6</f>
        <v>0.32472260849712553</v>
      </c>
    </row>
    <row r="7" spans="2:7" ht="20.25" customHeight="1">
      <c r="B7" s="118">
        <v>3</v>
      </c>
      <c r="C7" s="82">
        <f>'3 Vol'!C6</f>
        <v>997277.46023463074</v>
      </c>
      <c r="D7" s="381">
        <f>'3 Vol'!E6</f>
        <v>598366.4761407784</v>
      </c>
      <c r="E7" s="117">
        <f t="shared" si="0"/>
        <v>0.4</v>
      </c>
      <c r="F7" s="381">
        <f>'3 Vol'!F6</f>
        <v>748265.46883539215</v>
      </c>
      <c r="G7" s="382">
        <f t="shared" si="1"/>
        <v>0.24969178721902852</v>
      </c>
    </row>
    <row r="8" spans="2:7" ht="20.25" customHeight="1">
      <c r="B8" s="118">
        <v>4</v>
      </c>
      <c r="C8" s="82">
        <f>'3 Vol'!C7</f>
        <v>937395.71084783855</v>
      </c>
      <c r="D8" s="381">
        <f>'3 Vol'!E7</f>
        <v>609307.21205109498</v>
      </c>
      <c r="E8" s="117">
        <f t="shared" si="0"/>
        <v>0.35000000000000009</v>
      </c>
      <c r="F8" s="381">
        <f>'3 Vol'!F7</f>
        <v>761947.00884768926</v>
      </c>
      <c r="G8" s="382">
        <f t="shared" si="1"/>
        <v>0.18716610282061422</v>
      </c>
    </row>
    <row r="9" spans="2:7" ht="20.25" customHeight="1">
      <c r="B9" s="65">
        <v>5</v>
      </c>
      <c r="C9" s="82">
        <f>'3 Vol'!C8</f>
        <v>885987.85212970909</v>
      </c>
      <c r="D9" s="381">
        <f>'3 Vol'!E8</f>
        <v>620191.49649079633</v>
      </c>
      <c r="E9" s="117">
        <f t="shared" si="0"/>
        <v>0.30000000000000004</v>
      </c>
      <c r="F9" s="381">
        <f>'3 Vol'!F8</f>
        <v>775557.955523276</v>
      </c>
      <c r="G9" s="382">
        <f t="shared" si="1"/>
        <v>0.12464041842219988</v>
      </c>
    </row>
    <row r="10" spans="2:7" ht="20.25" customHeight="1">
      <c r="B10" s="65">
        <v>6</v>
      </c>
      <c r="C10" s="82">
        <f>'3 Vol'!C9</f>
        <v>876582.27187373373</v>
      </c>
      <c r="D10" s="381">
        <f>'3 Vol'!E9</f>
        <v>631139.23574908834</v>
      </c>
      <c r="E10" s="117">
        <f t="shared" si="0"/>
        <v>0.27999999999999992</v>
      </c>
      <c r="F10" s="381">
        <f>'3 Vol'!F9</f>
        <v>789248.253318078</v>
      </c>
      <c r="G10" s="382">
        <f t="shared" si="1"/>
        <v>9.9630144662833944E-2</v>
      </c>
    </row>
    <row r="11" spans="2:7" ht="20.25" customHeight="1">
      <c r="B11" s="65">
        <v>7</v>
      </c>
      <c r="C11" s="82">
        <f>'3 Vol'!C10</f>
        <v>854189.05653049541</v>
      </c>
      <c r="D11" s="381">
        <f>'3 Vol'!E10</f>
        <v>632099.9018325666</v>
      </c>
      <c r="E11" s="117">
        <f t="shared" si="0"/>
        <v>0.26</v>
      </c>
      <c r="F11" s="381">
        <f>'3 Vol'!F10</f>
        <v>790449.57940503443</v>
      </c>
      <c r="G11" s="382">
        <f t="shared" si="1"/>
        <v>7.4619870903468333E-2</v>
      </c>
    </row>
    <row r="12" spans="2:7" ht="20.25" customHeight="1">
      <c r="B12" s="65">
        <v>8</v>
      </c>
      <c r="C12" s="82">
        <f>'3 Vol'!C11</f>
        <v>844080.75722139317</v>
      </c>
      <c r="D12" s="381">
        <f>'3 Vol'!E11</f>
        <v>633060.56791604485</v>
      </c>
      <c r="E12" s="117">
        <f t="shared" si="0"/>
        <v>0.25000000000000006</v>
      </c>
      <c r="F12" s="381">
        <f>'3 Vol'!F11</f>
        <v>791650.90549199085</v>
      </c>
      <c r="G12" s="382">
        <f t="shared" si="1"/>
        <v>6.2114734023785527E-2</v>
      </c>
    </row>
    <row r="13" spans="2:7" ht="20.25" customHeight="1">
      <c r="B13" s="65">
        <v>9</v>
      </c>
      <c r="C13" s="82">
        <f>'3 Vol'!C12</f>
        <v>845361.64533269766</v>
      </c>
      <c r="D13" s="381">
        <f>'3 Vol'!E12</f>
        <v>634021.23399952333</v>
      </c>
      <c r="E13" s="117">
        <f t="shared" si="0"/>
        <v>0.24999999999999989</v>
      </c>
      <c r="F13" s="381">
        <f>'3 Vol'!F12</f>
        <v>792852.23157894751</v>
      </c>
      <c r="G13" s="382">
        <f t="shared" si="1"/>
        <v>6.2114734023785437E-2</v>
      </c>
    </row>
    <row r="14" spans="2:7" ht="20.25" customHeight="1">
      <c r="B14" s="65">
        <v>10</v>
      </c>
      <c r="C14" s="82">
        <f>'3 Vol'!C13</f>
        <v>846704.80118838232</v>
      </c>
      <c r="D14" s="381">
        <f>'3 Vol'!E13</f>
        <v>635028.60089128674</v>
      </c>
      <c r="E14" s="117">
        <f t="shared" si="0"/>
        <v>0.25</v>
      </c>
      <c r="F14" s="381">
        <f>'3 Vol'!F13</f>
        <v>794111.95766590373</v>
      </c>
      <c r="G14" s="382">
        <f t="shared" si="1"/>
        <v>6.2114734023785555E-2</v>
      </c>
    </row>
    <row r="15" spans="2:7" ht="20.25" customHeight="1">
      <c r="B15" s="65">
        <v>11</v>
      </c>
      <c r="C15" s="82">
        <f>'3 Vol'!C14</f>
        <v>848026.88646580593</v>
      </c>
      <c r="D15" s="381">
        <f>'3 Vol'!E14</f>
        <v>636020.16484935442</v>
      </c>
      <c r="E15" s="117">
        <f t="shared" si="0"/>
        <v>0.25000000000000006</v>
      </c>
      <c r="F15" s="381">
        <f>'3 Vol'!F14</f>
        <v>795351.92196796346</v>
      </c>
      <c r="G15" s="382">
        <f t="shared" si="1"/>
        <v>6.2114734023785499E-2</v>
      </c>
    </row>
    <row r="16" spans="2:7" ht="20.25" customHeight="1">
      <c r="B16" s="65">
        <v>12</v>
      </c>
      <c r="C16" s="82">
        <f>'3 Vol'!C15</f>
        <v>849245.50683272991</v>
      </c>
      <c r="D16" s="381">
        <f>'3 Vol'!E15</f>
        <v>636934.1301245474</v>
      </c>
      <c r="E16" s="117">
        <f t="shared" si="0"/>
        <v>0.25000000000000006</v>
      </c>
      <c r="F16" s="381">
        <f>'3 Vol'!F15</f>
        <v>796494.84805491997</v>
      </c>
      <c r="G16" s="382">
        <f t="shared" si="1"/>
        <v>6.2114734023785506E-2</v>
      </c>
    </row>
    <row r="17" spans="2:7" ht="20.25" customHeight="1">
      <c r="B17" s="65">
        <v>13</v>
      </c>
      <c r="C17" s="82">
        <f>'3 Vol'!C16</f>
        <v>850464.12719965365</v>
      </c>
      <c r="D17" s="381">
        <f>'3 Vol'!E16</f>
        <v>637848.09539974038</v>
      </c>
      <c r="E17" s="117">
        <f t="shared" si="0"/>
        <v>0.24999999999999983</v>
      </c>
      <c r="F17" s="381">
        <f>'3 Vol'!F16</f>
        <v>797637.77414187649</v>
      </c>
      <c r="G17" s="382">
        <f t="shared" si="1"/>
        <v>6.2114734023785256E-2</v>
      </c>
    </row>
    <row r="18" spans="2:7" ht="20.25" customHeight="1">
      <c r="B18" s="65">
        <v>14</v>
      </c>
      <c r="C18" s="82">
        <f>'3 Vol'!C17</f>
        <v>851682.74756657786</v>
      </c>
      <c r="D18" s="381">
        <f>'3 Vol'!E17</f>
        <v>638762.06067493348</v>
      </c>
      <c r="E18" s="117">
        <f t="shared" si="0"/>
        <v>0.24999999999999989</v>
      </c>
      <c r="F18" s="381">
        <f>'3 Vol'!F17</f>
        <v>798780.70022883313</v>
      </c>
      <c r="G18" s="382">
        <f t="shared" si="1"/>
        <v>6.2114734023785388E-2</v>
      </c>
    </row>
    <row r="19" spans="2:7" ht="20.25" customHeight="1">
      <c r="B19" s="65">
        <v>15</v>
      </c>
      <c r="C19" s="82">
        <f>'3 Vol'!C18</f>
        <v>852901.36793350184</v>
      </c>
      <c r="D19" s="381">
        <f>'3 Vol'!E18</f>
        <v>639676.02595012647</v>
      </c>
      <c r="E19" s="117">
        <f t="shared" si="0"/>
        <v>0.24999999999999989</v>
      </c>
      <c r="F19" s="381">
        <f>'3 Vol'!F18</f>
        <v>799923.62631578965</v>
      </c>
      <c r="G19" s="382">
        <f t="shared" si="1"/>
        <v>6.2114734023785395E-2</v>
      </c>
    </row>
    <row r="20" spans="2:7" ht="20.25" customHeight="1">
      <c r="B20" s="65">
        <v>16</v>
      </c>
      <c r="C20" s="82">
        <f>'3 Vol'!C19</f>
        <v>853873.7492941157</v>
      </c>
      <c r="D20" s="381">
        <f>'3 Vol'!E19</f>
        <v>640405.31197058677</v>
      </c>
      <c r="E20" s="117">
        <f>(C20-D20)/C20</f>
        <v>0.25</v>
      </c>
      <c r="F20" s="381">
        <f>'3 Vol'!F19</f>
        <v>800835.60846681916</v>
      </c>
      <c r="G20" s="382">
        <f t="shared" si="1"/>
        <v>6.2114734023785541E-2</v>
      </c>
    </row>
    <row r="21" spans="2:7" ht="20.25" customHeight="1">
      <c r="B21" s="65">
        <v>17</v>
      </c>
      <c r="C21" s="82">
        <f>'3 Vol'!C20</f>
        <v>854865.31325218326</v>
      </c>
      <c r="D21" s="381">
        <f>'3 Vol'!E20</f>
        <v>641148.98493913736</v>
      </c>
      <c r="E21" s="117">
        <f t="shared" si="0"/>
        <v>0.25000000000000011</v>
      </c>
      <c r="F21" s="381">
        <f>'3 Vol'!F20</f>
        <v>801765.58169336373</v>
      </c>
      <c r="G21" s="382">
        <f t="shared" si="1"/>
        <v>6.2114734023785617E-2</v>
      </c>
    </row>
    <row r="22" spans="2:7" ht="20.25" customHeight="1">
      <c r="B22" s="65">
        <v>18</v>
      </c>
      <c r="C22" s="82">
        <f>'3 Vol'!C21</f>
        <v>855856.87721025094</v>
      </c>
      <c r="D22" s="381">
        <f>'3 Vol'!E21</f>
        <v>641892.65790768818</v>
      </c>
      <c r="E22" s="117">
        <f t="shared" si="0"/>
        <v>0.25000000000000006</v>
      </c>
      <c r="F22" s="381">
        <f>'3 Vol'!F21</f>
        <v>802695.55491990852</v>
      </c>
      <c r="G22" s="382">
        <f t="shared" si="1"/>
        <v>6.2114734023785541E-2</v>
      </c>
    </row>
    <row r="23" spans="2:7" s="72" customFormat="1" ht="20.25" customHeight="1">
      <c r="B23" s="65">
        <v>19</v>
      </c>
      <c r="C23" s="82">
        <f>'3 Vol'!C22</f>
        <v>856848.44116831839</v>
      </c>
      <c r="D23" s="381">
        <f>'3 Vol'!E22</f>
        <v>642636.33087623888</v>
      </c>
      <c r="E23" s="117">
        <f t="shared" si="0"/>
        <v>0.24999999999999989</v>
      </c>
      <c r="F23" s="381">
        <f>'3 Vol'!F22</f>
        <v>803625.5281464532</v>
      </c>
      <c r="G23" s="382">
        <f t="shared" si="1"/>
        <v>6.2114734023785347E-2</v>
      </c>
    </row>
    <row r="24" spans="2:7" ht="20.25" customHeight="1">
      <c r="B24" s="65">
        <v>20</v>
      </c>
      <c r="C24" s="82">
        <f>'3 Vol'!C23</f>
        <v>857840.00512638595</v>
      </c>
      <c r="D24" s="381">
        <f>'3 Vol'!E23</f>
        <v>643380.00384478946</v>
      </c>
      <c r="E24" s="117">
        <f t="shared" si="0"/>
        <v>0.25</v>
      </c>
      <c r="F24" s="381">
        <f>'3 Vol'!F23</f>
        <v>804555.50137299765</v>
      </c>
      <c r="G24" s="382">
        <f t="shared" si="1"/>
        <v>6.2114734023785555E-2</v>
      </c>
    </row>
    <row r="25" spans="2:7" ht="20.25" customHeight="1">
      <c r="B25" s="65">
        <v>21</v>
      </c>
      <c r="C25" s="82">
        <f>'3 Vol'!C24</f>
        <v>859059.56948371383</v>
      </c>
      <c r="D25" s="381">
        <f>'3 Vol'!E24</f>
        <v>644294.67711278528</v>
      </c>
      <c r="E25" s="117">
        <f t="shared" si="0"/>
        <v>0.25000000000000011</v>
      </c>
      <c r="F25" s="381">
        <f>'3 Vol'!F24</f>
        <v>805699.31281464512</v>
      </c>
      <c r="G25" s="382">
        <f t="shared" si="1"/>
        <v>6.2114734023785673E-2</v>
      </c>
    </row>
    <row r="26" spans="2:7" ht="20.25" customHeight="1">
      <c r="B26" s="65">
        <v>22</v>
      </c>
      <c r="C26" s="82">
        <f>'3 Vol'!C25</f>
        <v>859906.47136516299</v>
      </c>
      <c r="D26" s="381">
        <f>'3 Vol'!E25</f>
        <v>644929.85352387221</v>
      </c>
      <c r="E26" s="117">
        <f t="shared" si="0"/>
        <v>0.25000000000000006</v>
      </c>
      <c r="F26" s="381">
        <f>'3 Vol'!F25</f>
        <v>806493.60961098387</v>
      </c>
      <c r="G26" s="382">
        <f t="shared" si="1"/>
        <v>6.211473402378561E-2</v>
      </c>
    </row>
    <row r="27" spans="2:7" s="72" customFormat="1" ht="20.25" customHeight="1">
      <c r="B27" s="65">
        <v>23</v>
      </c>
      <c r="C27" s="82">
        <f>'3 Vol'!C26</f>
        <v>860753.37324661214</v>
      </c>
      <c r="D27" s="381">
        <f>'3 Vol'!E26</f>
        <v>645565.02993495914</v>
      </c>
      <c r="E27" s="117">
        <f t="shared" si="0"/>
        <v>0.24999999999999997</v>
      </c>
      <c r="F27" s="381">
        <f>'3 Vol'!F26</f>
        <v>807287.90640732273</v>
      </c>
      <c r="G27" s="382">
        <f t="shared" si="1"/>
        <v>6.2114734023785416E-2</v>
      </c>
    </row>
    <row r="28" spans="2:7" s="72" customFormat="1" ht="20.25" customHeight="1">
      <c r="B28" s="65">
        <v>24</v>
      </c>
      <c r="C28" s="82">
        <f>'3 Vol'!C27</f>
        <v>861600.27512806142</v>
      </c>
      <c r="D28" s="381">
        <f>'3 Vol'!E27</f>
        <v>646200.20634604595</v>
      </c>
      <c r="E28" s="117">
        <f t="shared" si="0"/>
        <v>0.25000000000000011</v>
      </c>
      <c r="F28" s="381">
        <f>'3 Vol'!F27</f>
        <v>808082.20320366137</v>
      </c>
      <c r="G28" s="382">
        <f t="shared" si="1"/>
        <v>6.2114734023785624E-2</v>
      </c>
    </row>
    <row r="29" spans="2:7" ht="20.25" customHeight="1">
      <c r="B29" s="65">
        <v>25</v>
      </c>
      <c r="C29" s="82">
        <f>'3 Vol'!C28</f>
        <v>862447.17700951046</v>
      </c>
      <c r="D29" s="381">
        <f>'3 Vol'!E28</f>
        <v>646835.38275713287</v>
      </c>
      <c r="E29" s="117">
        <f t="shared" si="0"/>
        <v>0.24999999999999997</v>
      </c>
      <c r="F29" s="381">
        <f>'3 Vol'!F28</f>
        <v>808876.50000000012</v>
      </c>
      <c r="G29" s="382">
        <f t="shared" si="1"/>
        <v>6.2114734023785437E-2</v>
      </c>
    </row>
    <row r="30" spans="2:7" ht="20.25" customHeight="1">
      <c r="B30" s="65">
        <v>26</v>
      </c>
      <c r="C30" s="82">
        <f>'3 Vol'!C29</f>
        <v>863666.74136683822</v>
      </c>
      <c r="D30" s="381">
        <f>'3 Vol'!E29</f>
        <v>647750.0560251287</v>
      </c>
      <c r="E30" s="117">
        <f t="shared" si="0"/>
        <v>0.24999999999999997</v>
      </c>
      <c r="F30" s="381">
        <f>'3 Vol'!F29</f>
        <v>810020.31144164759</v>
      </c>
      <c r="G30" s="382">
        <f t="shared" si="1"/>
        <v>6.2114734023785423E-2</v>
      </c>
    </row>
    <row r="31" spans="2:7" ht="20.25" customHeight="1">
      <c r="B31" s="65">
        <v>27</v>
      </c>
      <c r="C31" s="82">
        <f>'3 Vol'!C30</f>
        <v>864554.84041440662</v>
      </c>
      <c r="D31" s="381">
        <f>'3 Vol'!E30</f>
        <v>648416.13031080482</v>
      </c>
      <c r="E31" s="117">
        <f t="shared" si="0"/>
        <v>0.25000000000000017</v>
      </c>
      <c r="F31" s="381">
        <f>'3 Vol'!F30</f>
        <v>810853.24645308929</v>
      </c>
      <c r="G31" s="382">
        <f t="shared" si="1"/>
        <v>6.2114734023785659E-2</v>
      </c>
    </row>
    <row r="32" spans="2:7" ht="20.25" customHeight="1">
      <c r="B32" s="65">
        <v>28</v>
      </c>
      <c r="C32" s="82">
        <f>'3 Vol'!C31</f>
        <v>865464.01004023605</v>
      </c>
      <c r="D32" s="381">
        <f>'3 Vol'!E31</f>
        <v>649098.00753017713</v>
      </c>
      <c r="E32" s="117">
        <f t="shared" si="0"/>
        <v>0.24999999999999989</v>
      </c>
      <c r="F32" s="381">
        <f>'3 Vol'!F31</f>
        <v>811705.94324942806</v>
      </c>
      <c r="G32" s="382">
        <f t="shared" si="1"/>
        <v>6.2114734023785388E-2</v>
      </c>
    </row>
    <row r="33" spans="2:7" ht="20.25" customHeight="1">
      <c r="B33" s="65">
        <v>29</v>
      </c>
      <c r="C33" s="82">
        <f>'3 Vol'!C32</f>
        <v>866414.37683218473</v>
      </c>
      <c r="D33" s="381">
        <f>'3 Vol'!E32</f>
        <v>649810.78262413852</v>
      </c>
      <c r="E33" s="117">
        <f t="shared" si="0"/>
        <v>0.25000000000000006</v>
      </c>
      <c r="F33" s="381">
        <f>'3 Vol'!F32</f>
        <v>812597.27826086967</v>
      </c>
      <c r="G33" s="382">
        <f t="shared" si="1"/>
        <v>6.2114734023785548E-2</v>
      </c>
    </row>
    <row r="34" spans="2:7" ht="20.25" customHeight="1" thickBot="1">
      <c r="B34" s="73">
        <v>30</v>
      </c>
      <c r="C34" s="374">
        <f>'3 Vol'!C33</f>
        <v>866930.75739427784</v>
      </c>
      <c r="D34" s="375">
        <f>'3 Vol'!E33</f>
        <v>650198.06804570847</v>
      </c>
      <c r="E34" s="77">
        <f t="shared" si="0"/>
        <v>0.24999999999999989</v>
      </c>
      <c r="F34" s="375">
        <f>'3 Vol'!F33</f>
        <v>813081.58398169349</v>
      </c>
      <c r="G34" s="383">
        <f t="shared" si="1"/>
        <v>6.2114734023785347E-2</v>
      </c>
    </row>
    <row r="35" spans="2:7" ht="21" customHeight="1"/>
    <row r="36" spans="2:7" ht="21" customHeight="1">
      <c r="B36" s="119"/>
      <c r="C36" s="119"/>
      <c r="D36" s="119"/>
      <c r="E36" s="119"/>
      <c r="F36" s="119"/>
      <c r="G36" s="119"/>
    </row>
    <row r="37" spans="2:7" ht="21" customHeight="1">
      <c r="B37" s="119"/>
      <c r="C37" s="119"/>
      <c r="D37" s="119"/>
      <c r="E37" s="119"/>
      <c r="F37" s="119"/>
      <c r="G37" s="119"/>
    </row>
    <row r="38" spans="2:7" ht="21" customHeight="1">
      <c r="B38" s="119"/>
      <c r="C38" s="119"/>
      <c r="D38" s="119"/>
      <c r="E38" s="119"/>
      <c r="F38" s="119"/>
      <c r="G38" s="119"/>
    </row>
    <row r="39" spans="2:7" ht="21" customHeight="1">
      <c r="B39" s="119"/>
      <c r="C39" s="119"/>
      <c r="D39" s="119"/>
      <c r="E39" s="119"/>
      <c r="F39" s="119"/>
      <c r="G39" s="119"/>
    </row>
    <row r="40" spans="2:7">
      <c r="B40" s="119"/>
      <c r="C40" s="119"/>
      <c r="D40" s="119"/>
      <c r="E40" s="119"/>
      <c r="F40" s="119"/>
      <c r="G40" s="119"/>
    </row>
    <row r="41" spans="2:7">
      <c r="B41" s="119"/>
      <c r="C41" s="119"/>
      <c r="D41" s="119"/>
      <c r="E41" s="119"/>
      <c r="F41" s="119"/>
      <c r="G41" s="119"/>
    </row>
    <row r="42" spans="2:7">
      <c r="B42" s="119"/>
      <c r="C42" s="119"/>
      <c r="D42" s="119"/>
      <c r="E42" s="119"/>
      <c r="F42" s="119"/>
      <c r="G42" s="119"/>
    </row>
    <row r="43" spans="2:7">
      <c r="B43" s="119"/>
      <c r="C43" s="119"/>
      <c r="D43" s="119"/>
      <c r="E43" s="119"/>
      <c r="F43" s="119"/>
      <c r="G43" s="119"/>
    </row>
    <row r="44" spans="2:7">
      <c r="B44" s="119"/>
      <c r="C44" s="119"/>
      <c r="D44" s="119"/>
      <c r="E44" s="119"/>
      <c r="F44" s="119"/>
      <c r="G44" s="119"/>
    </row>
    <row r="45" spans="2:7">
      <c r="B45" s="119"/>
      <c r="C45" s="119"/>
      <c r="D45" s="119"/>
      <c r="E45" s="119"/>
      <c r="F45" s="119"/>
      <c r="G45" s="119"/>
    </row>
    <row r="46" spans="2:7">
      <c r="B46" s="119"/>
      <c r="C46" s="119"/>
      <c r="D46" s="119"/>
      <c r="E46" s="119"/>
      <c r="F46" s="119"/>
      <c r="G46" s="119"/>
    </row>
    <row r="47" spans="2:7">
      <c r="B47" s="119"/>
      <c r="C47" s="119"/>
      <c r="D47" s="119"/>
      <c r="E47" s="119"/>
      <c r="F47" s="119"/>
      <c r="G47" s="119"/>
    </row>
    <row r="48" spans="2:7">
      <c r="B48" s="119"/>
      <c r="C48" s="119"/>
      <c r="D48" s="119"/>
      <c r="E48" s="119"/>
      <c r="F48" s="119"/>
      <c r="G48" s="119"/>
    </row>
    <row r="49" spans="2:7">
      <c r="B49" s="119"/>
      <c r="C49" s="119"/>
      <c r="D49" s="119"/>
      <c r="E49" s="119"/>
      <c r="F49" s="119"/>
      <c r="G49" s="119"/>
    </row>
    <row r="50" spans="2:7">
      <c r="B50" s="119"/>
      <c r="C50" s="119"/>
      <c r="D50" s="119"/>
      <c r="E50" s="119"/>
      <c r="F50" s="119"/>
      <c r="G50" s="119"/>
    </row>
    <row r="51" spans="2:7">
      <c r="B51" s="119"/>
      <c r="C51" s="119"/>
      <c r="D51" s="119"/>
      <c r="E51" s="119"/>
      <c r="F51" s="119"/>
      <c r="G51" s="119"/>
    </row>
    <row r="52" spans="2:7">
      <c r="B52" s="119"/>
      <c r="C52" s="119"/>
      <c r="D52" s="119"/>
      <c r="E52" s="119"/>
      <c r="F52" s="119"/>
      <c r="G52" s="119"/>
    </row>
    <row r="53" spans="2:7">
      <c r="B53" s="119"/>
      <c r="C53" s="119"/>
      <c r="D53" s="119"/>
      <c r="E53" s="119"/>
      <c r="F53" s="119"/>
      <c r="G53" s="119"/>
    </row>
    <row r="54" spans="2:7">
      <c r="B54" s="119"/>
      <c r="C54" s="119"/>
      <c r="D54" s="119"/>
      <c r="E54" s="119"/>
      <c r="F54" s="119"/>
      <c r="G54" s="119"/>
    </row>
    <row r="55" spans="2:7">
      <c r="B55" s="119"/>
      <c r="C55" s="119"/>
      <c r="D55" s="119"/>
      <c r="E55" s="119"/>
      <c r="F55" s="119"/>
      <c r="G55" s="119"/>
    </row>
    <row r="56" spans="2:7">
      <c r="B56" s="119"/>
      <c r="C56" s="119"/>
      <c r="D56" s="119"/>
      <c r="E56" s="119"/>
      <c r="F56" s="119"/>
      <c r="G56" s="119"/>
    </row>
    <row r="57" spans="2:7">
      <c r="B57" s="119"/>
      <c r="C57" s="119"/>
      <c r="D57" s="119"/>
      <c r="E57" s="119"/>
      <c r="F57" s="119"/>
      <c r="G57" s="119"/>
    </row>
    <row r="58" spans="2:7">
      <c r="B58" s="119"/>
      <c r="C58" s="119"/>
      <c r="D58" s="119"/>
      <c r="E58" s="119"/>
      <c r="F58" s="119"/>
      <c r="G58" s="119"/>
    </row>
    <row r="59" spans="2:7">
      <c r="B59" s="119"/>
      <c r="C59" s="119"/>
      <c r="D59" s="119"/>
      <c r="E59" s="119"/>
      <c r="F59" s="119"/>
      <c r="G59" s="119"/>
    </row>
    <row r="60" spans="2:7">
      <c r="B60" s="119"/>
      <c r="C60" s="119"/>
      <c r="D60" s="119"/>
      <c r="E60" s="119"/>
      <c r="F60" s="119"/>
      <c r="G60" s="119"/>
    </row>
    <row r="61" spans="2:7">
      <c r="B61" s="119"/>
      <c r="C61" s="119"/>
      <c r="D61" s="119"/>
      <c r="E61" s="119"/>
      <c r="F61" s="119"/>
      <c r="G61" s="119"/>
    </row>
    <row r="62" spans="2:7">
      <c r="B62" s="119"/>
      <c r="C62" s="119"/>
      <c r="D62" s="119"/>
      <c r="E62" s="119"/>
      <c r="F62" s="119"/>
      <c r="G62" s="119"/>
    </row>
    <row r="63" spans="2:7">
      <c r="B63" s="119"/>
      <c r="C63" s="119"/>
      <c r="D63" s="119"/>
      <c r="E63" s="119"/>
      <c r="F63" s="119"/>
      <c r="G63" s="119"/>
    </row>
    <row r="64" spans="2:7">
      <c r="B64" s="119"/>
      <c r="C64" s="119"/>
      <c r="D64" s="119"/>
      <c r="E64" s="119"/>
      <c r="F64" s="119"/>
      <c r="G64" s="119"/>
    </row>
    <row r="65" spans="2:7">
      <c r="B65" s="119"/>
      <c r="C65" s="119"/>
      <c r="D65" s="119"/>
      <c r="E65" s="119"/>
      <c r="F65" s="119"/>
      <c r="G65" s="119"/>
    </row>
    <row r="66" spans="2:7">
      <c r="B66" s="119"/>
      <c r="C66" s="119"/>
      <c r="D66" s="119"/>
      <c r="E66" s="119"/>
      <c r="F66" s="119"/>
      <c r="G66" s="119"/>
    </row>
    <row r="67" spans="2:7">
      <c r="B67" s="119"/>
      <c r="C67" s="119"/>
      <c r="D67" s="119"/>
      <c r="E67" s="119"/>
      <c r="F67" s="119"/>
      <c r="G67" s="119"/>
    </row>
    <row r="68" spans="2:7">
      <c r="B68" s="119"/>
      <c r="C68" s="119"/>
      <c r="D68" s="119"/>
      <c r="E68" s="119"/>
      <c r="F68" s="119"/>
      <c r="G68" s="119"/>
    </row>
    <row r="69" spans="2:7">
      <c r="B69" s="119"/>
      <c r="C69" s="119"/>
      <c r="D69" s="119"/>
      <c r="E69" s="119"/>
      <c r="F69" s="119"/>
      <c r="G69" s="119"/>
    </row>
    <row r="70" spans="2:7">
      <c r="B70" s="119"/>
      <c r="C70" s="119"/>
      <c r="D70" s="119"/>
      <c r="E70" s="119"/>
      <c r="F70" s="119"/>
      <c r="G70" s="119"/>
    </row>
    <row r="71" spans="2:7">
      <c r="B71" s="119"/>
      <c r="C71" s="119"/>
      <c r="D71" s="119"/>
      <c r="E71" s="119"/>
      <c r="F71" s="119"/>
      <c r="G71" s="119"/>
    </row>
    <row r="72" spans="2:7">
      <c r="B72" s="119"/>
      <c r="C72" s="119"/>
      <c r="D72" s="119"/>
      <c r="E72" s="119"/>
      <c r="F72" s="119"/>
      <c r="G72" s="119"/>
    </row>
    <row r="73" spans="2:7">
      <c r="B73" s="119"/>
      <c r="C73" s="119"/>
      <c r="D73" s="119"/>
      <c r="E73" s="119"/>
      <c r="F73" s="119"/>
      <c r="G73" s="119"/>
    </row>
    <row r="74" spans="2:7">
      <c r="B74" s="119"/>
      <c r="C74" s="119"/>
      <c r="D74" s="119"/>
      <c r="E74" s="119"/>
      <c r="F74" s="119"/>
      <c r="G74" s="119"/>
    </row>
    <row r="75" spans="2:7">
      <c r="B75" s="119"/>
      <c r="C75" s="119"/>
      <c r="D75" s="119"/>
      <c r="E75" s="119"/>
      <c r="F75" s="119"/>
      <c r="G75" s="119"/>
    </row>
    <row r="76" spans="2:7">
      <c r="B76" s="119"/>
      <c r="C76" s="119"/>
      <c r="D76" s="119"/>
      <c r="E76" s="119"/>
      <c r="F76" s="119"/>
      <c r="G76" s="119"/>
    </row>
    <row r="77" spans="2:7">
      <c r="B77" s="119"/>
      <c r="C77" s="119"/>
      <c r="D77" s="119"/>
      <c r="E77" s="119"/>
      <c r="F77" s="119"/>
      <c r="G77" s="119"/>
    </row>
    <row r="78" spans="2:7">
      <c r="B78" s="119"/>
      <c r="C78" s="119"/>
      <c r="D78" s="119"/>
      <c r="E78" s="119"/>
      <c r="F78" s="119"/>
      <c r="G78" s="119"/>
    </row>
    <row r="79" spans="2:7">
      <c r="B79" s="119"/>
      <c r="C79" s="119"/>
      <c r="D79" s="119"/>
      <c r="E79" s="119"/>
      <c r="F79" s="119"/>
      <c r="G79" s="119"/>
    </row>
    <row r="80" spans="2:7">
      <c r="B80" s="119"/>
      <c r="C80" s="119"/>
      <c r="D80" s="119"/>
      <c r="E80" s="119"/>
      <c r="F80" s="119"/>
      <c r="G80" s="119"/>
    </row>
    <row r="81" spans="2:7">
      <c r="B81" s="119"/>
      <c r="C81" s="119"/>
      <c r="D81" s="119"/>
      <c r="E81" s="119"/>
      <c r="F81" s="119"/>
      <c r="G81" s="119"/>
    </row>
    <row r="82" spans="2:7">
      <c r="B82" s="119"/>
      <c r="C82" s="119"/>
      <c r="D82" s="119"/>
      <c r="E82" s="119"/>
      <c r="F82" s="119"/>
      <c r="G82" s="119"/>
    </row>
    <row r="83" spans="2:7">
      <c r="B83" s="119"/>
      <c r="C83" s="119"/>
      <c r="D83" s="119"/>
      <c r="E83" s="119"/>
      <c r="F83" s="119"/>
      <c r="G83" s="119"/>
    </row>
    <row r="84" spans="2:7">
      <c r="B84" s="119"/>
      <c r="C84" s="119"/>
      <c r="D84" s="119"/>
      <c r="E84" s="119"/>
      <c r="F84" s="119"/>
      <c r="G84" s="119"/>
    </row>
    <row r="85" spans="2:7">
      <c r="B85" s="119"/>
      <c r="C85" s="119"/>
      <c r="D85" s="119"/>
      <c r="E85" s="119"/>
      <c r="F85" s="119"/>
      <c r="G85" s="119"/>
    </row>
    <row r="86" spans="2:7">
      <c r="B86" s="119"/>
      <c r="C86" s="119"/>
      <c r="D86" s="119"/>
      <c r="E86" s="119"/>
      <c r="F86" s="119"/>
      <c r="G86" s="119"/>
    </row>
    <row r="87" spans="2:7">
      <c r="B87" s="119"/>
      <c r="C87" s="119"/>
      <c r="D87" s="119"/>
      <c r="E87" s="119"/>
      <c r="F87" s="119"/>
      <c r="G87" s="119"/>
    </row>
    <row r="88" spans="2:7">
      <c r="B88" s="119"/>
      <c r="C88" s="119"/>
      <c r="D88" s="119"/>
      <c r="E88" s="119"/>
      <c r="F88" s="119"/>
      <c r="G88" s="119"/>
    </row>
    <row r="89" spans="2:7">
      <c r="B89" s="119"/>
      <c r="C89" s="119"/>
      <c r="D89" s="119"/>
      <c r="E89" s="119"/>
      <c r="F89" s="119"/>
      <c r="G89" s="119"/>
    </row>
    <row r="90" spans="2:7">
      <c r="B90" s="119"/>
      <c r="C90" s="119"/>
      <c r="D90" s="119"/>
      <c r="E90" s="119"/>
      <c r="F90" s="119"/>
      <c r="G90" s="119"/>
    </row>
    <row r="91" spans="2:7">
      <c r="B91" s="119"/>
      <c r="C91" s="119"/>
      <c r="D91" s="119"/>
      <c r="E91" s="119"/>
      <c r="F91" s="119"/>
      <c r="G91" s="119"/>
    </row>
    <row r="92" spans="2:7">
      <c r="B92" s="119"/>
      <c r="C92" s="119"/>
      <c r="D92" s="119"/>
      <c r="E92" s="119"/>
      <c r="F92" s="119"/>
      <c r="G92" s="119"/>
    </row>
    <row r="93" spans="2:7">
      <c r="B93" s="119"/>
      <c r="C93" s="119"/>
      <c r="D93" s="119"/>
      <c r="E93" s="119"/>
      <c r="F93" s="119"/>
      <c r="G93" s="119"/>
    </row>
    <row r="94" spans="2:7">
      <c r="B94" s="119"/>
      <c r="C94" s="119"/>
      <c r="D94" s="119"/>
      <c r="E94" s="119"/>
      <c r="F94" s="119"/>
      <c r="G94" s="119"/>
    </row>
    <row r="95" spans="2:7">
      <c r="B95" s="119"/>
      <c r="C95" s="119"/>
      <c r="D95" s="119"/>
      <c r="E95" s="119"/>
      <c r="F95" s="119"/>
      <c r="G95" s="119"/>
    </row>
    <row r="96" spans="2:7">
      <c r="B96" s="119"/>
      <c r="C96" s="119"/>
      <c r="D96" s="119"/>
      <c r="E96" s="119"/>
      <c r="F96" s="119"/>
      <c r="G96" s="119"/>
    </row>
    <row r="97" spans="2:7">
      <c r="B97" s="119"/>
      <c r="C97" s="119"/>
      <c r="D97" s="119"/>
      <c r="E97" s="119"/>
      <c r="F97" s="119"/>
      <c r="G97" s="119"/>
    </row>
    <row r="98" spans="2:7">
      <c r="B98" s="119"/>
      <c r="C98" s="119"/>
      <c r="D98" s="119"/>
      <c r="E98" s="119"/>
      <c r="F98" s="119"/>
      <c r="G98" s="119"/>
    </row>
    <row r="99" spans="2:7">
      <c r="B99" s="119"/>
      <c r="C99" s="119"/>
      <c r="D99" s="119"/>
      <c r="E99" s="119"/>
      <c r="F99" s="119"/>
      <c r="G99" s="119"/>
    </row>
    <row r="100" spans="2:7">
      <c r="B100" s="119"/>
      <c r="C100" s="119"/>
      <c r="D100" s="119"/>
      <c r="E100" s="119"/>
      <c r="F100" s="119"/>
      <c r="G100" s="119"/>
    </row>
  </sheetData>
  <mergeCells count="4">
    <mergeCell ref="B3:B4"/>
    <mergeCell ref="C3:C4"/>
    <mergeCell ref="D3:E3"/>
    <mergeCell ref="F3:G3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8">
    <tabColor rgb="FF00B050"/>
    <pageSetUpPr fitToPage="1"/>
  </sheetPr>
  <dimension ref="B1:AF39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8.85546875" style="2" customWidth="1"/>
    <col min="3" max="3" width="14.7109375" style="2" customWidth="1"/>
    <col min="4" max="4" width="16.140625" style="2" customWidth="1"/>
    <col min="5" max="5" width="14.140625" style="2" customWidth="1"/>
    <col min="6" max="8" width="16.140625" style="2" customWidth="1"/>
    <col min="9" max="9" width="2.7109375" style="2" customWidth="1"/>
    <col min="10" max="12" width="16.140625" style="2" customWidth="1"/>
    <col min="13" max="13" width="21.5703125" style="2" customWidth="1"/>
    <col min="14" max="14" width="10.28515625" style="2" customWidth="1"/>
    <col min="15" max="19" width="10.7109375" style="2" customWidth="1"/>
    <col min="20" max="33" width="11.5703125" style="2" customWidth="1"/>
    <col min="34" max="16384" width="11.5703125" style="2"/>
  </cols>
  <sheetData>
    <row r="1" spans="2:32" s="1" customFormat="1" ht="30" customHeight="1" thickBot="1">
      <c r="B1" s="39" t="s">
        <v>46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U1" s="1652" t="s">
        <v>78</v>
      </c>
      <c r="V1" s="1653"/>
      <c r="W1" s="1653"/>
      <c r="X1" s="1653"/>
      <c r="Y1" s="1653"/>
      <c r="Z1" s="1653"/>
      <c r="AA1" s="1654"/>
    </row>
    <row r="2" spans="2:32" ht="21.75" customHeight="1">
      <c r="B2" s="1646" t="s">
        <v>1</v>
      </c>
      <c r="C2" s="1648" t="s">
        <v>12</v>
      </c>
      <c r="D2" s="1644" t="s">
        <v>342</v>
      </c>
      <c r="E2" s="1644" t="s">
        <v>13</v>
      </c>
      <c r="F2" s="1644" t="s">
        <v>345</v>
      </c>
      <c r="G2" s="1644" t="s">
        <v>18</v>
      </c>
      <c r="H2" s="1644" t="s">
        <v>346</v>
      </c>
      <c r="I2" s="126"/>
      <c r="J2" s="126"/>
      <c r="K2" s="126"/>
      <c r="L2" s="126"/>
      <c r="M2" s="126"/>
      <c r="N2" s="1655" t="s">
        <v>71</v>
      </c>
      <c r="O2" s="1657"/>
      <c r="P2" s="1655" t="s">
        <v>79</v>
      </c>
      <c r="Q2" s="1655"/>
      <c r="R2" s="126"/>
      <c r="S2" s="126"/>
      <c r="U2" s="1651" t="s">
        <v>77</v>
      </c>
      <c r="V2" s="1651" t="s">
        <v>71</v>
      </c>
      <c r="W2" s="1651" t="s">
        <v>72</v>
      </c>
      <c r="X2" s="1624" t="s">
        <v>73</v>
      </c>
      <c r="Y2" s="1624" t="s">
        <v>74</v>
      </c>
      <c r="Z2" s="1624" t="s">
        <v>75</v>
      </c>
      <c r="AA2" s="1651" t="s">
        <v>76</v>
      </c>
    </row>
    <row r="3" spans="2:32" s="3" customFormat="1" ht="45.75" customHeight="1" thickBot="1">
      <c r="B3" s="1647"/>
      <c r="C3" s="1649"/>
      <c r="D3" s="1645"/>
      <c r="E3" s="1645"/>
      <c r="F3" s="1645"/>
      <c r="G3" s="1645"/>
      <c r="H3" s="1645"/>
      <c r="I3" s="126"/>
      <c r="J3" s="126" t="s">
        <v>463</v>
      </c>
      <c r="K3" s="126" t="s">
        <v>464</v>
      </c>
      <c r="L3" s="126" t="s">
        <v>465</v>
      </c>
      <c r="M3" s="126"/>
      <c r="N3" s="1656"/>
      <c r="O3" s="1658"/>
      <c r="P3" s="1656"/>
      <c r="Q3" s="1656"/>
      <c r="R3" s="126"/>
      <c r="S3" s="126"/>
      <c r="U3" s="1624"/>
      <c r="V3" s="1624"/>
      <c r="W3" s="1624"/>
      <c r="X3" s="1650"/>
      <c r="Y3" s="1650"/>
      <c r="Z3" s="1650"/>
      <c r="AA3" s="1624"/>
    </row>
    <row r="4" spans="2:32" ht="20.25" customHeight="1">
      <c r="B4" s="36">
        <v>1</v>
      </c>
      <c r="C4" s="771">
        <f>'17 R1 INV'!I30/'17 R1 INV'!F30</f>
        <v>223.10750275249404</v>
      </c>
      <c r="D4" s="772">
        <f>C4*$D$36</f>
        <v>22756.965280754393</v>
      </c>
      <c r="E4" s="773"/>
      <c r="F4" s="772"/>
      <c r="G4" s="774">
        <f>'17 R1 INV'!D24</f>
        <v>231.00525101320758</v>
      </c>
      <c r="H4" s="775">
        <f>G4*$H$36</f>
        <v>25895.68863858057</v>
      </c>
      <c r="I4" s="127"/>
      <c r="J4" s="770">
        <f>'R1 Aux Inv 1'!I66</f>
        <v>22756.965280754393</v>
      </c>
      <c r="K4" s="770">
        <f>'R1 Aux Inv 1'!I64</f>
        <v>0</v>
      </c>
      <c r="L4" s="770">
        <f>'R1 Aux Inv 1'!I59</f>
        <v>25950.458636948133</v>
      </c>
      <c r="M4" s="127"/>
      <c r="N4" s="130">
        <f>V4</f>
        <v>4098.1899679170665</v>
      </c>
      <c r="O4" s="129">
        <v>0.95</v>
      </c>
      <c r="P4" s="130">
        <f>N4-(N4*O4)</f>
        <v>204.90949839585346</v>
      </c>
      <c r="Q4" s="129"/>
      <c r="R4" s="129"/>
      <c r="S4" s="129"/>
      <c r="U4" s="120">
        <v>13398.055491990846</v>
      </c>
      <c r="V4" s="120">
        <v>4098.1899679170665</v>
      </c>
      <c r="W4" s="121">
        <f>X4/V4</f>
        <v>10.857964210628435</v>
      </c>
      <c r="X4" s="120">
        <v>44498</v>
      </c>
      <c r="Y4" s="120">
        <v>78.068414319074691</v>
      </c>
      <c r="Z4" s="120">
        <v>92</v>
      </c>
      <c r="AA4" s="125">
        <f>SUM(X4)</f>
        <v>44498</v>
      </c>
      <c r="AE4" s="142">
        <v>7925.0569065542604</v>
      </c>
      <c r="AF4" s="2">
        <v>7.1899679170664967</v>
      </c>
    </row>
    <row r="5" spans="2:32" ht="20.25" customHeight="1">
      <c r="B5" s="34">
        <v>2</v>
      </c>
      <c r="C5" s="540">
        <f>'17 R1 INV'!J30/'17 R1 INV'!F30</f>
        <v>158.74808342865489</v>
      </c>
      <c r="D5" s="541">
        <f>C5*$D$36</f>
        <v>16192.304509722799</v>
      </c>
      <c r="E5" s="540">
        <f>'17 R1 INV'!J29/'17 R1 INV'!F29</f>
        <v>45.676458419528345</v>
      </c>
      <c r="F5" s="541">
        <f>E5*$F$36</f>
        <v>9135.2916839056688</v>
      </c>
      <c r="G5" s="544"/>
      <c r="H5" s="545"/>
      <c r="I5" s="127"/>
      <c r="J5" s="770">
        <f>'R1 Aux Inv 1'!J66</f>
        <v>16192.304509722799</v>
      </c>
      <c r="K5" s="770">
        <f>'R1 Aux Inv 1'!J64</f>
        <v>9135.2916839056688</v>
      </c>
      <c r="L5" s="770">
        <f>'R1 Aux Inv 1'!J59</f>
        <v>0</v>
      </c>
      <c r="M5" s="127"/>
      <c r="N5" s="130">
        <f t="shared" ref="N5:N33" si="0">V5</f>
        <v>4105.379935834133</v>
      </c>
      <c r="O5" s="129">
        <v>0.95</v>
      </c>
      <c r="P5" s="130">
        <f t="shared" ref="P5:P33" si="1">N5-(N5*O5)</f>
        <v>205.26899679170674</v>
      </c>
      <c r="Q5" s="130">
        <v>150</v>
      </c>
      <c r="R5" s="129"/>
      <c r="S5" s="129"/>
      <c r="U5" s="120">
        <v>13421.610983981693</v>
      </c>
      <c r="V5" s="120">
        <v>4105.379935834133</v>
      </c>
      <c r="W5" s="121">
        <f t="shared" ref="W5:W33" si="2">X5/V5</f>
        <v>10.838948086532916</v>
      </c>
      <c r="X5" s="120">
        <f>AA4</f>
        <v>44498</v>
      </c>
      <c r="Y5" s="120">
        <f>(V5-V4)*W5</f>
        <v>77.931688996920968</v>
      </c>
      <c r="Z5" s="120">
        <v>92</v>
      </c>
      <c r="AA5" s="122">
        <f>SUM(X5:Y5)</f>
        <v>44575.93168899692</v>
      </c>
      <c r="AE5" s="142">
        <v>7925.0569065542604</v>
      </c>
      <c r="AF5" s="2">
        <v>7.1899679170664967</v>
      </c>
    </row>
    <row r="6" spans="2:32" ht="20.25" customHeight="1">
      <c r="B6" s="35">
        <v>3</v>
      </c>
      <c r="C6" s="540">
        <f>'17 R1 INV'!K30/'17 R1 INV'!F30</f>
        <v>142.40545063653326</v>
      </c>
      <c r="D6" s="541">
        <f t="shared" ref="D6:D33" si="3">C6*$D$36</f>
        <v>14525.355964926392</v>
      </c>
      <c r="E6" s="540">
        <f>'17 R1 INV'!K29/'17 R1 INV'!F29</f>
        <v>66.512549271981328</v>
      </c>
      <c r="F6" s="541">
        <f t="shared" ref="F6:F33" si="4">E6*$F$36</f>
        <v>13302.509854396265</v>
      </c>
      <c r="G6" s="544"/>
      <c r="H6" s="545"/>
      <c r="I6" s="127"/>
      <c r="J6" s="770">
        <f>'R1 Aux Inv 1'!K66</f>
        <v>14525.355964926393</v>
      </c>
      <c r="K6" s="770">
        <f>'R1 Aux Inv 1'!K64</f>
        <v>13302.509854396265</v>
      </c>
      <c r="L6" s="770">
        <f>'R1 Aux Inv 1'!K59</f>
        <v>0</v>
      </c>
      <c r="M6" s="127"/>
      <c r="N6" s="130">
        <f t="shared" si="0"/>
        <v>4112.5699037511995</v>
      </c>
      <c r="O6" s="129">
        <v>0.96</v>
      </c>
      <c r="P6" s="130">
        <f t="shared" si="1"/>
        <v>164.5027961500482</v>
      </c>
      <c r="Q6" s="130">
        <v>150</v>
      </c>
      <c r="R6" s="129"/>
      <c r="S6" s="129"/>
      <c r="U6" s="120">
        <v>13445.166475972539</v>
      </c>
      <c r="V6" s="120">
        <v>4112.5699037511995</v>
      </c>
      <c r="W6" s="121">
        <f t="shared" si="2"/>
        <v>10.838948086532916</v>
      </c>
      <c r="X6" s="120">
        <f t="shared" ref="X6:X33" si="5">AA5</f>
        <v>44575.93168899692</v>
      </c>
      <c r="Y6" s="120">
        <f>(V6-V5)*W6</f>
        <v>77.931688996920968</v>
      </c>
      <c r="Z6" s="120">
        <v>92</v>
      </c>
      <c r="AA6" s="122">
        <f t="shared" ref="AA6:AA22" si="6">SUM(X6:Y6)</f>
        <v>44653.863377993839</v>
      </c>
      <c r="AE6" s="142">
        <v>7925.0569065542604</v>
      </c>
      <c r="AF6" s="2">
        <v>7.1899679170664967</v>
      </c>
    </row>
    <row r="7" spans="2:32" ht="20.25" customHeight="1">
      <c r="B7" s="25">
        <v>4</v>
      </c>
      <c r="C7" s="894">
        <v>4083</v>
      </c>
      <c r="D7" s="895">
        <f t="shared" si="3"/>
        <v>416466</v>
      </c>
      <c r="E7" s="27">
        <f t="shared" ref="E7:E33" si="7">ROUND(AF7,0)</f>
        <v>7</v>
      </c>
      <c r="F7" s="18">
        <f t="shared" si="4"/>
        <v>1400</v>
      </c>
      <c r="G7" s="896"/>
      <c r="H7" s="897"/>
      <c r="I7" s="127"/>
      <c r="J7" s="127"/>
      <c r="K7" s="127"/>
      <c r="L7" s="127"/>
      <c r="M7" s="127"/>
      <c r="N7" s="130">
        <f t="shared" si="0"/>
        <v>4120.0554193678272</v>
      </c>
      <c r="O7" s="129">
        <v>0.97</v>
      </c>
      <c r="P7" s="130">
        <f t="shared" si="1"/>
        <v>123.60166258103482</v>
      </c>
      <c r="Q7" s="130">
        <v>150</v>
      </c>
      <c r="R7" s="129"/>
      <c r="S7" s="129"/>
      <c r="U7" s="120">
        <v>13469.398741418765</v>
      </c>
      <c r="V7" s="120">
        <v>4120.0554193678272</v>
      </c>
      <c r="W7" s="121">
        <f t="shared" si="2"/>
        <v>10.838170566367147</v>
      </c>
      <c r="X7" s="120">
        <f t="shared" si="5"/>
        <v>44653.863377993839</v>
      </c>
      <c r="Y7" s="120">
        <f>(V7-V6)*W7</f>
        <v>81.129295030216056</v>
      </c>
      <c r="Z7" s="120">
        <v>92</v>
      </c>
      <c r="AA7" s="122">
        <f t="shared" si="6"/>
        <v>44734.992673024055</v>
      </c>
      <c r="AE7" s="142">
        <v>8229.8667875755782</v>
      </c>
      <c r="AF7" s="2">
        <v>7.4855156166277084</v>
      </c>
    </row>
    <row r="8" spans="2:32" ht="20.25" customHeight="1">
      <c r="B8" s="25">
        <v>5</v>
      </c>
      <c r="C8" s="27">
        <v>74</v>
      </c>
      <c r="D8" s="18">
        <f t="shared" si="3"/>
        <v>7548</v>
      </c>
      <c r="E8" s="27">
        <f t="shared" si="7"/>
        <v>7</v>
      </c>
      <c r="F8" s="18">
        <f t="shared" si="4"/>
        <v>1400</v>
      </c>
      <c r="G8" s="896"/>
      <c r="H8" s="897"/>
      <c r="I8" s="127"/>
      <c r="J8" s="127"/>
      <c r="K8" s="127"/>
      <c r="L8" s="127"/>
      <c r="M8" s="127"/>
      <c r="N8" s="130">
        <f t="shared" si="0"/>
        <v>4126.8673225578586</v>
      </c>
      <c r="O8" s="129">
        <v>0.98</v>
      </c>
      <c r="P8" s="130">
        <f t="shared" si="1"/>
        <v>82.537346451157191</v>
      </c>
      <c r="Q8" s="130">
        <v>150</v>
      </c>
      <c r="R8" s="129"/>
      <c r="S8" s="129"/>
      <c r="U8" s="120">
        <v>13491.631006864987</v>
      </c>
      <c r="V8" s="120">
        <v>4126.8673225578586</v>
      </c>
      <c r="W8" s="121">
        <f t="shared" si="2"/>
        <v>10.839939638596626</v>
      </c>
      <c r="X8" s="120">
        <f t="shared" si="5"/>
        <v>44734.992673024055</v>
      </c>
      <c r="Y8" s="120">
        <f t="shared" ref="Y8:Y33" si="8">(V8-V7)*W8</f>
        <v>73.840619403904654</v>
      </c>
      <c r="Z8" s="120">
        <v>92</v>
      </c>
      <c r="AA8" s="122">
        <f t="shared" si="6"/>
        <v>44808.83329242796</v>
      </c>
      <c r="AE8" s="142">
        <v>7518.6437318591697</v>
      </c>
      <c r="AF8" s="2">
        <v>6.811903190031444</v>
      </c>
    </row>
    <row r="9" spans="2:32" ht="20.25" customHeight="1">
      <c r="B9" s="25">
        <v>6</v>
      </c>
      <c r="C9" s="27">
        <v>76</v>
      </c>
      <c r="D9" s="18">
        <f t="shared" si="3"/>
        <v>7752</v>
      </c>
      <c r="E9" s="27">
        <f t="shared" si="7"/>
        <v>7</v>
      </c>
      <c r="F9" s="18">
        <f t="shared" si="4"/>
        <v>1400</v>
      </c>
      <c r="G9" s="896"/>
      <c r="H9" s="897"/>
      <c r="I9" s="127"/>
      <c r="J9" s="127"/>
      <c r="K9" s="127"/>
      <c r="L9" s="127"/>
      <c r="M9" s="127"/>
      <c r="N9" s="130">
        <f t="shared" si="0"/>
        <v>4133.8682581114081</v>
      </c>
      <c r="O9" s="129">
        <v>0.99</v>
      </c>
      <c r="P9" s="130">
        <f t="shared" si="1"/>
        <v>41.338682581113972</v>
      </c>
      <c r="Q9" s="130">
        <v>150</v>
      </c>
      <c r="R9" s="129"/>
      <c r="S9" s="129"/>
      <c r="U9" s="120">
        <v>13514.524885583523</v>
      </c>
      <c r="V9" s="120">
        <v>4133.8682581114081</v>
      </c>
      <c r="W9" s="121">
        <f t="shared" si="2"/>
        <v>10.839443952889599</v>
      </c>
      <c r="X9" s="120">
        <f t="shared" si="5"/>
        <v>44808.83329242796</v>
      </c>
      <c r="Y9" s="120">
        <f t="shared" si="8"/>
        <v>75.886248550491118</v>
      </c>
      <c r="Z9" s="120">
        <v>92</v>
      </c>
      <c r="AA9" s="122">
        <f t="shared" si="6"/>
        <v>44884.719540978454</v>
      </c>
      <c r="AE9" s="142">
        <v>7721.8503192067155</v>
      </c>
      <c r="AF9" s="2">
        <v>7.0009355535494251</v>
      </c>
    </row>
    <row r="10" spans="2:32" ht="20.25" customHeight="1">
      <c r="B10" s="25">
        <v>7</v>
      </c>
      <c r="C10" s="27">
        <v>68</v>
      </c>
      <c r="D10" s="18">
        <f t="shared" si="3"/>
        <v>6936</v>
      </c>
      <c r="E10" s="27">
        <f t="shared" si="7"/>
        <v>6</v>
      </c>
      <c r="F10" s="18">
        <f t="shared" si="4"/>
        <v>1200</v>
      </c>
      <c r="G10" s="17"/>
      <c r="H10" s="21"/>
      <c r="I10" s="127"/>
      <c r="J10" s="127"/>
      <c r="K10" s="127"/>
      <c r="L10" s="127"/>
      <c r="M10" s="127"/>
      <c r="N10" s="130">
        <f t="shared" si="0"/>
        <v>4140.1543227246239</v>
      </c>
      <c r="O10" s="129">
        <v>1</v>
      </c>
      <c r="P10" s="130">
        <f t="shared" si="1"/>
        <v>0</v>
      </c>
      <c r="Q10" s="130">
        <v>72</v>
      </c>
      <c r="R10" s="129"/>
      <c r="S10" s="129"/>
      <c r="U10" s="120">
        <v>13535.095537757437</v>
      </c>
      <c r="V10" s="120">
        <v>4140.1543227246239</v>
      </c>
      <c r="W10" s="121">
        <f t="shared" si="2"/>
        <v>10.841315574787547</v>
      </c>
      <c r="X10" s="120">
        <f t="shared" si="5"/>
        <v>44884.719540978454</v>
      </c>
      <c r="Y10" s="120">
        <f t="shared" si="8"/>
        <v>68.149210195377151</v>
      </c>
      <c r="Z10" s="120">
        <v>92</v>
      </c>
      <c r="AA10" s="122">
        <f t="shared" si="6"/>
        <v>44952.868751173832</v>
      </c>
      <c r="AE10" s="142">
        <v>6909.0239698165351</v>
      </c>
      <c r="AF10" s="2">
        <v>6.2860646132157854</v>
      </c>
    </row>
    <row r="11" spans="2:32" ht="20.25" customHeight="1">
      <c r="B11" s="25">
        <v>8</v>
      </c>
      <c r="C11" s="27">
        <v>68</v>
      </c>
      <c r="D11" s="18">
        <f t="shared" si="3"/>
        <v>6936</v>
      </c>
      <c r="E11" s="27">
        <f t="shared" si="7"/>
        <v>6</v>
      </c>
      <c r="F11" s="18">
        <f t="shared" si="4"/>
        <v>1200</v>
      </c>
      <c r="G11" s="17"/>
      <c r="H11" s="21"/>
      <c r="I11" s="127"/>
      <c r="J11" s="127"/>
      <c r="K11" s="127"/>
      <c r="L11" s="127"/>
      <c r="M11" s="127"/>
      <c r="N11" s="130">
        <f t="shared" si="0"/>
        <v>4146.4403873378396</v>
      </c>
      <c r="O11" s="129">
        <v>1</v>
      </c>
      <c r="P11" s="130">
        <f t="shared" si="1"/>
        <v>0</v>
      </c>
      <c r="Q11" s="130"/>
      <c r="R11" s="129"/>
      <c r="S11" s="129"/>
      <c r="U11" s="120">
        <v>13555.666189931349</v>
      </c>
      <c r="V11" s="120">
        <v>4146.4403873378396</v>
      </c>
      <c r="W11" s="121">
        <f t="shared" si="2"/>
        <v>10.841315574787547</v>
      </c>
      <c r="X11" s="120">
        <f t="shared" si="5"/>
        <v>44952.868751173832</v>
      </c>
      <c r="Y11" s="120">
        <f t="shared" si="8"/>
        <v>68.149210195377151</v>
      </c>
      <c r="Z11" s="120">
        <v>92</v>
      </c>
      <c r="AA11" s="122">
        <f t="shared" si="6"/>
        <v>45021.017961369209</v>
      </c>
      <c r="AE11" s="142">
        <v>6909.0239698165351</v>
      </c>
      <c r="AF11" s="2">
        <v>6.2860646132157854</v>
      </c>
    </row>
    <row r="12" spans="2:32" ht="20.25" customHeight="1">
      <c r="B12" s="25">
        <v>9</v>
      </c>
      <c r="C12" s="27">
        <v>68</v>
      </c>
      <c r="D12" s="18">
        <f t="shared" si="3"/>
        <v>6936</v>
      </c>
      <c r="E12" s="27">
        <f t="shared" si="7"/>
        <v>6</v>
      </c>
      <c r="F12" s="18">
        <f t="shared" si="4"/>
        <v>1200</v>
      </c>
      <c r="G12" s="17"/>
      <c r="H12" s="21"/>
      <c r="I12" s="127"/>
      <c r="J12" s="127"/>
      <c r="K12" s="127"/>
      <c r="L12" s="127"/>
      <c r="M12" s="127"/>
      <c r="N12" s="130">
        <f t="shared" si="0"/>
        <v>4152.7264519510554</v>
      </c>
      <c r="O12" s="129">
        <f>O11</f>
        <v>1</v>
      </c>
      <c r="P12" s="130">
        <f t="shared" si="1"/>
        <v>0</v>
      </c>
      <c r="Q12" s="130"/>
      <c r="R12" s="129"/>
      <c r="S12" s="129"/>
      <c r="U12" s="120">
        <v>13576.236842105263</v>
      </c>
      <c r="V12" s="120">
        <v>4152.7264519510554</v>
      </c>
      <c r="W12" s="121">
        <f t="shared" si="2"/>
        <v>10.841315574787547</v>
      </c>
      <c r="X12" s="120">
        <f t="shared" si="5"/>
        <v>45021.017961369209</v>
      </c>
      <c r="Y12" s="120">
        <f t="shared" si="8"/>
        <v>68.149210195377151</v>
      </c>
      <c r="Z12" s="120">
        <v>92</v>
      </c>
      <c r="AA12" s="122">
        <f t="shared" si="6"/>
        <v>45089.167171564586</v>
      </c>
      <c r="AE12" s="142">
        <v>6909.0239698165351</v>
      </c>
      <c r="AF12" s="2">
        <v>6.2860646132157854</v>
      </c>
    </row>
    <row r="13" spans="2:32" ht="20.25" customHeight="1">
      <c r="B13" s="25">
        <v>10</v>
      </c>
      <c r="C13" s="27">
        <v>72</v>
      </c>
      <c r="D13" s="18">
        <f t="shared" si="3"/>
        <v>7344</v>
      </c>
      <c r="E13" s="27">
        <f t="shared" si="7"/>
        <v>7</v>
      </c>
      <c r="F13" s="18">
        <f t="shared" si="4"/>
        <v>1400</v>
      </c>
      <c r="G13" s="17"/>
      <c r="H13" s="21"/>
      <c r="I13" s="127"/>
      <c r="J13" s="127"/>
      <c r="K13" s="127"/>
      <c r="L13" s="127"/>
      <c r="M13" s="127"/>
      <c r="N13" s="130">
        <f t="shared" si="0"/>
        <v>4159.3493227775698</v>
      </c>
      <c r="O13" s="129">
        <f t="shared" ref="O13:O33" si="9">O12</f>
        <v>1</v>
      </c>
      <c r="P13" s="130">
        <f t="shared" si="1"/>
        <v>0</v>
      </c>
      <c r="Q13" s="130"/>
      <c r="R13" s="129"/>
      <c r="S13" s="129"/>
      <c r="U13" s="120">
        <v>13597.807494279175</v>
      </c>
      <c r="V13" s="120">
        <v>4159.3493227775698</v>
      </c>
      <c r="W13" s="121">
        <f t="shared" si="2"/>
        <v>10.840437691695131</v>
      </c>
      <c r="X13" s="120">
        <f t="shared" si="5"/>
        <v>45089.167171564586</v>
      </c>
      <c r="Y13" s="120">
        <f t="shared" si="8"/>
        <v>71.794818534974482</v>
      </c>
      <c r="Z13" s="120">
        <v>92</v>
      </c>
      <c r="AA13" s="122">
        <f t="shared" si="6"/>
        <v>45160.96199009956</v>
      </c>
      <c r="AE13" s="142">
        <v>7315.4371445116249</v>
      </c>
      <c r="AF13" s="2">
        <v>6.6228708265143723</v>
      </c>
    </row>
    <row r="14" spans="2:32" ht="20.25" customHeight="1">
      <c r="B14" s="25">
        <v>11</v>
      </c>
      <c r="C14" s="27">
        <v>70</v>
      </c>
      <c r="D14" s="18">
        <f t="shared" si="3"/>
        <v>7140</v>
      </c>
      <c r="E14" s="27">
        <f t="shared" si="7"/>
        <v>6</v>
      </c>
      <c r="F14" s="18">
        <f t="shared" si="4"/>
        <v>1200</v>
      </c>
      <c r="G14" s="17"/>
      <c r="H14" s="21"/>
      <c r="I14" s="127"/>
      <c r="J14" s="127"/>
      <c r="K14" s="127"/>
      <c r="L14" s="127"/>
      <c r="M14" s="127"/>
      <c r="N14" s="130">
        <f t="shared" si="0"/>
        <v>4165.8244197543027</v>
      </c>
      <c r="O14" s="129">
        <f t="shared" si="9"/>
        <v>1</v>
      </c>
      <c r="P14" s="130">
        <f t="shared" si="1"/>
        <v>0</v>
      </c>
      <c r="Q14" s="130"/>
      <c r="R14" s="129"/>
      <c r="S14" s="129"/>
      <c r="U14" s="120">
        <v>13619.0397597254</v>
      </c>
      <c r="V14" s="120">
        <v>4165.8244197543027</v>
      </c>
      <c r="W14" s="121">
        <f t="shared" si="2"/>
        <v>10.84082223339675</v>
      </c>
      <c r="X14" s="120">
        <f t="shared" si="5"/>
        <v>45160.96199009956</v>
      </c>
      <c r="Y14" s="120">
        <f t="shared" si="8"/>
        <v>70.19537526876563</v>
      </c>
      <c r="Z14" s="120"/>
      <c r="AA14" s="122">
        <f t="shared" si="6"/>
        <v>45231.157365368323</v>
      </c>
      <c r="AE14" s="142">
        <v>7112.23055716408</v>
      </c>
      <c r="AF14" s="2">
        <v>6.475096976732857</v>
      </c>
    </row>
    <row r="15" spans="2:32" ht="20.25" customHeight="1">
      <c r="B15" s="25">
        <v>12</v>
      </c>
      <c r="C15" s="27">
        <v>65</v>
      </c>
      <c r="D15" s="18">
        <f t="shared" si="3"/>
        <v>6630</v>
      </c>
      <c r="E15" s="27">
        <f t="shared" si="7"/>
        <v>6</v>
      </c>
      <c r="F15" s="18">
        <f t="shared" si="4"/>
        <v>1200</v>
      </c>
      <c r="G15" s="17"/>
      <c r="H15" s="21"/>
      <c r="I15" s="127"/>
      <c r="J15" s="127"/>
      <c r="K15" s="127"/>
      <c r="L15" s="127"/>
      <c r="M15" s="127"/>
      <c r="N15" s="130">
        <f t="shared" si="0"/>
        <v>4171.7736781542217</v>
      </c>
      <c r="O15" s="129">
        <f t="shared" si="9"/>
        <v>1</v>
      </c>
      <c r="P15" s="130">
        <f t="shared" si="1"/>
        <v>0</v>
      </c>
      <c r="Q15" s="130"/>
      <c r="R15" s="129"/>
      <c r="S15" s="129"/>
      <c r="U15" s="120">
        <v>13638.610411899313</v>
      </c>
      <c r="V15" s="120">
        <v>4171.7736781542217</v>
      </c>
      <c r="W15" s="121">
        <f t="shared" si="2"/>
        <v>10.842188683970171</v>
      </c>
      <c r="X15" s="120">
        <f t="shared" si="5"/>
        <v>45231.157365368323</v>
      </c>
      <c r="Y15" s="120">
        <f t="shared" si="8"/>
        <v>64.502982101616453</v>
      </c>
      <c r="Z15" s="120"/>
      <c r="AA15" s="122">
        <f t="shared" si="6"/>
        <v>45295.660347469937</v>
      </c>
      <c r="AE15" s="142">
        <v>6604.2140887952173</v>
      </c>
      <c r="AF15" s="2">
        <v>5.9492583999190174</v>
      </c>
    </row>
    <row r="16" spans="2:32" ht="20.25" customHeight="1">
      <c r="B16" s="25">
        <v>13</v>
      </c>
      <c r="C16" s="27">
        <v>65</v>
      </c>
      <c r="D16" s="18">
        <f t="shared" si="3"/>
        <v>6630</v>
      </c>
      <c r="E16" s="27">
        <f t="shared" si="7"/>
        <v>6</v>
      </c>
      <c r="F16" s="18">
        <f t="shared" si="4"/>
        <v>1200</v>
      </c>
      <c r="G16" s="17"/>
      <c r="H16" s="21"/>
      <c r="I16" s="127"/>
      <c r="J16" s="127"/>
      <c r="K16" s="127"/>
      <c r="L16" s="127"/>
      <c r="M16" s="127"/>
      <c r="N16" s="130">
        <f t="shared" si="0"/>
        <v>4177.7229365541398</v>
      </c>
      <c r="O16" s="129">
        <f t="shared" si="9"/>
        <v>1</v>
      </c>
      <c r="P16" s="130">
        <f t="shared" si="1"/>
        <v>0</v>
      </c>
      <c r="Q16" s="130"/>
      <c r="R16" s="129"/>
      <c r="S16" s="129"/>
      <c r="U16" s="120">
        <v>13658.181064073226</v>
      </c>
      <c r="V16" s="120">
        <v>4177.7229365541398</v>
      </c>
      <c r="W16" s="121">
        <f t="shared" si="2"/>
        <v>10.842188683970173</v>
      </c>
      <c r="X16" s="120">
        <f t="shared" si="5"/>
        <v>45295.660347469937</v>
      </c>
      <c r="Y16" s="120">
        <f t="shared" si="8"/>
        <v>64.502982101606605</v>
      </c>
      <c r="Z16" s="120"/>
      <c r="AA16" s="122">
        <f>SUM(X16:Y16)</f>
        <v>45360.163329571544</v>
      </c>
      <c r="AE16" s="142">
        <v>6604.2140887952173</v>
      </c>
      <c r="AF16" s="2">
        <v>5.9492583999181079</v>
      </c>
    </row>
    <row r="17" spans="2:32" ht="20.25" customHeight="1">
      <c r="B17" s="25">
        <v>14</v>
      </c>
      <c r="C17" s="27">
        <v>65</v>
      </c>
      <c r="D17" s="18">
        <f t="shared" si="3"/>
        <v>6630</v>
      </c>
      <c r="E17" s="27">
        <f t="shared" si="7"/>
        <v>6</v>
      </c>
      <c r="F17" s="18">
        <f t="shared" si="4"/>
        <v>1200</v>
      </c>
      <c r="G17" s="17"/>
      <c r="H17" s="21"/>
      <c r="I17" s="127"/>
      <c r="J17" s="127"/>
      <c r="K17" s="127"/>
      <c r="L17" s="127"/>
      <c r="M17" s="127"/>
      <c r="N17" s="130">
        <f t="shared" si="0"/>
        <v>4183.6721949540579</v>
      </c>
      <c r="O17" s="129">
        <f t="shared" si="9"/>
        <v>1</v>
      </c>
      <c r="P17" s="130">
        <f t="shared" si="1"/>
        <v>0</v>
      </c>
      <c r="Q17" s="130"/>
      <c r="R17" s="129"/>
      <c r="S17" s="129"/>
      <c r="U17" s="120">
        <v>13677.751716247139</v>
      </c>
      <c r="V17" s="120">
        <v>4183.6721949540579</v>
      </c>
      <c r="W17" s="121">
        <f t="shared" si="2"/>
        <v>10.842188683970173</v>
      </c>
      <c r="X17" s="120">
        <f t="shared" si="5"/>
        <v>45360.163329571544</v>
      </c>
      <c r="Y17" s="120">
        <f t="shared" si="8"/>
        <v>64.502982101606605</v>
      </c>
      <c r="Z17" s="120"/>
      <c r="AA17" s="122">
        <f t="shared" si="6"/>
        <v>45424.666311673151</v>
      </c>
      <c r="AE17" s="142">
        <v>6604.2140887952173</v>
      </c>
      <c r="AF17" s="2">
        <v>5.9492583999181079</v>
      </c>
    </row>
    <row r="18" spans="2:32" ht="20.25" customHeight="1">
      <c r="B18" s="25">
        <v>15</v>
      </c>
      <c r="C18" s="27">
        <v>65</v>
      </c>
      <c r="D18" s="18">
        <f t="shared" si="3"/>
        <v>6630</v>
      </c>
      <c r="E18" s="27">
        <f t="shared" si="7"/>
        <v>6</v>
      </c>
      <c r="F18" s="18">
        <f t="shared" si="4"/>
        <v>1200</v>
      </c>
      <c r="G18" s="17"/>
      <c r="H18" s="21"/>
      <c r="I18" s="127"/>
      <c r="J18" s="127"/>
      <c r="K18" s="127"/>
      <c r="L18" s="127"/>
      <c r="M18" s="127"/>
      <c r="N18" s="130">
        <f t="shared" si="0"/>
        <v>4189.621453353976</v>
      </c>
      <c r="O18" s="129">
        <f t="shared" si="9"/>
        <v>1</v>
      </c>
      <c r="P18" s="130">
        <f t="shared" si="1"/>
        <v>0</v>
      </c>
      <c r="Q18" s="130"/>
      <c r="R18" s="129"/>
      <c r="S18" s="129"/>
      <c r="U18" s="120">
        <v>13697.322368421053</v>
      </c>
      <c r="V18" s="120">
        <v>4189.621453353976</v>
      </c>
      <c r="W18" s="121">
        <f t="shared" si="2"/>
        <v>10.842188683970173</v>
      </c>
      <c r="X18" s="120">
        <f t="shared" si="5"/>
        <v>45424.666311673151</v>
      </c>
      <c r="Y18" s="120">
        <f t="shared" si="8"/>
        <v>64.502982101606605</v>
      </c>
      <c r="Z18" s="120"/>
      <c r="AA18" s="122">
        <f t="shared" si="6"/>
        <v>45489.169293774758</v>
      </c>
      <c r="AE18" s="142">
        <v>6604.2140887952173</v>
      </c>
      <c r="AF18" s="2">
        <v>5.9492583999181079</v>
      </c>
    </row>
    <row r="19" spans="2:32" ht="20.25" customHeight="1">
      <c r="B19" s="25">
        <v>16</v>
      </c>
      <c r="C19" s="27">
        <v>53</v>
      </c>
      <c r="D19" s="18">
        <f t="shared" si="3"/>
        <v>5406</v>
      </c>
      <c r="E19" s="27">
        <f t="shared" si="7"/>
        <v>5</v>
      </c>
      <c r="F19" s="18">
        <f t="shared" si="4"/>
        <v>1000</v>
      </c>
      <c r="G19" s="17"/>
      <c r="H19" s="21"/>
      <c r="I19" s="127"/>
      <c r="J19" s="127"/>
      <c r="K19" s="127"/>
      <c r="L19" s="127"/>
      <c r="M19" s="127"/>
      <c r="N19" s="130">
        <f t="shared" si="0"/>
        <v>4194.5430329088322</v>
      </c>
      <c r="O19" s="129">
        <f t="shared" si="9"/>
        <v>1</v>
      </c>
      <c r="P19" s="130">
        <f t="shared" si="1"/>
        <v>0</v>
      </c>
      <c r="Q19" s="130"/>
      <c r="R19" s="129"/>
      <c r="S19" s="129"/>
      <c r="U19" s="120">
        <v>13712.938501144165</v>
      </c>
      <c r="V19" s="120">
        <v>4194.5430329088322</v>
      </c>
      <c r="W19" s="121">
        <f t="shared" si="2"/>
        <v>10.844845061043259</v>
      </c>
      <c r="X19" s="120">
        <f t="shared" si="5"/>
        <v>45489.169293774758</v>
      </c>
      <c r="Y19" s="120">
        <f t="shared" si="8"/>
        <v>53.373767728013526</v>
      </c>
      <c r="Z19" s="120"/>
      <c r="AA19" s="122">
        <f t="shared" si="6"/>
        <v>45542.543061502773</v>
      </c>
      <c r="AE19" s="142">
        <v>5384.9745647099462</v>
      </c>
      <c r="AF19" s="2">
        <v>4.92157955485618</v>
      </c>
    </row>
    <row r="20" spans="2:32" ht="20.25" customHeight="1">
      <c r="B20" s="25">
        <v>17</v>
      </c>
      <c r="C20" s="27">
        <v>53</v>
      </c>
      <c r="D20" s="18">
        <f t="shared" si="3"/>
        <v>5406</v>
      </c>
      <c r="E20" s="27">
        <f t="shared" si="7"/>
        <v>5</v>
      </c>
      <c r="F20" s="18">
        <f t="shared" si="4"/>
        <v>1000</v>
      </c>
      <c r="G20" s="17"/>
      <c r="H20" s="21"/>
      <c r="I20" s="127"/>
      <c r="J20" s="127"/>
      <c r="K20" s="127"/>
      <c r="L20" s="127"/>
      <c r="M20" s="127"/>
      <c r="N20" s="130">
        <f t="shared" si="0"/>
        <v>4199.3993556413825</v>
      </c>
      <c r="O20" s="129">
        <f t="shared" si="9"/>
        <v>1</v>
      </c>
      <c r="P20" s="130">
        <f t="shared" si="1"/>
        <v>0</v>
      </c>
      <c r="Q20" s="130"/>
      <c r="R20" s="129"/>
      <c r="S20" s="129"/>
      <c r="U20" s="120">
        <v>13728.862700228832</v>
      </c>
      <c r="V20" s="120">
        <v>4199.3993556413825</v>
      </c>
      <c r="W20" s="121">
        <f t="shared" si="2"/>
        <v>10.845013585174247</v>
      </c>
      <c r="X20" s="120">
        <f t="shared" si="5"/>
        <v>45542.543061502773</v>
      </c>
      <c r="Y20" s="120">
        <f t="shared" si="8"/>
        <v>52.666886008498793</v>
      </c>
      <c r="Z20" s="120"/>
      <c r="AA20" s="122">
        <f t="shared" si="6"/>
        <v>45595.20994751127</v>
      </c>
      <c r="AE20" s="142">
        <v>5384.9745647099462</v>
      </c>
      <c r="AF20" s="2">
        <v>4.8563227325503249</v>
      </c>
    </row>
    <row r="21" spans="2:32" ht="20.25" customHeight="1">
      <c r="B21" s="25">
        <v>18</v>
      </c>
      <c r="C21" s="27">
        <v>53</v>
      </c>
      <c r="D21" s="18">
        <f t="shared" si="3"/>
        <v>5406</v>
      </c>
      <c r="E21" s="27">
        <f t="shared" si="7"/>
        <v>5</v>
      </c>
      <c r="F21" s="18">
        <f t="shared" si="4"/>
        <v>1000</v>
      </c>
      <c r="G21" s="17"/>
      <c r="H21" s="21"/>
      <c r="I21" s="127"/>
      <c r="J21" s="127"/>
      <c r="K21" s="127"/>
      <c r="L21" s="127"/>
      <c r="M21" s="127"/>
      <c r="N21" s="130">
        <f t="shared" si="0"/>
        <v>4204.2556783739328</v>
      </c>
      <c r="O21" s="129">
        <f t="shared" si="9"/>
        <v>1</v>
      </c>
      <c r="P21" s="130">
        <f t="shared" si="1"/>
        <v>0</v>
      </c>
      <c r="Q21" s="130"/>
      <c r="R21" s="129"/>
      <c r="S21" s="129"/>
      <c r="U21" s="120">
        <v>13744.786899313502</v>
      </c>
      <c r="V21" s="120">
        <v>4204.2556783739328</v>
      </c>
      <c r="W21" s="121">
        <f t="shared" si="2"/>
        <v>10.845013585174247</v>
      </c>
      <c r="X21" s="120">
        <f t="shared" si="5"/>
        <v>45595.20994751127</v>
      </c>
      <c r="Y21" s="120">
        <f t="shared" si="8"/>
        <v>52.666886008498793</v>
      </c>
      <c r="Z21" s="120"/>
      <c r="AA21" s="122">
        <f t="shared" si="6"/>
        <v>45647.876833519767</v>
      </c>
      <c r="AE21" s="142">
        <v>5384.9745647099462</v>
      </c>
      <c r="AF21" s="2">
        <v>4.8563227325503249</v>
      </c>
    </row>
    <row r="22" spans="2:32" s="3" customFormat="1" ht="20.25" customHeight="1">
      <c r="B22" s="25">
        <v>19</v>
      </c>
      <c r="C22" s="27">
        <v>53</v>
      </c>
      <c r="D22" s="18">
        <f t="shared" si="3"/>
        <v>5406</v>
      </c>
      <c r="E22" s="27">
        <f t="shared" si="7"/>
        <v>5</v>
      </c>
      <c r="F22" s="18">
        <f t="shared" si="4"/>
        <v>1000</v>
      </c>
      <c r="G22" s="17"/>
      <c r="H22" s="21"/>
      <c r="I22" s="127"/>
      <c r="J22" s="127"/>
      <c r="K22" s="127"/>
      <c r="L22" s="127"/>
      <c r="M22" s="127"/>
      <c r="N22" s="130">
        <f t="shared" si="0"/>
        <v>4209.1120011064831</v>
      </c>
      <c r="O22" s="129">
        <f t="shared" si="9"/>
        <v>1</v>
      </c>
      <c r="P22" s="130">
        <f t="shared" si="1"/>
        <v>0</v>
      </c>
      <c r="Q22" s="130"/>
      <c r="R22" s="129"/>
      <c r="S22" s="129"/>
      <c r="U22" s="120">
        <v>13760.711098398169</v>
      </c>
      <c r="V22" s="120">
        <v>4209.1120011064831</v>
      </c>
      <c r="W22" s="121">
        <f t="shared" si="2"/>
        <v>10.845013585174247</v>
      </c>
      <c r="X22" s="120">
        <f t="shared" si="5"/>
        <v>45647.876833519767</v>
      </c>
      <c r="Y22" s="120">
        <f t="shared" si="8"/>
        <v>52.666886008498793</v>
      </c>
      <c r="Z22" s="120"/>
      <c r="AA22" s="122">
        <f t="shared" si="6"/>
        <v>45700.543719528265</v>
      </c>
      <c r="AE22" s="141">
        <v>5384.9745647099462</v>
      </c>
      <c r="AF22" s="3">
        <v>4.8563227325503249</v>
      </c>
    </row>
    <row r="23" spans="2:32" ht="20.25" customHeight="1">
      <c r="B23" s="25">
        <v>20</v>
      </c>
      <c r="C23" s="27">
        <v>53</v>
      </c>
      <c r="D23" s="18">
        <f t="shared" si="3"/>
        <v>5406</v>
      </c>
      <c r="E23" s="27">
        <f t="shared" si="7"/>
        <v>5</v>
      </c>
      <c r="F23" s="18">
        <f t="shared" si="4"/>
        <v>1000</v>
      </c>
      <c r="G23" s="17"/>
      <c r="H23" s="21"/>
      <c r="I23" s="127"/>
      <c r="J23" s="127"/>
      <c r="K23" s="127"/>
      <c r="L23" s="127"/>
      <c r="M23" s="127"/>
      <c r="N23" s="130">
        <f t="shared" si="0"/>
        <v>4213.9683238390335</v>
      </c>
      <c r="O23" s="129">
        <f t="shared" si="9"/>
        <v>1</v>
      </c>
      <c r="P23" s="130">
        <f t="shared" si="1"/>
        <v>0</v>
      </c>
      <c r="Q23" s="130"/>
      <c r="R23" s="129"/>
      <c r="S23" s="129"/>
      <c r="U23" s="120">
        <v>13776.635297482837</v>
      </c>
      <c r="V23" s="120">
        <v>4213.9683238390335</v>
      </c>
      <c r="W23" s="121">
        <f t="shared" si="2"/>
        <v>10.845013585174247</v>
      </c>
      <c r="X23" s="120">
        <f t="shared" si="5"/>
        <v>45700.543719528265</v>
      </c>
      <c r="Y23" s="120">
        <f t="shared" si="8"/>
        <v>52.666886008498793</v>
      </c>
      <c r="Z23" s="120"/>
      <c r="AA23" s="122">
        <f>SUM(X23:Y23)</f>
        <v>45753.210605536762</v>
      </c>
      <c r="AE23" s="142">
        <v>5384.9745647099462</v>
      </c>
      <c r="AF23" s="2">
        <v>4.8563227325503249</v>
      </c>
    </row>
    <row r="24" spans="2:32" ht="20.25" customHeight="1">
      <c r="B24" s="25">
        <v>21</v>
      </c>
      <c r="C24" s="27">
        <v>66</v>
      </c>
      <c r="D24" s="18">
        <f t="shared" si="3"/>
        <v>6732</v>
      </c>
      <c r="E24" s="27">
        <f t="shared" si="7"/>
        <v>6</v>
      </c>
      <c r="F24" s="18">
        <f t="shared" si="4"/>
        <v>1200</v>
      </c>
      <c r="G24" s="17"/>
      <c r="H24" s="21"/>
      <c r="I24" s="127"/>
      <c r="J24" s="127"/>
      <c r="K24" s="127"/>
      <c r="L24" s="127"/>
      <c r="M24" s="127"/>
      <c r="N24" s="130">
        <f t="shared" si="0"/>
        <v>4220.0240975749948</v>
      </c>
      <c r="O24" s="129">
        <f t="shared" si="9"/>
        <v>1</v>
      </c>
      <c r="P24" s="130">
        <f t="shared" si="1"/>
        <v>0</v>
      </c>
      <c r="Q24" s="130"/>
      <c r="R24" s="129"/>
      <c r="S24" s="129"/>
      <c r="U24" s="120">
        <v>13796.221109839817</v>
      </c>
      <c r="V24" s="120">
        <v>4220.0240975749948</v>
      </c>
      <c r="W24" s="121">
        <f t="shared" si="2"/>
        <v>10.841931123528063</v>
      </c>
      <c r="X24" s="120">
        <f t="shared" si="5"/>
        <v>45753.210605536762</v>
      </c>
      <c r="Y24" s="120">
        <f t="shared" si="8"/>
        <v>65.656281744963053</v>
      </c>
      <c r="Z24" s="120"/>
      <c r="AA24" s="122">
        <f>SUM(X24:Y24)</f>
        <v>45818.866887281722</v>
      </c>
      <c r="AE24" s="142">
        <v>6705.8173824689893</v>
      </c>
      <c r="AF24" s="2">
        <v>6.0557737359613384</v>
      </c>
    </row>
    <row r="25" spans="2:32" ht="20.25" customHeight="1">
      <c r="B25" s="25">
        <v>22</v>
      </c>
      <c r="C25" s="27">
        <v>45</v>
      </c>
      <c r="D25" s="18">
        <f t="shared" si="3"/>
        <v>4590</v>
      </c>
      <c r="E25" s="27">
        <f t="shared" si="7"/>
        <v>4</v>
      </c>
      <c r="F25" s="18">
        <f t="shared" si="4"/>
        <v>800</v>
      </c>
      <c r="G25" s="17"/>
      <c r="H25" s="21"/>
      <c r="I25" s="127"/>
      <c r="J25" s="127"/>
      <c r="K25" s="127"/>
      <c r="L25" s="127"/>
      <c r="M25" s="127"/>
      <c r="N25" s="130">
        <f t="shared" si="0"/>
        <v>4224.1655493672115</v>
      </c>
      <c r="O25" s="129">
        <f t="shared" si="9"/>
        <v>1</v>
      </c>
      <c r="P25" s="130">
        <f t="shared" si="1"/>
        <v>0</v>
      </c>
      <c r="Q25" s="130"/>
      <c r="R25" s="129"/>
      <c r="S25" s="129"/>
      <c r="U25" s="120">
        <v>13809.822082379862</v>
      </c>
      <c r="V25" s="120">
        <v>4224.1655493672115</v>
      </c>
      <c r="W25" s="121">
        <f t="shared" si="2"/>
        <v>10.846844507347843</v>
      </c>
      <c r="X25" s="120">
        <f t="shared" si="5"/>
        <v>45818.866887281722</v>
      </c>
      <c r="Y25" s="120">
        <f t="shared" si="8"/>
        <v>44.921683624851433</v>
      </c>
      <c r="Z25" s="120"/>
      <c r="AA25" s="122">
        <f>SUM(X25:Y25)</f>
        <v>45863.788570906574</v>
      </c>
      <c r="AE25" s="142">
        <v>4572.1482153197658</v>
      </c>
      <c r="AF25" s="2">
        <v>4.1414517922166851</v>
      </c>
    </row>
    <row r="26" spans="2:32" s="3" customFormat="1" ht="20.25" customHeight="1">
      <c r="B26" s="25">
        <v>23</v>
      </c>
      <c r="C26" s="27">
        <v>45</v>
      </c>
      <c r="D26" s="18">
        <f t="shared" si="3"/>
        <v>4590</v>
      </c>
      <c r="E26" s="27">
        <f t="shared" si="7"/>
        <v>4</v>
      </c>
      <c r="F26" s="18">
        <f t="shared" si="4"/>
        <v>800</v>
      </c>
      <c r="G26" s="17"/>
      <c r="H26" s="21"/>
      <c r="I26" s="127"/>
      <c r="J26" s="127"/>
      <c r="K26" s="127"/>
      <c r="L26" s="127"/>
      <c r="M26" s="127"/>
      <c r="N26" s="130">
        <f t="shared" si="0"/>
        <v>4228.30700115943</v>
      </c>
      <c r="O26" s="129">
        <f t="shared" si="9"/>
        <v>1</v>
      </c>
      <c r="P26" s="130">
        <f t="shared" si="1"/>
        <v>0</v>
      </c>
      <c r="Q26" s="130"/>
      <c r="R26" s="129"/>
      <c r="S26" s="129"/>
      <c r="U26" s="120">
        <v>13823.423054919909</v>
      </c>
      <c r="V26" s="120">
        <v>4228.30700115943</v>
      </c>
      <c r="W26" s="121">
        <f t="shared" si="2"/>
        <v>10.846844507347839</v>
      </c>
      <c r="X26" s="120">
        <f t="shared" si="5"/>
        <v>45863.788570906574</v>
      </c>
      <c r="Y26" s="120">
        <f t="shared" si="8"/>
        <v>44.921683624871143</v>
      </c>
      <c r="Z26" s="120"/>
      <c r="AA26" s="122">
        <f>SUM(X26:Y26)</f>
        <v>45908.710254531448</v>
      </c>
      <c r="AE26" s="141">
        <v>4572.1482153197658</v>
      </c>
      <c r="AF26" s="3">
        <v>4.1414517922185041</v>
      </c>
    </row>
    <row r="27" spans="2:32" s="3" customFormat="1" ht="20.25" customHeight="1">
      <c r="B27" s="25">
        <v>24</v>
      </c>
      <c r="C27" s="27">
        <v>45</v>
      </c>
      <c r="D27" s="18">
        <f t="shared" si="3"/>
        <v>4590</v>
      </c>
      <c r="E27" s="27">
        <f t="shared" si="7"/>
        <v>4</v>
      </c>
      <c r="F27" s="18">
        <f t="shared" si="4"/>
        <v>800</v>
      </c>
      <c r="G27" s="17"/>
      <c r="H27" s="21"/>
      <c r="I27" s="127"/>
      <c r="J27" s="127"/>
      <c r="K27" s="127"/>
      <c r="L27" s="127"/>
      <c r="M27" s="127"/>
      <c r="N27" s="130">
        <f t="shared" si="0"/>
        <v>4232.4484529516467</v>
      </c>
      <c r="O27" s="129">
        <f t="shared" si="9"/>
        <v>1</v>
      </c>
      <c r="P27" s="130">
        <f t="shared" si="1"/>
        <v>0</v>
      </c>
      <c r="Q27" s="130"/>
      <c r="R27" s="129"/>
      <c r="S27" s="129"/>
      <c r="U27" s="120">
        <v>13837.024027459955</v>
      </c>
      <c r="V27" s="120">
        <v>4232.4484529516467</v>
      </c>
      <c r="W27" s="121">
        <f t="shared" si="2"/>
        <v>10.846844507347845</v>
      </c>
      <c r="X27" s="120">
        <f t="shared" si="5"/>
        <v>45908.710254531448</v>
      </c>
      <c r="Y27" s="120">
        <f t="shared" si="8"/>
        <v>44.92168362485144</v>
      </c>
      <c r="Z27" s="120"/>
      <c r="AA27" s="122">
        <f>SUM(X27:Y27)</f>
        <v>45953.631938156301</v>
      </c>
      <c r="AE27" s="141">
        <v>4572.1482153197658</v>
      </c>
      <c r="AF27" s="3">
        <v>4.1414517922166851</v>
      </c>
    </row>
    <row r="28" spans="2:32" ht="20.25" customHeight="1">
      <c r="B28" s="25">
        <v>25</v>
      </c>
      <c r="C28" s="27">
        <v>45</v>
      </c>
      <c r="D28" s="18">
        <f t="shared" si="3"/>
        <v>4590</v>
      </c>
      <c r="E28" s="27">
        <f t="shared" si="7"/>
        <v>4</v>
      </c>
      <c r="F28" s="18">
        <f t="shared" si="4"/>
        <v>800</v>
      </c>
      <c r="G28" s="17"/>
      <c r="H28" s="21"/>
      <c r="I28" s="127"/>
      <c r="J28" s="127"/>
      <c r="K28" s="127"/>
      <c r="L28" s="127"/>
      <c r="M28" s="127"/>
      <c r="N28" s="130">
        <f t="shared" si="0"/>
        <v>4236.5899047438634</v>
      </c>
      <c r="O28" s="129">
        <f t="shared" si="9"/>
        <v>1</v>
      </c>
      <c r="P28" s="130">
        <f t="shared" si="1"/>
        <v>0</v>
      </c>
      <c r="Q28" s="130"/>
      <c r="R28" s="129"/>
      <c r="S28" s="129"/>
      <c r="U28" s="120">
        <v>13850.625</v>
      </c>
      <c r="V28" s="120">
        <v>4236.5899047438634</v>
      </c>
      <c r="W28" s="121">
        <f t="shared" si="2"/>
        <v>10.846844507347845</v>
      </c>
      <c r="X28" s="120">
        <f t="shared" si="5"/>
        <v>45953.631938156301</v>
      </c>
      <c r="Y28" s="120">
        <f t="shared" si="8"/>
        <v>44.92168362485144</v>
      </c>
      <c r="Z28" s="120"/>
      <c r="AA28" s="122">
        <f t="shared" ref="AA28:AA33" si="10">SUM(X28:Y28)</f>
        <v>45998.553621781153</v>
      </c>
      <c r="AE28" s="142">
        <v>4572.1482153197658</v>
      </c>
      <c r="AF28" s="2">
        <v>4.1414517922166851</v>
      </c>
    </row>
    <row r="29" spans="2:32" ht="20.25" customHeight="1">
      <c r="B29" s="25">
        <v>26</v>
      </c>
      <c r="C29" s="27">
        <v>66</v>
      </c>
      <c r="D29" s="18">
        <f t="shared" si="3"/>
        <v>6732</v>
      </c>
      <c r="E29" s="27">
        <f t="shared" si="7"/>
        <v>6</v>
      </c>
      <c r="F29" s="18">
        <f t="shared" si="4"/>
        <v>1200</v>
      </c>
      <c r="G29" s="17"/>
      <c r="H29" s="21"/>
      <c r="I29" s="127"/>
      <c r="J29" s="127"/>
      <c r="K29" s="127"/>
      <c r="L29" s="127"/>
      <c r="M29" s="127"/>
      <c r="N29" s="130">
        <f t="shared" si="0"/>
        <v>4242.6456784798256</v>
      </c>
      <c r="O29" s="129">
        <f t="shared" si="9"/>
        <v>1</v>
      </c>
      <c r="P29" s="130">
        <f t="shared" si="1"/>
        <v>0</v>
      </c>
      <c r="Q29" s="130"/>
      <c r="R29" s="129"/>
      <c r="S29" s="129"/>
      <c r="U29" s="120">
        <v>13870.21081235698</v>
      </c>
      <c r="V29" s="120">
        <v>4242.6456784798256</v>
      </c>
      <c r="W29" s="121">
        <f t="shared" si="2"/>
        <v>10.841950308295084</v>
      </c>
      <c r="X29" s="120">
        <f t="shared" si="5"/>
        <v>45998.553621781153</v>
      </c>
      <c r="Y29" s="120">
        <f t="shared" si="8"/>
        <v>65.656397923581167</v>
      </c>
      <c r="Z29" s="120"/>
      <c r="AA29" s="122">
        <f t="shared" si="10"/>
        <v>46064.210019704733</v>
      </c>
      <c r="AE29" s="142">
        <v>6705.8173824689893</v>
      </c>
      <c r="AF29" s="2">
        <v>6.0557737359622479</v>
      </c>
    </row>
    <row r="30" spans="2:32" ht="20.25" customHeight="1">
      <c r="B30" s="25">
        <v>27</v>
      </c>
      <c r="C30" s="27">
        <v>47</v>
      </c>
      <c r="D30" s="18">
        <f t="shared" si="3"/>
        <v>4794</v>
      </c>
      <c r="E30" s="27">
        <f t="shared" si="7"/>
        <v>4</v>
      </c>
      <c r="F30" s="18">
        <f t="shared" si="4"/>
        <v>800</v>
      </c>
      <c r="G30" s="17"/>
      <c r="H30" s="21"/>
      <c r="I30" s="127"/>
      <c r="J30" s="127"/>
      <c r="K30" s="127"/>
      <c r="L30" s="127"/>
      <c r="M30" s="127"/>
      <c r="N30" s="130">
        <f t="shared" si="0"/>
        <v>4246.9761626355603</v>
      </c>
      <c r="O30" s="129">
        <f t="shared" si="9"/>
        <v>1</v>
      </c>
      <c r="P30" s="130">
        <f t="shared" si="1"/>
        <v>0</v>
      </c>
      <c r="Q30" s="130"/>
      <c r="R30" s="129"/>
      <c r="S30" s="129"/>
      <c r="U30" s="120">
        <v>13884.473398169337</v>
      </c>
      <c r="V30" s="120">
        <v>4246.9761626355603</v>
      </c>
      <c r="W30" s="121">
        <f t="shared" si="2"/>
        <v>10.846354737041546</v>
      </c>
      <c r="X30" s="120">
        <f t="shared" si="5"/>
        <v>46064.210019704733</v>
      </c>
      <c r="Y30" s="120">
        <f t="shared" si="8"/>
        <v>46.96996733623606</v>
      </c>
      <c r="Z30" s="120"/>
      <c r="AA30" s="122">
        <f t="shared" si="10"/>
        <v>46111.179987040967</v>
      </c>
      <c r="AE30" s="142">
        <v>4775.3548026673107</v>
      </c>
      <c r="AF30" s="2">
        <v>4.3304841557346663</v>
      </c>
    </row>
    <row r="31" spans="2:32" ht="20.25" customHeight="1">
      <c r="B31" s="25">
        <v>28</v>
      </c>
      <c r="C31" s="27">
        <v>49</v>
      </c>
      <c r="D31" s="18">
        <f t="shared" si="3"/>
        <v>4998</v>
      </c>
      <c r="E31" s="27">
        <f t="shared" si="7"/>
        <v>4</v>
      </c>
      <c r="F31" s="18">
        <f t="shared" si="4"/>
        <v>800</v>
      </c>
      <c r="G31" s="17"/>
      <c r="H31" s="21"/>
      <c r="I31" s="127"/>
      <c r="J31" s="127"/>
      <c r="K31" s="127"/>
      <c r="L31" s="127"/>
      <c r="M31" s="127"/>
      <c r="N31" s="130">
        <f t="shared" si="0"/>
        <v>4251.4544206410756</v>
      </c>
      <c r="O31" s="129">
        <f t="shared" si="9"/>
        <v>1</v>
      </c>
      <c r="P31" s="130">
        <f t="shared" si="1"/>
        <v>0</v>
      </c>
      <c r="Q31" s="130"/>
      <c r="R31" s="129"/>
      <c r="S31" s="129"/>
      <c r="U31" s="120">
        <v>13899.074370709382</v>
      </c>
      <c r="V31" s="120">
        <v>4251.4544206410756</v>
      </c>
      <c r="W31" s="121">
        <f t="shared" si="2"/>
        <v>10.845977734858998</v>
      </c>
      <c r="X31" s="120">
        <f t="shared" si="5"/>
        <v>46111.179987040967</v>
      </c>
      <c r="Y31" s="120">
        <f t="shared" si="8"/>
        <v>48.571086618772704</v>
      </c>
      <c r="Z31" s="120"/>
      <c r="AA31" s="122">
        <f t="shared" si="10"/>
        <v>46159.75107365974</v>
      </c>
      <c r="AE31" s="142">
        <v>4978.5613900148555</v>
      </c>
      <c r="AF31" s="2">
        <v>4.4782580055152721</v>
      </c>
    </row>
    <row r="32" spans="2:32" ht="20.25" customHeight="1">
      <c r="B32" s="25">
        <v>29</v>
      </c>
      <c r="C32" s="27">
        <v>51</v>
      </c>
      <c r="D32" s="18">
        <f t="shared" si="3"/>
        <v>5202</v>
      </c>
      <c r="E32" s="27">
        <f t="shared" si="7"/>
        <v>5</v>
      </c>
      <c r="F32" s="18">
        <f t="shared" si="4"/>
        <v>1000</v>
      </c>
      <c r="G32" s="17"/>
      <c r="H32" s="21"/>
      <c r="I32" s="127"/>
      <c r="J32" s="127"/>
      <c r="K32" s="127"/>
      <c r="L32" s="127"/>
      <c r="M32" s="127"/>
      <c r="N32" s="130">
        <f t="shared" si="0"/>
        <v>4256.1217110101079</v>
      </c>
      <c r="O32" s="129">
        <f t="shared" si="9"/>
        <v>1</v>
      </c>
      <c r="P32" s="130">
        <f t="shared" si="1"/>
        <v>0</v>
      </c>
      <c r="Q32" s="130"/>
      <c r="R32" s="129"/>
      <c r="S32" s="129"/>
      <c r="U32" s="120">
        <v>13914.33695652174</v>
      </c>
      <c r="V32" s="120">
        <v>4256.1217110101079</v>
      </c>
      <c r="W32" s="121">
        <f t="shared" si="2"/>
        <v>10.845496019122212</v>
      </c>
      <c r="X32" s="120">
        <f t="shared" si="5"/>
        <v>46159.75107365974</v>
      </c>
      <c r="Y32" s="120">
        <f t="shared" si="8"/>
        <v>50.619079117427724</v>
      </c>
      <c r="Z32" s="120"/>
      <c r="AA32" s="122">
        <f t="shared" si="10"/>
        <v>46210.37015277717</v>
      </c>
      <c r="AE32" s="142">
        <v>5181.7679773624013</v>
      </c>
      <c r="AF32" s="2">
        <v>4.6672903690323437</v>
      </c>
    </row>
    <row r="33" spans="2:32" ht="20.25" customHeight="1" thickBot="1">
      <c r="B33" s="26">
        <v>30</v>
      </c>
      <c r="C33" s="384">
        <v>27</v>
      </c>
      <c r="D33" s="385">
        <f t="shared" si="3"/>
        <v>2754</v>
      </c>
      <c r="E33" s="386">
        <f t="shared" si="7"/>
        <v>3</v>
      </c>
      <c r="F33" s="385">
        <f t="shared" si="4"/>
        <v>600</v>
      </c>
      <c r="G33" s="20"/>
      <c r="H33" s="22"/>
      <c r="I33" s="127"/>
      <c r="J33" s="127"/>
      <c r="K33" s="127"/>
      <c r="L33" s="127"/>
      <c r="M33" s="127"/>
      <c r="N33" s="130">
        <f t="shared" si="0"/>
        <v>4258.6443885581421</v>
      </c>
      <c r="O33" s="129">
        <f t="shared" si="9"/>
        <v>1</v>
      </c>
      <c r="P33" s="130">
        <f t="shared" si="1"/>
        <v>0</v>
      </c>
      <c r="Q33" s="130"/>
      <c r="R33" s="129"/>
      <c r="S33" s="129"/>
      <c r="U33" s="123">
        <v>13922.629862700229</v>
      </c>
      <c r="V33" s="123">
        <v>4258.6443885581421</v>
      </c>
      <c r="W33" s="121">
        <f t="shared" si="2"/>
        <v>10.850957707793656</v>
      </c>
      <c r="X33" s="120">
        <f t="shared" si="5"/>
        <v>46210.37015277717</v>
      </c>
      <c r="Y33" s="120">
        <f t="shared" si="8"/>
        <v>27.373467384119191</v>
      </c>
      <c r="Z33" s="123"/>
      <c r="AA33" s="122">
        <f t="shared" si="10"/>
        <v>46237.743620161287</v>
      </c>
      <c r="AE33" s="142">
        <v>2743.2889291918596</v>
      </c>
      <c r="AF33" s="2">
        <v>2.522677548034153</v>
      </c>
    </row>
    <row r="34" spans="2:32">
      <c r="C34" s="14"/>
      <c r="D34" s="7"/>
      <c r="E34" s="14"/>
      <c r="F34" s="7"/>
      <c r="G34" s="14"/>
      <c r="H34" s="7"/>
      <c r="I34" s="7"/>
      <c r="J34" s="7"/>
      <c r="K34" s="7"/>
      <c r="L34" s="7"/>
      <c r="M34" s="7"/>
      <c r="N34" s="7"/>
      <c r="O34" s="7"/>
      <c r="P34" s="7">
        <f>SUM(P4:P33)</f>
        <v>822.15898295091438</v>
      </c>
      <c r="Q34" s="7">
        <f>SUM(Q4:Q33)</f>
        <v>822</v>
      </c>
      <c r="R34" s="7"/>
      <c r="S34" s="7"/>
      <c r="AA34" s="124">
        <f>SUM(X34:Y34)</f>
        <v>0</v>
      </c>
    </row>
    <row r="35" spans="2:32">
      <c r="C35" s="573">
        <f>SUM(C4:C33)</f>
        <v>6114.261036817682</v>
      </c>
      <c r="E35" s="573">
        <f>SUM(E4:E33)</f>
        <v>257.18900769150969</v>
      </c>
      <c r="G35" s="573">
        <f>SUM(G4:G33)</f>
        <v>231.00525101320758</v>
      </c>
      <c r="Q35" s="9">
        <f>P34-Q34</f>
        <v>0.15898295091437831</v>
      </c>
    </row>
    <row r="36" spans="2:32" ht="30" customHeight="1">
      <c r="D36" s="128">
        <v>102</v>
      </c>
      <c r="F36" s="128">
        <v>200</v>
      </c>
      <c r="H36" s="128">
        <v>112.1</v>
      </c>
      <c r="I36" s="128"/>
      <c r="J36" s="128"/>
      <c r="K36" s="128"/>
      <c r="L36" s="128"/>
    </row>
    <row r="38" spans="2:32">
      <c r="AE38" s="9">
        <f>SUM(AE4:AE33)</f>
        <v>185121.20107361357</v>
      </c>
    </row>
    <row r="39" spans="2:32">
      <c r="D39" s="9">
        <f>SUM(D4:D33)</f>
        <v>623654.62575540366</v>
      </c>
      <c r="F39" s="9">
        <f>SUM(F4:F33)</f>
        <v>51437.801538301937</v>
      </c>
      <c r="H39" s="9">
        <f>SUM(H4:H33)</f>
        <v>25895.68863858057</v>
      </c>
      <c r="I39" s="9"/>
    </row>
  </sheetData>
  <mergeCells count="19">
    <mergeCell ref="Z2:Z3"/>
    <mergeCell ref="AA2:AA3"/>
    <mergeCell ref="U1:AA1"/>
    <mergeCell ref="N2:N3"/>
    <mergeCell ref="O2:O3"/>
    <mergeCell ref="P2:P3"/>
    <mergeCell ref="Q2:Q3"/>
    <mergeCell ref="U2:U3"/>
    <mergeCell ref="V2:V3"/>
    <mergeCell ref="W2:W3"/>
    <mergeCell ref="X2:X3"/>
    <mergeCell ref="Y2:Y3"/>
    <mergeCell ref="G2:G3"/>
    <mergeCell ref="H2:H3"/>
    <mergeCell ref="F2:F3"/>
    <mergeCell ref="B2:B3"/>
    <mergeCell ref="C2:C3"/>
    <mergeCell ref="D2:D3"/>
    <mergeCell ref="E2:E3"/>
  </mergeCells>
  <phoneticPr fontId="12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6">
    <tabColor rgb="FF00B050"/>
  </sheetPr>
  <dimension ref="B1:U39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8.85546875" style="2" customWidth="1"/>
    <col min="3" max="6" width="19.5703125" style="2" customWidth="1"/>
    <col min="7" max="7" width="2.7109375" style="2" customWidth="1"/>
    <col min="8" max="8" width="13.85546875" style="2" bestFit="1" customWidth="1"/>
    <col min="9" max="15" width="13.85546875" style="2" customWidth="1"/>
    <col min="16" max="22" width="11.5703125" style="2" customWidth="1"/>
    <col min="23" max="16384" width="11.5703125" style="2"/>
  </cols>
  <sheetData>
    <row r="1" spans="2:21" s="1" customFormat="1" ht="30" customHeight="1" thickBot="1">
      <c r="B1" s="32" t="s">
        <v>47</v>
      </c>
      <c r="C1" s="19"/>
      <c r="D1" s="19"/>
      <c r="E1" s="19"/>
      <c r="F1" s="19"/>
    </row>
    <row r="2" spans="2:21" ht="21.75" customHeight="1">
      <c r="B2" s="1646" t="s">
        <v>1</v>
      </c>
      <c r="C2" s="1648" t="s">
        <v>14</v>
      </c>
      <c r="D2" s="1659" t="s">
        <v>347</v>
      </c>
      <c r="E2" s="1644" t="s">
        <v>15</v>
      </c>
      <c r="F2" s="1644" t="s">
        <v>348</v>
      </c>
      <c r="G2" s="4"/>
      <c r="H2" s="4"/>
      <c r="I2" s="4"/>
      <c r="J2" s="4"/>
      <c r="K2" s="4"/>
      <c r="L2" s="4"/>
      <c r="M2" s="4"/>
      <c r="N2" s="4"/>
      <c r="O2" s="4"/>
      <c r="Q2" s="1644" t="s">
        <v>80</v>
      </c>
      <c r="R2" s="1644" t="s">
        <v>81</v>
      </c>
      <c r="S2" s="1644" t="s">
        <v>82</v>
      </c>
    </row>
    <row r="3" spans="2:21" s="3" customFormat="1" ht="45.75" customHeight="1" thickBot="1">
      <c r="B3" s="1647"/>
      <c r="C3" s="1649"/>
      <c r="D3" s="1660"/>
      <c r="E3" s="1645"/>
      <c r="F3" s="1645"/>
      <c r="G3"/>
      <c r="H3" s="605" t="s">
        <v>401</v>
      </c>
      <c r="I3" s="761" t="s">
        <v>402</v>
      </c>
      <c r="J3" s="762" t="s">
        <v>463</v>
      </c>
      <c r="K3" s="763" t="s">
        <v>464</v>
      </c>
      <c r="L3"/>
      <c r="M3"/>
      <c r="N3"/>
      <c r="O3"/>
      <c r="Q3" s="1645"/>
      <c r="R3" s="1645"/>
      <c r="S3" s="1645"/>
    </row>
    <row r="4" spans="2:21" ht="20.25" customHeight="1">
      <c r="B4" s="33">
        <v>1</v>
      </c>
      <c r="C4" s="812">
        <f>'17 R1 INV'!I35/'17 R1 INV'!F35</f>
        <v>124.19385439137673</v>
      </c>
      <c r="D4" s="810">
        <f t="shared" ref="D4:D33" si="0">C4*$D$36</f>
        <v>37879.125589369905</v>
      </c>
      <c r="E4" s="813">
        <v>0</v>
      </c>
      <c r="F4" s="814">
        <f>E4*F36</f>
        <v>0</v>
      </c>
      <c r="G4" s="12"/>
      <c r="H4" s="758">
        <v>4</v>
      </c>
      <c r="I4" s="759">
        <v>0</v>
      </c>
      <c r="J4" s="760">
        <f>'17 R1 INV'!I35</f>
        <v>37879.125589369905</v>
      </c>
      <c r="K4" s="764">
        <v>0</v>
      </c>
      <c r="L4" s="15"/>
      <c r="M4" s="15"/>
      <c r="N4" s="15"/>
      <c r="O4" s="15"/>
      <c r="Q4" s="122">
        <v>38132</v>
      </c>
      <c r="R4" s="120">
        <v>0</v>
      </c>
      <c r="S4" s="120">
        <v>3.8638097219336487</v>
      </c>
      <c r="T4" s="149">
        <f>ROUND(R4,0)</f>
        <v>0</v>
      </c>
      <c r="U4" s="149">
        <f>ROUND(S4,0)</f>
        <v>4</v>
      </c>
    </row>
    <row r="5" spans="2:21" ht="20.25" customHeight="1">
      <c r="B5" s="34">
        <v>2</v>
      </c>
      <c r="C5" s="767">
        <f>'17 R1 INV'!J35/'17 R1 INV'!F35</f>
        <v>1.8752416286278208</v>
      </c>
      <c r="D5" s="810">
        <f t="shared" si="0"/>
        <v>571.94869673148537</v>
      </c>
      <c r="E5" s="810">
        <v>0</v>
      </c>
      <c r="F5" s="811">
        <f>E5*$F$36</f>
        <v>0</v>
      </c>
      <c r="G5" s="12"/>
      <c r="H5" s="736">
        <v>286</v>
      </c>
      <c r="I5" s="737">
        <v>0</v>
      </c>
      <c r="J5" s="735">
        <f>'17 R1 INV'!J35</f>
        <v>571.94869673148537</v>
      </c>
      <c r="K5" s="765">
        <v>0</v>
      </c>
      <c r="L5" s="16"/>
      <c r="M5" s="16"/>
      <c r="N5" s="16"/>
      <c r="O5" s="16"/>
      <c r="Q5" s="122">
        <v>38327.664104859141</v>
      </c>
      <c r="R5" s="120">
        <v>195.66410485914443</v>
      </c>
      <c r="S5" s="120">
        <v>285.95401151099077</v>
      </c>
      <c r="T5" s="149">
        <f t="shared" ref="T5:T33" si="1">ROUND(R5,0)</f>
        <v>196</v>
      </c>
      <c r="U5" s="149">
        <f t="shared" ref="U5:U33" si="2">ROUND(S5,0)</f>
        <v>286</v>
      </c>
    </row>
    <row r="6" spans="2:21" ht="20.25" customHeight="1">
      <c r="B6" s="35">
        <v>3</v>
      </c>
      <c r="C6" s="767">
        <f>'17 R1 INV'!K35/'17 R1 INV'!F35</f>
        <v>30.887878136493772</v>
      </c>
      <c r="D6" s="810">
        <f t="shared" si="0"/>
        <v>9420.8028316306008</v>
      </c>
      <c r="E6" s="810">
        <v>0</v>
      </c>
      <c r="F6" s="811">
        <f t="shared" ref="F6:F33" si="3">E6*$F$36</f>
        <v>0</v>
      </c>
      <c r="G6" s="10"/>
      <c r="H6" s="736">
        <v>330</v>
      </c>
      <c r="I6" s="737">
        <v>0</v>
      </c>
      <c r="J6" s="735">
        <f>'17 R1 INV'!K35</f>
        <v>9420.8028316306008</v>
      </c>
      <c r="K6" s="765">
        <v>0</v>
      </c>
      <c r="L6" s="16"/>
      <c r="M6" s="16"/>
      <c r="N6" s="16"/>
      <c r="O6" s="16"/>
      <c r="Q6" s="122">
        <v>38519.800339002082</v>
      </c>
      <c r="R6" s="120">
        <v>192.13623414294241</v>
      </c>
      <c r="S6" s="120">
        <v>330.36900700367505</v>
      </c>
      <c r="T6" s="149">
        <f t="shared" si="1"/>
        <v>192</v>
      </c>
      <c r="U6" s="149">
        <f t="shared" si="2"/>
        <v>330</v>
      </c>
    </row>
    <row r="7" spans="2:21" ht="20.25" customHeight="1">
      <c r="B7" s="25">
        <v>4</v>
      </c>
      <c r="C7" s="898">
        <v>0</v>
      </c>
      <c r="D7" s="899">
        <f t="shared" si="0"/>
        <v>0</v>
      </c>
      <c r="E7" s="900">
        <v>4</v>
      </c>
      <c r="F7" s="901">
        <f t="shared" si="3"/>
        <v>816</v>
      </c>
      <c r="G7" s="10"/>
      <c r="H7" s="736">
        <v>209</v>
      </c>
      <c r="I7" s="737">
        <v>4</v>
      </c>
      <c r="J7" s="739"/>
      <c r="K7" s="738"/>
      <c r="L7" s="16"/>
      <c r="M7" s="16"/>
      <c r="N7" s="16"/>
      <c r="O7" s="16"/>
      <c r="Q7" s="122">
        <v>38708.610635030127</v>
      </c>
      <c r="R7" s="120">
        <v>188.81029602804722</v>
      </c>
      <c r="S7" s="120">
        <v>209.22197663130237</v>
      </c>
      <c r="T7" s="149">
        <f t="shared" si="1"/>
        <v>189</v>
      </c>
      <c r="U7" s="149">
        <f t="shared" si="2"/>
        <v>209</v>
      </c>
    </row>
    <row r="8" spans="2:21" ht="20.25" customHeight="1">
      <c r="B8" s="25">
        <v>5</v>
      </c>
      <c r="C8" s="898">
        <v>0</v>
      </c>
      <c r="D8" s="899">
        <f t="shared" si="0"/>
        <v>0</v>
      </c>
      <c r="E8" s="900">
        <v>4</v>
      </c>
      <c r="F8" s="901">
        <f t="shared" si="3"/>
        <v>816</v>
      </c>
      <c r="G8" s="10"/>
      <c r="H8" s="736">
        <v>209</v>
      </c>
      <c r="I8" s="737">
        <v>4</v>
      </c>
      <c r="J8" s="739"/>
      <c r="K8" s="738"/>
      <c r="L8" s="16"/>
      <c r="M8" s="16"/>
      <c r="N8" s="16"/>
      <c r="O8" s="16"/>
      <c r="Q8" s="122">
        <v>39326.494275579178</v>
      </c>
      <c r="R8" s="120">
        <v>617.88364054905037</v>
      </c>
      <c r="S8" s="120">
        <v>209.47143922058058</v>
      </c>
      <c r="T8" s="149">
        <f t="shared" si="1"/>
        <v>618</v>
      </c>
      <c r="U8" s="149">
        <f t="shared" si="2"/>
        <v>209</v>
      </c>
    </row>
    <row r="9" spans="2:21" ht="20.25" customHeight="1">
      <c r="B9" s="25">
        <v>6</v>
      </c>
      <c r="C9" s="898">
        <v>0</v>
      </c>
      <c r="D9" s="899">
        <f t="shared" si="0"/>
        <v>0</v>
      </c>
      <c r="E9" s="900">
        <v>87</v>
      </c>
      <c r="F9" s="901">
        <f t="shared" si="3"/>
        <v>17748</v>
      </c>
      <c r="G9" s="1661"/>
      <c r="H9" s="736">
        <v>292</v>
      </c>
      <c r="I9" s="737">
        <v>87</v>
      </c>
      <c r="J9" s="739"/>
      <c r="K9" s="738"/>
      <c r="L9" s="16"/>
      <c r="M9" s="16"/>
      <c r="N9" s="16"/>
      <c r="O9" s="16"/>
      <c r="Q9" s="122">
        <v>41299.434528163794</v>
      </c>
      <c r="R9" s="120">
        <v>1972.9402525846133</v>
      </c>
      <c r="S9" s="120">
        <v>292.22177120171955</v>
      </c>
      <c r="T9" s="149">
        <f t="shared" si="1"/>
        <v>1973</v>
      </c>
      <c r="U9" s="149">
        <f t="shared" si="2"/>
        <v>292</v>
      </c>
    </row>
    <row r="10" spans="2:21" ht="20.25" customHeight="1">
      <c r="B10" s="25">
        <v>7</v>
      </c>
      <c r="C10" s="902">
        <v>3971</v>
      </c>
      <c r="D10" s="903">
        <f t="shared" si="0"/>
        <v>1211155</v>
      </c>
      <c r="E10" s="900">
        <v>418</v>
      </c>
      <c r="F10" s="901">
        <f t="shared" si="3"/>
        <v>85272</v>
      </c>
      <c r="G10" s="1661"/>
      <c r="H10" s="736">
        <v>293</v>
      </c>
      <c r="I10" s="737">
        <v>418</v>
      </c>
      <c r="J10" s="739"/>
      <c r="K10" s="738"/>
      <c r="L10" s="16"/>
      <c r="M10" s="16"/>
      <c r="N10" s="16"/>
      <c r="O10" s="16"/>
      <c r="Q10" s="122">
        <v>43165.584863437267</v>
      </c>
      <c r="R10" s="120">
        <v>1866.1503352734762</v>
      </c>
      <c r="S10" s="120">
        <v>292.53125910131121</v>
      </c>
      <c r="T10" s="149">
        <f t="shared" si="1"/>
        <v>1866</v>
      </c>
      <c r="U10" s="149">
        <f t="shared" si="2"/>
        <v>293</v>
      </c>
    </row>
    <row r="11" spans="2:21" ht="20.25" customHeight="1">
      <c r="B11" s="25">
        <v>8</v>
      </c>
      <c r="C11" s="902">
        <v>521</v>
      </c>
      <c r="D11" s="903">
        <f t="shared" si="0"/>
        <v>158905</v>
      </c>
      <c r="E11" s="900">
        <v>170</v>
      </c>
      <c r="F11" s="901">
        <f t="shared" si="3"/>
        <v>34680</v>
      </c>
      <c r="G11" s="1661"/>
      <c r="H11" s="740">
        <v>252</v>
      </c>
      <c r="I11" s="737">
        <v>170</v>
      </c>
      <c r="J11" s="741"/>
      <c r="K11" s="742"/>
      <c r="L11" s="543"/>
      <c r="M11" s="543"/>
      <c r="N11" s="543"/>
      <c r="O11" s="543"/>
      <c r="Q11" s="122">
        <v>45100.003971600563</v>
      </c>
      <c r="R11" s="120">
        <v>1934.4191081632962</v>
      </c>
      <c r="S11" s="120">
        <v>252.32617710283557</v>
      </c>
      <c r="T11" s="149">
        <f t="shared" si="1"/>
        <v>1934</v>
      </c>
      <c r="U11" s="149">
        <f t="shared" si="2"/>
        <v>252</v>
      </c>
    </row>
    <row r="12" spans="2:21" ht="20.25" customHeight="1">
      <c r="B12" s="25">
        <v>9</v>
      </c>
      <c r="C12" s="902">
        <v>142</v>
      </c>
      <c r="D12" s="903">
        <f t="shared" si="0"/>
        <v>43310</v>
      </c>
      <c r="E12" s="900">
        <v>129</v>
      </c>
      <c r="F12" s="901">
        <f t="shared" si="3"/>
        <v>26316</v>
      </c>
      <c r="G12" s="1661"/>
      <c r="H12" s="743">
        <v>6</v>
      </c>
      <c r="I12" s="737">
        <v>129</v>
      </c>
      <c r="J12" s="744"/>
      <c r="K12" s="745"/>
      <c r="L12" s="542"/>
      <c r="M12" s="542"/>
      <c r="N12" s="542"/>
      <c r="O12" s="542"/>
      <c r="Q12" s="122">
        <v>45168.272744490379</v>
      </c>
      <c r="R12" s="120">
        <v>68.268772889816319</v>
      </c>
      <c r="S12" s="120">
        <v>6.2335309617919847</v>
      </c>
      <c r="T12" s="149">
        <f t="shared" si="1"/>
        <v>68</v>
      </c>
      <c r="U12" s="149">
        <f t="shared" si="2"/>
        <v>6</v>
      </c>
    </row>
    <row r="13" spans="2:21" ht="20.25" customHeight="1">
      <c r="B13" s="25">
        <v>10</v>
      </c>
      <c r="C13" s="902">
        <v>1619</v>
      </c>
      <c r="D13" s="903">
        <f t="shared" si="0"/>
        <v>493795</v>
      </c>
      <c r="E13" s="900">
        <v>171</v>
      </c>
      <c r="F13" s="901">
        <f t="shared" si="3"/>
        <v>34884</v>
      </c>
      <c r="G13" s="1661"/>
      <c r="H13" s="746">
        <v>7</v>
      </c>
      <c r="I13" s="737">
        <v>171</v>
      </c>
      <c r="J13" s="747"/>
      <c r="K13" s="748"/>
      <c r="L13" s="10"/>
      <c r="M13" s="10"/>
      <c r="N13" s="10"/>
      <c r="O13" s="10"/>
      <c r="Q13" s="122">
        <v>45240.193521667075</v>
      </c>
      <c r="R13" s="120">
        <v>71.920777176695992</v>
      </c>
      <c r="S13" s="120">
        <v>6.5365612648220122</v>
      </c>
      <c r="T13" s="149">
        <f t="shared" si="1"/>
        <v>72</v>
      </c>
      <c r="U13" s="149">
        <f t="shared" si="2"/>
        <v>7</v>
      </c>
    </row>
    <row r="14" spans="2:21" ht="20.25" customHeight="1">
      <c r="B14" s="25">
        <v>11</v>
      </c>
      <c r="C14" s="902">
        <v>7334</v>
      </c>
      <c r="D14" s="903">
        <f t="shared" si="0"/>
        <v>2236870</v>
      </c>
      <c r="E14" s="900">
        <v>338</v>
      </c>
      <c r="F14" s="901">
        <f t="shared" si="3"/>
        <v>68952</v>
      </c>
      <c r="G14" s="1661"/>
      <c r="H14" s="746">
        <v>6</v>
      </c>
      <c r="I14" s="737">
        <v>338</v>
      </c>
      <c r="J14" s="747"/>
      <c r="K14" s="748"/>
      <c r="L14" s="10"/>
      <c r="M14" s="10"/>
      <c r="N14" s="10"/>
      <c r="O14" s="10"/>
      <c r="Q14" s="122">
        <v>45310.512049473924</v>
      </c>
      <c r="R14" s="120">
        <v>70.318527806848579</v>
      </c>
      <c r="S14" s="120">
        <v>6.4340198321888238</v>
      </c>
      <c r="T14" s="149">
        <f t="shared" si="1"/>
        <v>70</v>
      </c>
      <c r="U14" s="149">
        <f t="shared" si="2"/>
        <v>6</v>
      </c>
    </row>
    <row r="15" spans="2:21" ht="20.25" customHeight="1">
      <c r="B15" s="25">
        <v>12</v>
      </c>
      <c r="C15" s="902">
        <v>5253</v>
      </c>
      <c r="D15" s="903">
        <f t="shared" si="0"/>
        <v>1602165</v>
      </c>
      <c r="E15" s="900">
        <v>509</v>
      </c>
      <c r="F15" s="901">
        <f t="shared" si="3"/>
        <v>103836</v>
      </c>
      <c r="G15" s="12"/>
      <c r="H15" s="749">
        <v>6</v>
      </c>
      <c r="I15" s="737">
        <v>509</v>
      </c>
      <c r="J15" s="747"/>
      <c r="K15" s="748"/>
      <c r="L15" s="10"/>
      <c r="M15" s="10"/>
      <c r="N15" s="10"/>
      <c r="O15" s="10"/>
      <c r="Q15" s="122">
        <v>45375.128197235383</v>
      </c>
      <c r="R15" s="120">
        <v>64.616147761458706</v>
      </c>
      <c r="S15" s="120">
        <v>5.9305006587619573</v>
      </c>
      <c r="T15" s="149">
        <f t="shared" si="1"/>
        <v>65</v>
      </c>
      <c r="U15" s="149">
        <f t="shared" si="2"/>
        <v>6</v>
      </c>
    </row>
    <row r="16" spans="2:21" ht="20.25" customHeight="1">
      <c r="B16" s="25">
        <v>13</v>
      </c>
      <c r="C16" s="768">
        <v>65</v>
      </c>
      <c r="D16" s="805">
        <f t="shared" si="0"/>
        <v>19825</v>
      </c>
      <c r="E16" s="766">
        <v>6</v>
      </c>
      <c r="F16" s="807">
        <f t="shared" si="3"/>
        <v>1224</v>
      </c>
      <c r="G16" s="12"/>
      <c r="H16" s="746">
        <v>6</v>
      </c>
      <c r="I16" s="750">
        <v>6</v>
      </c>
      <c r="J16" s="747"/>
      <c r="K16" s="748"/>
      <c r="L16" s="10"/>
      <c r="M16" s="10"/>
      <c r="N16" s="10"/>
      <c r="O16" s="10"/>
      <c r="Q16" s="122">
        <v>45439.744344996827</v>
      </c>
      <c r="R16" s="120">
        <v>64.616147761444154</v>
      </c>
      <c r="S16" s="120">
        <v>5.9305006587610478</v>
      </c>
      <c r="T16" s="149">
        <f t="shared" si="1"/>
        <v>65</v>
      </c>
      <c r="U16" s="149">
        <f t="shared" si="2"/>
        <v>6</v>
      </c>
    </row>
    <row r="17" spans="2:21" ht="20.25" customHeight="1">
      <c r="B17" s="25">
        <v>14</v>
      </c>
      <c r="C17" s="768">
        <v>65</v>
      </c>
      <c r="D17" s="805">
        <f t="shared" si="0"/>
        <v>19825</v>
      </c>
      <c r="E17" s="766">
        <v>6</v>
      </c>
      <c r="F17" s="807">
        <f t="shared" si="3"/>
        <v>1224</v>
      </c>
      <c r="G17" s="1661"/>
      <c r="H17" s="746">
        <v>6</v>
      </c>
      <c r="I17" s="750">
        <v>6</v>
      </c>
      <c r="J17" s="747"/>
      <c r="K17" s="748"/>
      <c r="L17" s="10"/>
      <c r="M17" s="10"/>
      <c r="N17" s="10"/>
      <c r="O17" s="10"/>
      <c r="Q17" s="122">
        <v>45504.360492758271</v>
      </c>
      <c r="R17" s="120">
        <v>64.616147761444154</v>
      </c>
      <c r="S17" s="120">
        <v>5.9305006587619573</v>
      </c>
      <c r="T17" s="149">
        <f t="shared" si="1"/>
        <v>65</v>
      </c>
      <c r="U17" s="149">
        <f t="shared" si="2"/>
        <v>6</v>
      </c>
    </row>
    <row r="18" spans="2:21" ht="20.25" customHeight="1">
      <c r="B18" s="25">
        <v>15</v>
      </c>
      <c r="C18" s="768">
        <v>65</v>
      </c>
      <c r="D18" s="805">
        <f t="shared" si="0"/>
        <v>19825</v>
      </c>
      <c r="E18" s="766">
        <v>6</v>
      </c>
      <c r="F18" s="807">
        <f t="shared" si="3"/>
        <v>1224</v>
      </c>
      <c r="G18" s="1661"/>
      <c r="H18" s="746">
        <v>6</v>
      </c>
      <c r="I18" s="750">
        <v>6</v>
      </c>
      <c r="J18" s="747"/>
      <c r="K18" s="748"/>
      <c r="L18" s="10"/>
      <c r="M18" s="10"/>
      <c r="N18" s="10"/>
      <c r="O18" s="10"/>
      <c r="Q18" s="122">
        <v>45568.976640519715</v>
      </c>
      <c r="R18" s="120">
        <v>64.616147761444154</v>
      </c>
      <c r="S18" s="120">
        <v>5.9305006587619573</v>
      </c>
      <c r="T18" s="149">
        <f t="shared" si="1"/>
        <v>65</v>
      </c>
      <c r="U18" s="149">
        <f t="shared" si="2"/>
        <v>6</v>
      </c>
    </row>
    <row r="19" spans="2:21" ht="20.25" customHeight="1">
      <c r="B19" s="25">
        <v>16</v>
      </c>
      <c r="C19" s="768">
        <v>53</v>
      </c>
      <c r="D19" s="805">
        <f t="shared" si="0"/>
        <v>16165</v>
      </c>
      <c r="E19" s="766">
        <v>5</v>
      </c>
      <c r="F19" s="807">
        <f t="shared" si="3"/>
        <v>1020</v>
      </c>
      <c r="G19" s="1661"/>
      <c r="H19" s="746">
        <v>5</v>
      </c>
      <c r="I19" s="750">
        <v>5</v>
      </c>
      <c r="J19" s="747"/>
      <c r="K19" s="748"/>
      <c r="L19" s="10"/>
      <c r="M19" s="10"/>
      <c r="N19" s="10"/>
      <c r="O19" s="10"/>
      <c r="Q19" s="122">
        <v>45622.444048532969</v>
      </c>
      <c r="R19" s="120">
        <v>53.467408013253589</v>
      </c>
      <c r="S19" s="120">
        <v>4.7321614312459133</v>
      </c>
      <c r="T19" s="149">
        <f t="shared" si="1"/>
        <v>53</v>
      </c>
      <c r="U19" s="149">
        <f t="shared" si="2"/>
        <v>5</v>
      </c>
    </row>
    <row r="20" spans="2:21" ht="20.25" customHeight="1">
      <c r="B20" s="25">
        <v>17</v>
      </c>
      <c r="C20" s="768">
        <v>53</v>
      </c>
      <c r="D20" s="805">
        <f t="shared" si="0"/>
        <v>16165</v>
      </c>
      <c r="E20" s="766">
        <v>5</v>
      </c>
      <c r="F20" s="807">
        <f t="shared" si="3"/>
        <v>1020</v>
      </c>
      <c r="G20" s="1661"/>
      <c r="H20" s="746">
        <v>5</v>
      </c>
      <c r="I20" s="750">
        <v>5</v>
      </c>
      <c r="J20" s="747"/>
      <c r="K20" s="748"/>
      <c r="L20" s="10"/>
      <c r="M20" s="10"/>
      <c r="N20" s="10"/>
      <c r="O20" s="10"/>
      <c r="Q20" s="122">
        <v>45675.203334655584</v>
      </c>
      <c r="R20" s="120">
        <v>52.759286122614867</v>
      </c>
      <c r="S20" s="120">
        <v>4.8255148741418452</v>
      </c>
      <c r="T20" s="149">
        <f t="shared" si="1"/>
        <v>53</v>
      </c>
      <c r="U20" s="149">
        <f t="shared" si="2"/>
        <v>5</v>
      </c>
    </row>
    <row r="21" spans="2:21" ht="20.25" customHeight="1">
      <c r="B21" s="25">
        <v>18</v>
      </c>
      <c r="C21" s="768">
        <v>53</v>
      </c>
      <c r="D21" s="805">
        <f t="shared" si="0"/>
        <v>16165</v>
      </c>
      <c r="E21" s="766">
        <v>5</v>
      </c>
      <c r="F21" s="807">
        <f t="shared" si="3"/>
        <v>1020</v>
      </c>
      <c r="G21" s="1661"/>
      <c r="H21" s="746">
        <v>5</v>
      </c>
      <c r="I21" s="750">
        <v>5</v>
      </c>
      <c r="J21" s="747"/>
      <c r="K21" s="748"/>
      <c r="L21" s="10"/>
      <c r="M21" s="10"/>
      <c r="N21" s="10"/>
      <c r="O21" s="10"/>
      <c r="Q21" s="122">
        <v>45727.962620778198</v>
      </c>
      <c r="R21" s="120">
        <v>52.759286122614867</v>
      </c>
      <c r="S21" s="120">
        <v>4.8255148741418452</v>
      </c>
      <c r="T21" s="149">
        <f t="shared" si="1"/>
        <v>53</v>
      </c>
      <c r="U21" s="149">
        <f t="shared" si="2"/>
        <v>5</v>
      </c>
    </row>
    <row r="22" spans="2:21" s="3" customFormat="1" ht="20.25" customHeight="1">
      <c r="B22" s="25">
        <v>19</v>
      </c>
      <c r="C22" s="768">
        <v>53</v>
      </c>
      <c r="D22" s="805">
        <f t="shared" si="0"/>
        <v>16165</v>
      </c>
      <c r="E22" s="766">
        <v>5</v>
      </c>
      <c r="F22" s="807">
        <f t="shared" si="3"/>
        <v>1020</v>
      </c>
      <c r="G22" s="12"/>
      <c r="H22" s="746">
        <v>5</v>
      </c>
      <c r="I22" s="750">
        <v>5</v>
      </c>
      <c r="J22" s="747"/>
      <c r="K22" s="748"/>
      <c r="L22" s="10"/>
      <c r="M22" s="10"/>
      <c r="N22" s="10"/>
      <c r="O22" s="10"/>
      <c r="Q22" s="122">
        <v>45780.721906900813</v>
      </c>
      <c r="R22" s="120">
        <v>52.759286122614867</v>
      </c>
      <c r="S22" s="120">
        <v>4.8255148741418452</v>
      </c>
      <c r="T22" s="149">
        <f t="shared" si="1"/>
        <v>53</v>
      </c>
      <c r="U22" s="149">
        <f t="shared" si="2"/>
        <v>5</v>
      </c>
    </row>
    <row r="23" spans="2:21" ht="20.25" customHeight="1">
      <c r="B23" s="25">
        <v>20</v>
      </c>
      <c r="C23" s="768">
        <v>53</v>
      </c>
      <c r="D23" s="805">
        <f t="shared" si="0"/>
        <v>16165</v>
      </c>
      <c r="E23" s="766">
        <v>5</v>
      </c>
      <c r="F23" s="807">
        <f t="shared" si="3"/>
        <v>1020</v>
      </c>
      <c r="G23" s="12"/>
      <c r="H23" s="746">
        <v>5</v>
      </c>
      <c r="I23" s="750">
        <v>5</v>
      </c>
      <c r="J23" s="747"/>
      <c r="K23" s="748"/>
      <c r="L23" s="10"/>
      <c r="M23" s="10"/>
      <c r="N23" s="10"/>
      <c r="O23" s="10"/>
      <c r="Q23" s="122">
        <v>45833.481193023428</v>
      </c>
      <c r="R23" s="120">
        <v>52.759286122614867</v>
      </c>
      <c r="S23" s="120">
        <v>4.8255148741418452</v>
      </c>
      <c r="T23" s="149">
        <f t="shared" si="1"/>
        <v>53</v>
      </c>
      <c r="U23" s="149">
        <f t="shared" si="2"/>
        <v>5</v>
      </c>
    </row>
    <row r="24" spans="2:21" ht="20.25" customHeight="1">
      <c r="B24" s="25">
        <v>21</v>
      </c>
      <c r="C24" s="768">
        <v>66</v>
      </c>
      <c r="D24" s="805">
        <f t="shared" si="0"/>
        <v>20130</v>
      </c>
      <c r="E24" s="766">
        <v>6</v>
      </c>
      <c r="F24" s="807">
        <f t="shared" si="3"/>
        <v>1224</v>
      </c>
      <c r="G24" s="12"/>
      <c r="H24" s="746">
        <v>6</v>
      </c>
      <c r="I24" s="750">
        <v>6</v>
      </c>
      <c r="J24" s="747"/>
      <c r="K24" s="748"/>
      <c r="L24" s="10"/>
      <c r="M24" s="10"/>
      <c r="N24" s="10"/>
      <c r="O24" s="10"/>
      <c r="Q24" s="122">
        <v>45899.252663806234</v>
      </c>
      <c r="R24" s="120">
        <v>65.771470782805409</v>
      </c>
      <c r="S24" s="120">
        <v>5.935094653629676</v>
      </c>
      <c r="T24" s="149">
        <f t="shared" si="1"/>
        <v>66</v>
      </c>
      <c r="U24" s="149">
        <f t="shared" si="2"/>
        <v>6</v>
      </c>
    </row>
    <row r="25" spans="2:21" ht="20.25" customHeight="1">
      <c r="B25" s="25">
        <v>22</v>
      </c>
      <c r="C25" s="768">
        <v>45</v>
      </c>
      <c r="D25" s="805">
        <f t="shared" si="0"/>
        <v>13725</v>
      </c>
      <c r="E25" s="766">
        <v>4</v>
      </c>
      <c r="F25" s="807">
        <f t="shared" si="3"/>
        <v>816</v>
      </c>
      <c r="G25" s="1661"/>
      <c r="H25" s="751">
        <v>4</v>
      </c>
      <c r="I25" s="750">
        <v>4</v>
      </c>
      <c r="J25" s="752"/>
      <c r="K25" s="753"/>
      <c r="L25" s="13"/>
      <c r="M25" s="13"/>
      <c r="N25" s="13"/>
      <c r="O25" s="13"/>
      <c r="Q25" s="122">
        <v>45944.253159166648</v>
      </c>
      <c r="R25" s="120">
        <v>45.000495360414789</v>
      </c>
      <c r="S25" s="120">
        <v>4.1215068303172302</v>
      </c>
      <c r="T25" s="149">
        <f t="shared" si="1"/>
        <v>45</v>
      </c>
      <c r="U25" s="149">
        <f t="shared" si="2"/>
        <v>4</v>
      </c>
    </row>
    <row r="26" spans="2:21" s="3" customFormat="1" ht="20.25" customHeight="1">
      <c r="B26" s="25">
        <v>23</v>
      </c>
      <c r="C26" s="768">
        <v>45</v>
      </c>
      <c r="D26" s="805">
        <f t="shared" si="0"/>
        <v>13725</v>
      </c>
      <c r="E26" s="766">
        <v>4</v>
      </c>
      <c r="F26" s="807">
        <f t="shared" si="3"/>
        <v>816</v>
      </c>
      <c r="G26" s="1661"/>
      <c r="H26" s="751">
        <v>4</v>
      </c>
      <c r="I26" s="750">
        <v>4</v>
      </c>
      <c r="J26" s="752"/>
      <c r="K26" s="753"/>
      <c r="L26" s="13"/>
      <c r="M26" s="13"/>
      <c r="N26" s="13"/>
      <c r="O26" s="13"/>
      <c r="Q26" s="122">
        <v>45989.253654527085</v>
      </c>
      <c r="R26" s="120">
        <v>45.000495360436616</v>
      </c>
      <c r="S26" s="120">
        <v>4.1215068303172302</v>
      </c>
      <c r="T26" s="149">
        <f t="shared" si="1"/>
        <v>45</v>
      </c>
      <c r="U26" s="149">
        <f t="shared" si="2"/>
        <v>4</v>
      </c>
    </row>
    <row r="27" spans="2:21" s="3" customFormat="1" ht="20.25" customHeight="1">
      <c r="B27" s="25">
        <v>24</v>
      </c>
      <c r="C27" s="768">
        <v>45</v>
      </c>
      <c r="D27" s="805">
        <f t="shared" si="0"/>
        <v>13725</v>
      </c>
      <c r="E27" s="766">
        <v>4</v>
      </c>
      <c r="F27" s="807">
        <f t="shared" si="3"/>
        <v>816</v>
      </c>
      <c r="G27" s="1661"/>
      <c r="H27" s="751">
        <v>4</v>
      </c>
      <c r="I27" s="750">
        <v>4</v>
      </c>
      <c r="J27" s="752"/>
      <c r="K27" s="753"/>
      <c r="L27" s="13"/>
      <c r="M27" s="13"/>
      <c r="N27" s="13"/>
      <c r="O27" s="13"/>
      <c r="Q27" s="122">
        <v>46034.2541498875</v>
      </c>
      <c r="R27" s="120">
        <v>45.000495360414789</v>
      </c>
      <c r="S27" s="120">
        <v>4.1215068303172302</v>
      </c>
      <c r="T27" s="149">
        <f t="shared" si="1"/>
        <v>45</v>
      </c>
      <c r="U27" s="149">
        <f t="shared" si="2"/>
        <v>4</v>
      </c>
    </row>
    <row r="28" spans="2:21" ht="20.25" customHeight="1">
      <c r="B28" s="25">
        <v>25</v>
      </c>
      <c r="C28" s="768">
        <v>45</v>
      </c>
      <c r="D28" s="805">
        <f t="shared" si="0"/>
        <v>13725</v>
      </c>
      <c r="E28" s="766">
        <v>4</v>
      </c>
      <c r="F28" s="807">
        <f t="shared" si="3"/>
        <v>816</v>
      </c>
      <c r="G28" s="1661"/>
      <c r="H28" s="751">
        <v>4</v>
      </c>
      <c r="I28" s="750">
        <v>4</v>
      </c>
      <c r="J28" s="752"/>
      <c r="K28" s="753"/>
      <c r="L28" s="13"/>
      <c r="M28" s="13"/>
      <c r="N28" s="13"/>
      <c r="O28" s="13"/>
      <c r="Q28" s="122">
        <v>46079.254645247915</v>
      </c>
      <c r="R28" s="120">
        <v>45.000495360414789</v>
      </c>
      <c r="S28" s="120">
        <v>4.1215068303163207</v>
      </c>
      <c r="T28" s="149">
        <f t="shared" si="1"/>
        <v>45</v>
      </c>
      <c r="U28" s="149">
        <f t="shared" si="2"/>
        <v>4</v>
      </c>
    </row>
    <row r="29" spans="2:21" ht="20.25" customHeight="1">
      <c r="B29" s="25">
        <v>26</v>
      </c>
      <c r="C29" s="768">
        <v>66</v>
      </c>
      <c r="D29" s="805">
        <f t="shared" si="0"/>
        <v>20130</v>
      </c>
      <c r="E29" s="766">
        <v>6</v>
      </c>
      <c r="F29" s="807">
        <f t="shared" si="3"/>
        <v>1224</v>
      </c>
      <c r="G29" s="1661"/>
      <c r="H29" s="751">
        <v>6</v>
      </c>
      <c r="I29" s="750">
        <v>6</v>
      </c>
      <c r="J29" s="752"/>
      <c r="K29" s="753"/>
      <c r="L29" s="13"/>
      <c r="M29" s="13"/>
      <c r="N29" s="13"/>
      <c r="O29" s="13"/>
      <c r="Q29" s="122">
        <v>46145.026232413162</v>
      </c>
      <c r="R29" s="120">
        <v>65.771587165247183</v>
      </c>
      <c r="S29" s="120">
        <v>5.9350946536305855</v>
      </c>
      <c r="T29" s="149">
        <f t="shared" si="1"/>
        <v>66</v>
      </c>
      <c r="U29" s="149">
        <f t="shared" si="2"/>
        <v>6</v>
      </c>
    </row>
    <row r="30" spans="2:21" ht="20.25" customHeight="1">
      <c r="B30" s="25">
        <v>27</v>
      </c>
      <c r="C30" s="768">
        <v>47</v>
      </c>
      <c r="D30" s="805">
        <f t="shared" si="0"/>
        <v>14335</v>
      </c>
      <c r="E30" s="766">
        <v>4</v>
      </c>
      <c r="F30" s="807">
        <f t="shared" si="3"/>
        <v>816</v>
      </c>
      <c r="G30" s="1661"/>
      <c r="H30" s="751">
        <v>4</v>
      </c>
      <c r="I30" s="750">
        <v>4</v>
      </c>
      <c r="J30" s="752"/>
      <c r="K30" s="753"/>
      <c r="L30" s="13"/>
      <c r="M30" s="13"/>
      <c r="N30" s="13"/>
      <c r="O30" s="13"/>
      <c r="Q30" s="122">
        <v>46192.078605045601</v>
      </c>
      <c r="R30" s="120">
        <v>47.052372632439074</v>
      </c>
      <c r="S30" s="120">
        <v>4.3219957007140692</v>
      </c>
      <c r="T30" s="149">
        <f t="shared" si="1"/>
        <v>47</v>
      </c>
      <c r="U30" s="149">
        <f t="shared" si="2"/>
        <v>4</v>
      </c>
    </row>
    <row r="31" spans="2:21" ht="20.25" customHeight="1">
      <c r="B31" s="25">
        <v>28</v>
      </c>
      <c r="C31" s="768">
        <v>49</v>
      </c>
      <c r="D31" s="805">
        <f t="shared" si="0"/>
        <v>14945</v>
      </c>
      <c r="E31" s="766">
        <v>4</v>
      </c>
      <c r="F31" s="807">
        <f t="shared" si="3"/>
        <v>816</v>
      </c>
      <c r="G31" s="1661"/>
      <c r="H31" s="751">
        <v>4</v>
      </c>
      <c r="I31" s="750">
        <v>4</v>
      </c>
      <c r="J31" s="752"/>
      <c r="K31" s="753"/>
      <c r="L31" s="13"/>
      <c r="M31" s="13"/>
      <c r="N31" s="13"/>
      <c r="O31" s="13"/>
      <c r="Q31" s="122">
        <v>46240.734906004662</v>
      </c>
      <c r="R31" s="120">
        <v>48.6563009590609</v>
      </c>
      <c r="S31" s="120">
        <v>4.4245371333472576</v>
      </c>
      <c r="T31" s="149">
        <f t="shared" si="1"/>
        <v>49</v>
      </c>
      <c r="U31" s="149">
        <f t="shared" si="2"/>
        <v>4</v>
      </c>
    </row>
    <row r="32" spans="2:21" ht="20.25" customHeight="1">
      <c r="B32" s="25">
        <v>29</v>
      </c>
      <c r="C32" s="768">
        <v>51</v>
      </c>
      <c r="D32" s="805">
        <f t="shared" si="0"/>
        <v>15555</v>
      </c>
      <c r="E32" s="766">
        <v>5</v>
      </c>
      <c r="F32" s="807">
        <f t="shared" si="3"/>
        <v>1020</v>
      </c>
      <c r="G32" s="1661"/>
      <c r="H32" s="751">
        <v>5</v>
      </c>
      <c r="I32" s="750">
        <v>5</v>
      </c>
      <c r="J32" s="752"/>
      <c r="K32" s="753"/>
      <c r="L32" s="13"/>
      <c r="M32" s="13"/>
      <c r="N32" s="13"/>
      <c r="O32" s="13"/>
      <c r="Q32" s="122">
        <v>46291.442792512105</v>
      </c>
      <c r="R32" s="120">
        <v>50.707886507443618</v>
      </c>
      <c r="S32" s="120">
        <v>4.6250260037450062</v>
      </c>
      <c r="T32" s="149">
        <f t="shared" si="1"/>
        <v>51</v>
      </c>
      <c r="U32" s="149">
        <f t="shared" si="2"/>
        <v>5</v>
      </c>
    </row>
    <row r="33" spans="2:21" ht="20.25" customHeight="1" thickBot="1">
      <c r="B33" s="26">
        <v>30</v>
      </c>
      <c r="C33" s="769">
        <v>27</v>
      </c>
      <c r="D33" s="806">
        <f t="shared" si="0"/>
        <v>8235</v>
      </c>
      <c r="E33" s="904">
        <v>41</v>
      </c>
      <c r="F33" s="905">
        <f t="shared" si="3"/>
        <v>8364</v>
      </c>
      <c r="G33" s="1661"/>
      <c r="H33" s="754">
        <v>3</v>
      </c>
      <c r="I33" s="755">
        <v>41</v>
      </c>
      <c r="J33" s="756"/>
      <c r="K33" s="757"/>
      <c r="L33" s="13"/>
      <c r="M33" s="13"/>
      <c r="N33" s="13"/>
      <c r="O33" s="13"/>
      <c r="Q33" s="124">
        <v>46318.864284598305</v>
      </c>
      <c r="R33" s="123">
        <v>27.421492086199578</v>
      </c>
      <c r="S33" s="123">
        <v>2.5130018722693421</v>
      </c>
      <c r="T33" s="149">
        <f t="shared" si="1"/>
        <v>27</v>
      </c>
      <c r="U33" s="149">
        <f t="shared" si="2"/>
        <v>3</v>
      </c>
    </row>
    <row r="34" spans="2:21" ht="20.25" customHeight="1">
      <c r="B34" s="602"/>
      <c r="C34" s="130"/>
      <c r="D34" s="127"/>
      <c r="E34" s="130"/>
      <c r="F34" s="127"/>
      <c r="G34" s="23"/>
      <c r="H34" s="13"/>
      <c r="I34" s="13"/>
      <c r="J34" s="13"/>
      <c r="K34" s="13"/>
      <c r="L34" s="13"/>
      <c r="M34" s="13"/>
      <c r="N34" s="13"/>
      <c r="O34" s="13"/>
      <c r="Q34" s="603"/>
      <c r="R34" s="603"/>
      <c r="S34" s="603"/>
      <c r="T34" s="149"/>
      <c r="U34" s="149"/>
    </row>
    <row r="35" spans="2:21">
      <c r="C35" s="809">
        <f>SUM(C4:C33)</f>
        <v>19942.956974156499</v>
      </c>
      <c r="D35" s="808">
        <f>SUM(D4:D33)</f>
        <v>6082601.8771177325</v>
      </c>
      <c r="E35" s="809">
        <f>SUM(E4:E33)</f>
        <v>1955</v>
      </c>
      <c r="F35" s="808">
        <f>SUM(F4:F33)</f>
        <v>398820</v>
      </c>
      <c r="G35" s="23"/>
      <c r="H35" s="15">
        <f>SUM(H4:H33)</f>
        <v>1987</v>
      </c>
      <c r="I35" s="604">
        <f>SUM(I4:I34)</f>
        <v>1955</v>
      </c>
      <c r="J35" s="13"/>
      <c r="K35" s="13"/>
      <c r="L35" s="13"/>
      <c r="M35" s="13"/>
      <c r="N35" s="13"/>
      <c r="O35" s="13"/>
    </row>
    <row r="36" spans="2:21" ht="26.25" customHeight="1">
      <c r="D36" s="131">
        <v>305</v>
      </c>
      <c r="E36" s="6">
        <v>1987</v>
      </c>
      <c r="F36" s="131">
        <v>204</v>
      </c>
      <c r="G36" s="23"/>
      <c r="H36" s="13"/>
      <c r="I36" s="13"/>
      <c r="J36" s="13"/>
      <c r="K36" s="13"/>
      <c r="L36" s="13"/>
      <c r="M36" s="13"/>
      <c r="N36" s="13"/>
      <c r="O36" s="13"/>
    </row>
    <row r="37" spans="2:21">
      <c r="D37" s="575">
        <f>D35/D36</f>
        <v>19942.956974156499</v>
      </c>
      <c r="G37" s="13"/>
      <c r="H37" s="13"/>
      <c r="I37" s="13"/>
      <c r="J37" s="13"/>
      <c r="K37" s="13"/>
      <c r="L37" s="13"/>
      <c r="M37" s="13"/>
      <c r="N37" s="13"/>
      <c r="O37" s="13"/>
    </row>
    <row r="38" spans="2:21">
      <c r="H38" s="13"/>
      <c r="I38" s="13"/>
      <c r="J38" s="13"/>
      <c r="K38" s="13"/>
      <c r="L38" s="13"/>
      <c r="M38" s="13"/>
      <c r="N38" s="13"/>
      <c r="O38" s="13"/>
    </row>
    <row r="39" spans="2:21">
      <c r="H39" s="13"/>
      <c r="I39" s="13"/>
      <c r="J39" s="13"/>
      <c r="K39" s="13"/>
      <c r="L39" s="13"/>
      <c r="M39" s="13"/>
      <c r="N39" s="13"/>
      <c r="O39" s="13"/>
    </row>
  </sheetData>
  <mergeCells count="16">
    <mergeCell ref="G9:G10"/>
    <mergeCell ref="G31:G33"/>
    <mergeCell ref="G11:G12"/>
    <mergeCell ref="G13:G14"/>
    <mergeCell ref="G17:G19"/>
    <mergeCell ref="G20:G21"/>
    <mergeCell ref="G25:G26"/>
    <mergeCell ref="G27:G30"/>
    <mergeCell ref="Q2:Q3"/>
    <mergeCell ref="R2:R3"/>
    <mergeCell ref="S2:S3"/>
    <mergeCell ref="B2:B3"/>
    <mergeCell ref="C2:C3"/>
    <mergeCell ref="D2:D3"/>
    <mergeCell ref="E2:E3"/>
    <mergeCell ref="F2:F3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B1:S35"/>
  <sheetViews>
    <sheetView workbookViewId="0">
      <selection activeCell="B20" sqref="B20"/>
    </sheetView>
  </sheetViews>
  <sheetFormatPr defaultColWidth="11.5703125" defaultRowHeight="14.25"/>
  <cols>
    <col min="1" max="1" width="7" style="41" customWidth="1"/>
    <col min="2" max="2" width="9" style="41" customWidth="1"/>
    <col min="3" max="10" width="17" style="41" customWidth="1"/>
    <col min="11" max="12" width="11.5703125" style="41"/>
    <col min="13" max="18" width="16.140625" style="41" hidden="1" customWidth="1"/>
    <col min="19" max="19" width="15" style="41" hidden="1" customWidth="1"/>
    <col min="20" max="16384" width="11.5703125" style="41"/>
  </cols>
  <sheetData>
    <row r="1" spans="2:19" ht="15.75" thickBot="1">
      <c r="B1" s="1572" t="s">
        <v>48</v>
      </c>
      <c r="C1" s="1572"/>
      <c r="D1" s="1572"/>
      <c r="E1" s="1572"/>
      <c r="F1" s="1572"/>
      <c r="G1" s="1572"/>
      <c r="H1" s="1572"/>
      <c r="I1" s="1572"/>
      <c r="J1" s="1572"/>
    </row>
    <row r="2" spans="2:19">
      <c r="B2" s="1663" t="s">
        <v>1</v>
      </c>
      <c r="C2" s="1630" t="s">
        <v>2</v>
      </c>
      <c r="D2" s="1636" t="s">
        <v>19</v>
      </c>
      <c r="E2" s="1630" t="s">
        <v>20</v>
      </c>
      <c r="F2" s="1665" t="s">
        <v>16</v>
      </c>
      <c r="G2" s="1630" t="s">
        <v>31</v>
      </c>
      <c r="H2" s="1636" t="s">
        <v>21</v>
      </c>
      <c r="I2" s="1630" t="s">
        <v>3</v>
      </c>
      <c r="J2" s="1632" t="s">
        <v>32</v>
      </c>
      <c r="M2" s="1667">
        <v>0.88</v>
      </c>
      <c r="N2" s="1662" t="s">
        <v>85</v>
      </c>
      <c r="O2" s="1662"/>
      <c r="P2" s="1662" t="s">
        <v>86</v>
      </c>
      <c r="Q2" s="1662"/>
      <c r="R2" s="1662"/>
    </row>
    <row r="3" spans="2:19" s="89" customFormat="1" ht="15.75" thickBot="1">
      <c r="B3" s="1664"/>
      <c r="C3" s="1631"/>
      <c r="D3" s="1637"/>
      <c r="E3" s="1631"/>
      <c r="F3" s="1666"/>
      <c r="G3" s="1631"/>
      <c r="H3" s="1637"/>
      <c r="I3" s="1631"/>
      <c r="J3" s="1633"/>
      <c r="K3" s="132"/>
      <c r="L3" s="132"/>
      <c r="M3" s="1667"/>
      <c r="N3" s="1662"/>
      <c r="O3" s="1662"/>
      <c r="P3" s="1662"/>
      <c r="Q3" s="1662"/>
      <c r="R3" s="1662"/>
    </row>
    <row r="4" spans="2:19" ht="15">
      <c r="B4" s="415">
        <v>1</v>
      </c>
      <c r="C4" s="1002">
        <v>11</v>
      </c>
      <c r="D4" s="1003">
        <f>O4*$M$2</f>
        <v>40939.142400000004</v>
      </c>
      <c r="E4" s="1003">
        <f>D4*C4</f>
        <v>450330.56640000007</v>
      </c>
      <c r="F4" s="1002">
        <v>6</v>
      </c>
      <c r="G4" s="447">
        <f>Q4*$M$2</f>
        <v>37153.248</v>
      </c>
      <c r="H4" s="1004">
        <f>G4*F4</f>
        <v>222919.48800000001</v>
      </c>
      <c r="I4" s="1002">
        <f>C4+F4</f>
        <v>17</v>
      </c>
      <c r="J4" s="1005">
        <f>E4+H4</f>
        <v>673250.05440000002</v>
      </c>
      <c r="K4" s="109"/>
      <c r="L4" s="109"/>
      <c r="M4" s="133"/>
      <c r="N4" s="108">
        <v>511739.28</v>
      </c>
      <c r="O4" s="133">
        <f>N4/C4</f>
        <v>46521.752727272731</v>
      </c>
      <c r="P4" s="133">
        <v>253317.6</v>
      </c>
      <c r="Q4" s="108">
        <f>P4/F4</f>
        <v>42219.6</v>
      </c>
      <c r="R4" s="133">
        <f>SUM(N4:P4)</f>
        <v>811578.63272727269</v>
      </c>
      <c r="S4" s="135"/>
    </row>
    <row r="5" spans="2:19" ht="15">
      <c r="B5" s="416">
        <v>2</v>
      </c>
      <c r="C5" s="108">
        <v>11</v>
      </c>
      <c r="D5" s="107">
        <f t="shared" ref="D5:D33" si="0">O5*$M$2</f>
        <v>40939.142400000004</v>
      </c>
      <c r="E5" s="107">
        <f t="shared" ref="E5:E32" si="1">D5*C5</f>
        <v>450330.56640000007</v>
      </c>
      <c r="F5" s="108">
        <v>6</v>
      </c>
      <c r="G5" s="448">
        <f t="shared" ref="G5:G33" si="2">Q5*$M$2</f>
        <v>37153.248</v>
      </c>
      <c r="H5" s="133">
        <f t="shared" ref="H5:H33" si="3">G5*F5</f>
        <v>222919.48800000001</v>
      </c>
      <c r="I5" s="108">
        <f t="shared" ref="I5:I33" si="4">C5+F5</f>
        <v>17</v>
      </c>
      <c r="J5" s="1006">
        <f t="shared" ref="J5:J33" si="5">E5+H5</f>
        <v>673250.05440000002</v>
      </c>
      <c r="K5" s="109"/>
      <c r="L5" s="109"/>
      <c r="M5" s="133"/>
      <c r="N5" s="108">
        <v>511739.28</v>
      </c>
      <c r="O5" s="133">
        <f t="shared" ref="O5:O33" si="6">N5/C5</f>
        <v>46521.752727272731</v>
      </c>
      <c r="P5" s="133">
        <v>253317.6</v>
      </c>
      <c r="Q5" s="108">
        <f t="shared" ref="Q5:Q33" si="7">P5/F5</f>
        <v>42219.6</v>
      </c>
      <c r="R5" s="133">
        <f t="shared" ref="R5:R33" si="8">SUM(N5:P5)</f>
        <v>811578.63272727269</v>
      </c>
    </row>
    <row r="6" spans="2:19" ht="15">
      <c r="B6" s="416">
        <v>3</v>
      </c>
      <c r="C6" s="108">
        <v>11</v>
      </c>
      <c r="D6" s="107">
        <f t="shared" si="0"/>
        <v>40939.142400000004</v>
      </c>
      <c r="E6" s="107">
        <f t="shared" si="1"/>
        <v>450330.56640000007</v>
      </c>
      <c r="F6" s="108">
        <v>6</v>
      </c>
      <c r="G6" s="448">
        <f t="shared" si="2"/>
        <v>37153.248</v>
      </c>
      <c r="H6" s="133">
        <f t="shared" si="3"/>
        <v>222919.48800000001</v>
      </c>
      <c r="I6" s="108">
        <f t="shared" si="4"/>
        <v>17</v>
      </c>
      <c r="J6" s="1006">
        <f t="shared" si="5"/>
        <v>673250.05440000002</v>
      </c>
      <c r="K6" s="109"/>
      <c r="L6" s="109"/>
      <c r="M6" s="133"/>
      <c r="N6" s="108">
        <v>511739.28</v>
      </c>
      <c r="O6" s="133">
        <f t="shared" si="6"/>
        <v>46521.752727272731</v>
      </c>
      <c r="P6" s="133">
        <v>253317.6</v>
      </c>
      <c r="Q6" s="108">
        <f t="shared" si="7"/>
        <v>42219.6</v>
      </c>
      <c r="R6" s="133">
        <f t="shared" si="8"/>
        <v>811578.63272727269</v>
      </c>
    </row>
    <row r="7" spans="2:19" ht="15">
      <c r="B7" s="416">
        <v>4</v>
      </c>
      <c r="C7" s="108">
        <v>11</v>
      </c>
      <c r="D7" s="107">
        <f t="shared" si="0"/>
        <v>40939.142400000004</v>
      </c>
      <c r="E7" s="107">
        <f t="shared" si="1"/>
        <v>450330.56640000007</v>
      </c>
      <c r="F7" s="108">
        <f>F6</f>
        <v>6</v>
      </c>
      <c r="G7" s="448">
        <f t="shared" si="2"/>
        <v>37153.248</v>
      </c>
      <c r="H7" s="133">
        <f t="shared" si="3"/>
        <v>222919.48800000001</v>
      </c>
      <c r="I7" s="108">
        <f t="shared" si="4"/>
        <v>17</v>
      </c>
      <c r="J7" s="1006">
        <f t="shared" si="5"/>
        <v>673250.05440000002</v>
      </c>
      <c r="K7" s="109"/>
      <c r="L7" s="109"/>
      <c r="M7" s="133"/>
      <c r="N7" s="108">
        <v>511739.28</v>
      </c>
      <c r="O7" s="133">
        <f t="shared" si="6"/>
        <v>46521.752727272731</v>
      </c>
      <c r="P7" s="133">
        <v>253317.6</v>
      </c>
      <c r="Q7" s="108">
        <f t="shared" si="7"/>
        <v>42219.6</v>
      </c>
      <c r="R7" s="133">
        <f t="shared" si="8"/>
        <v>811578.63272727269</v>
      </c>
    </row>
    <row r="8" spans="2:19" ht="15">
      <c r="B8" s="416">
        <v>5</v>
      </c>
      <c r="C8" s="108">
        <v>13</v>
      </c>
      <c r="D8" s="107">
        <f t="shared" si="0"/>
        <v>36883.456246153852</v>
      </c>
      <c r="E8" s="107">
        <f t="shared" si="1"/>
        <v>479484.93120000005</v>
      </c>
      <c r="F8" s="108">
        <f t="shared" ref="F8:F33" si="9">F7</f>
        <v>6</v>
      </c>
      <c r="G8" s="448">
        <f t="shared" si="2"/>
        <v>37153.248</v>
      </c>
      <c r="H8" s="133">
        <f t="shared" si="3"/>
        <v>222919.48800000001</v>
      </c>
      <c r="I8" s="108">
        <f t="shared" si="4"/>
        <v>19</v>
      </c>
      <c r="J8" s="1006">
        <f t="shared" si="5"/>
        <v>702404.41920000012</v>
      </c>
      <c r="K8" s="109"/>
      <c r="L8" s="109"/>
      <c r="M8" s="133"/>
      <c r="N8" s="108">
        <v>544869.24000000011</v>
      </c>
      <c r="O8" s="133">
        <f t="shared" si="6"/>
        <v>41913.018461538471</v>
      </c>
      <c r="P8" s="133">
        <v>253317.6</v>
      </c>
      <c r="Q8" s="108">
        <f t="shared" si="7"/>
        <v>42219.6</v>
      </c>
      <c r="R8" s="133">
        <f t="shared" si="8"/>
        <v>840099.85846153856</v>
      </c>
    </row>
    <row r="9" spans="2:19" ht="15">
      <c r="B9" s="416">
        <v>6</v>
      </c>
      <c r="C9" s="108">
        <v>13</v>
      </c>
      <c r="D9" s="107">
        <f t="shared" si="0"/>
        <v>36883.456246153852</v>
      </c>
      <c r="E9" s="107">
        <f t="shared" si="1"/>
        <v>479484.93120000005</v>
      </c>
      <c r="F9" s="108">
        <f t="shared" si="9"/>
        <v>6</v>
      </c>
      <c r="G9" s="448">
        <f t="shared" si="2"/>
        <v>37153.248</v>
      </c>
      <c r="H9" s="133">
        <f t="shared" si="3"/>
        <v>222919.48800000001</v>
      </c>
      <c r="I9" s="108">
        <f t="shared" si="4"/>
        <v>19</v>
      </c>
      <c r="J9" s="1006">
        <f t="shared" si="5"/>
        <v>702404.41920000012</v>
      </c>
      <c r="K9" s="109"/>
      <c r="L9" s="109"/>
      <c r="M9" s="133"/>
      <c r="N9" s="108">
        <v>544869.24000000011</v>
      </c>
      <c r="O9" s="133">
        <f t="shared" si="6"/>
        <v>41913.018461538471</v>
      </c>
      <c r="P9" s="133">
        <v>253317.6</v>
      </c>
      <c r="Q9" s="108">
        <f t="shared" si="7"/>
        <v>42219.6</v>
      </c>
      <c r="R9" s="133">
        <f t="shared" si="8"/>
        <v>840099.85846153856</v>
      </c>
    </row>
    <row r="10" spans="2:19" ht="15">
      <c r="B10" s="416">
        <v>7</v>
      </c>
      <c r="C10" s="108">
        <v>13</v>
      </c>
      <c r="D10" s="107">
        <f t="shared" si="0"/>
        <v>36883.456246153852</v>
      </c>
      <c r="E10" s="107">
        <f t="shared" si="1"/>
        <v>479484.93120000005</v>
      </c>
      <c r="F10" s="108">
        <f t="shared" si="9"/>
        <v>6</v>
      </c>
      <c r="G10" s="448">
        <f t="shared" si="2"/>
        <v>37153.248</v>
      </c>
      <c r="H10" s="133">
        <f t="shared" si="3"/>
        <v>222919.48800000001</v>
      </c>
      <c r="I10" s="108">
        <f t="shared" si="4"/>
        <v>19</v>
      </c>
      <c r="J10" s="1006">
        <f t="shared" si="5"/>
        <v>702404.41920000012</v>
      </c>
      <c r="K10" s="109"/>
      <c r="L10" s="109"/>
      <c r="M10" s="133"/>
      <c r="N10" s="108">
        <v>544869.24000000011</v>
      </c>
      <c r="O10" s="133">
        <f t="shared" si="6"/>
        <v>41913.018461538471</v>
      </c>
      <c r="P10" s="133">
        <v>253317.6</v>
      </c>
      <c r="Q10" s="108">
        <f t="shared" si="7"/>
        <v>42219.6</v>
      </c>
      <c r="R10" s="133">
        <f t="shared" si="8"/>
        <v>840099.85846153856</v>
      </c>
    </row>
    <row r="11" spans="2:19" ht="15">
      <c r="B11" s="416">
        <v>8</v>
      </c>
      <c r="C11" s="108">
        <v>13</v>
      </c>
      <c r="D11" s="107">
        <f t="shared" si="0"/>
        <v>36883.456246153852</v>
      </c>
      <c r="E11" s="107">
        <f t="shared" si="1"/>
        <v>479484.93120000005</v>
      </c>
      <c r="F11" s="108">
        <f t="shared" si="9"/>
        <v>6</v>
      </c>
      <c r="G11" s="448">
        <f t="shared" si="2"/>
        <v>37153.248</v>
      </c>
      <c r="H11" s="133">
        <f t="shared" si="3"/>
        <v>222919.48800000001</v>
      </c>
      <c r="I11" s="108">
        <f t="shared" si="4"/>
        <v>19</v>
      </c>
      <c r="J11" s="1006">
        <f t="shared" si="5"/>
        <v>702404.41920000012</v>
      </c>
      <c r="K11" s="109"/>
      <c r="L11" s="109"/>
      <c r="M11" s="133"/>
      <c r="N11" s="108">
        <v>544869.24000000011</v>
      </c>
      <c r="O11" s="133">
        <f t="shared" si="6"/>
        <v>41913.018461538471</v>
      </c>
      <c r="P11" s="133">
        <v>253317.6</v>
      </c>
      <c r="Q11" s="108">
        <f t="shared" si="7"/>
        <v>42219.6</v>
      </c>
      <c r="R11" s="133">
        <f t="shared" si="8"/>
        <v>840099.85846153856</v>
      </c>
    </row>
    <row r="12" spans="2:19" ht="15">
      <c r="B12" s="416">
        <v>9</v>
      </c>
      <c r="C12" s="108">
        <v>13</v>
      </c>
      <c r="D12" s="107">
        <f t="shared" si="0"/>
        <v>36883.456246153852</v>
      </c>
      <c r="E12" s="107">
        <f t="shared" si="1"/>
        <v>479484.93120000005</v>
      </c>
      <c r="F12" s="108">
        <f t="shared" si="9"/>
        <v>6</v>
      </c>
      <c r="G12" s="448">
        <f t="shared" si="2"/>
        <v>37153.248</v>
      </c>
      <c r="H12" s="133">
        <f t="shared" si="3"/>
        <v>222919.48800000001</v>
      </c>
      <c r="I12" s="108">
        <f t="shared" si="4"/>
        <v>19</v>
      </c>
      <c r="J12" s="1006">
        <f t="shared" si="5"/>
        <v>702404.41920000012</v>
      </c>
      <c r="K12" s="109"/>
      <c r="L12" s="109"/>
      <c r="M12" s="133"/>
      <c r="N12" s="108">
        <v>544869.24000000011</v>
      </c>
      <c r="O12" s="133">
        <f t="shared" si="6"/>
        <v>41913.018461538471</v>
      </c>
      <c r="P12" s="133">
        <v>253317.6</v>
      </c>
      <c r="Q12" s="108">
        <f t="shared" si="7"/>
        <v>42219.6</v>
      </c>
      <c r="R12" s="133">
        <f t="shared" si="8"/>
        <v>840099.85846153856</v>
      </c>
    </row>
    <row r="13" spans="2:19" ht="15">
      <c r="B13" s="416">
        <v>10</v>
      </c>
      <c r="C13" s="108">
        <v>13</v>
      </c>
      <c r="D13" s="107">
        <f t="shared" si="0"/>
        <v>36883.456246153852</v>
      </c>
      <c r="E13" s="107">
        <f t="shared" si="1"/>
        <v>479484.93120000005</v>
      </c>
      <c r="F13" s="108">
        <f t="shared" si="9"/>
        <v>6</v>
      </c>
      <c r="G13" s="448">
        <f t="shared" si="2"/>
        <v>37153.248</v>
      </c>
      <c r="H13" s="133">
        <f t="shared" si="3"/>
        <v>222919.48800000001</v>
      </c>
      <c r="I13" s="108">
        <f t="shared" si="4"/>
        <v>19</v>
      </c>
      <c r="J13" s="1006">
        <f t="shared" si="5"/>
        <v>702404.41920000012</v>
      </c>
      <c r="K13" s="109"/>
      <c r="L13" s="109"/>
      <c r="M13" s="133"/>
      <c r="N13" s="108">
        <v>544869.24000000011</v>
      </c>
      <c r="O13" s="133">
        <f t="shared" si="6"/>
        <v>41913.018461538471</v>
      </c>
      <c r="P13" s="133">
        <v>253317.6</v>
      </c>
      <c r="Q13" s="108">
        <f t="shared" si="7"/>
        <v>42219.6</v>
      </c>
      <c r="R13" s="133">
        <f t="shared" si="8"/>
        <v>840099.85846153856</v>
      </c>
    </row>
    <row r="14" spans="2:19" ht="15">
      <c r="B14" s="416">
        <v>11</v>
      </c>
      <c r="C14" s="108">
        <v>13</v>
      </c>
      <c r="D14" s="107">
        <f t="shared" si="0"/>
        <v>36883.456246153852</v>
      </c>
      <c r="E14" s="107">
        <f t="shared" si="1"/>
        <v>479484.93120000005</v>
      </c>
      <c r="F14" s="108">
        <f t="shared" si="9"/>
        <v>6</v>
      </c>
      <c r="G14" s="448">
        <f t="shared" si="2"/>
        <v>37153.248</v>
      </c>
      <c r="H14" s="133">
        <f t="shared" si="3"/>
        <v>222919.48800000001</v>
      </c>
      <c r="I14" s="108">
        <f t="shared" si="4"/>
        <v>19</v>
      </c>
      <c r="J14" s="1006">
        <f t="shared" si="5"/>
        <v>702404.41920000012</v>
      </c>
      <c r="K14" s="109"/>
      <c r="L14" s="109"/>
      <c r="M14" s="133"/>
      <c r="N14" s="108">
        <v>544869.24000000011</v>
      </c>
      <c r="O14" s="133">
        <f t="shared" si="6"/>
        <v>41913.018461538471</v>
      </c>
      <c r="P14" s="133">
        <v>253317.6</v>
      </c>
      <c r="Q14" s="108">
        <f t="shared" si="7"/>
        <v>42219.6</v>
      </c>
      <c r="R14" s="133">
        <f t="shared" si="8"/>
        <v>840099.85846153856</v>
      </c>
    </row>
    <row r="15" spans="2:19" ht="15">
      <c r="B15" s="416">
        <v>12</v>
      </c>
      <c r="C15" s="108">
        <v>13</v>
      </c>
      <c r="D15" s="107">
        <f t="shared" si="0"/>
        <v>36883.456246153852</v>
      </c>
      <c r="E15" s="107">
        <f t="shared" si="1"/>
        <v>479484.93120000005</v>
      </c>
      <c r="F15" s="108">
        <f t="shared" si="9"/>
        <v>6</v>
      </c>
      <c r="G15" s="448">
        <f t="shared" si="2"/>
        <v>37153.248</v>
      </c>
      <c r="H15" s="133">
        <f t="shared" si="3"/>
        <v>222919.48800000001</v>
      </c>
      <c r="I15" s="108">
        <f t="shared" si="4"/>
        <v>19</v>
      </c>
      <c r="J15" s="1006">
        <f t="shared" si="5"/>
        <v>702404.41920000012</v>
      </c>
      <c r="K15" s="109"/>
      <c r="M15" s="133"/>
      <c r="N15" s="108">
        <v>544869.24000000011</v>
      </c>
      <c r="O15" s="133">
        <f t="shared" si="6"/>
        <v>41913.018461538471</v>
      </c>
      <c r="P15" s="133">
        <v>253317.6</v>
      </c>
      <c r="Q15" s="108">
        <f t="shared" si="7"/>
        <v>42219.6</v>
      </c>
      <c r="R15" s="133">
        <f t="shared" si="8"/>
        <v>840099.85846153856</v>
      </c>
    </row>
    <row r="16" spans="2:19" ht="15">
      <c r="B16" s="416">
        <v>13</v>
      </c>
      <c r="C16" s="108">
        <f>C15</f>
        <v>13</v>
      </c>
      <c r="D16" s="107">
        <f t="shared" si="0"/>
        <v>36883.456246153852</v>
      </c>
      <c r="E16" s="107">
        <f t="shared" si="1"/>
        <v>479484.93120000005</v>
      </c>
      <c r="F16" s="108">
        <f t="shared" si="9"/>
        <v>6</v>
      </c>
      <c r="G16" s="448">
        <f t="shared" si="2"/>
        <v>37153.248</v>
      </c>
      <c r="H16" s="133">
        <f t="shared" si="3"/>
        <v>222919.48800000001</v>
      </c>
      <c r="I16" s="108">
        <f t="shared" si="4"/>
        <v>19</v>
      </c>
      <c r="J16" s="1006">
        <f t="shared" si="5"/>
        <v>702404.41920000012</v>
      </c>
      <c r="K16" s="109"/>
      <c r="L16" s="109"/>
      <c r="M16" s="133"/>
      <c r="N16" s="108">
        <v>544869.24000000011</v>
      </c>
      <c r="O16" s="133">
        <f t="shared" si="6"/>
        <v>41913.018461538471</v>
      </c>
      <c r="P16" s="133">
        <v>253317.6</v>
      </c>
      <c r="Q16" s="108">
        <f t="shared" si="7"/>
        <v>42219.6</v>
      </c>
      <c r="R16" s="133">
        <f t="shared" si="8"/>
        <v>840099.85846153856</v>
      </c>
    </row>
    <row r="17" spans="2:18" ht="15">
      <c r="B17" s="416">
        <v>14</v>
      </c>
      <c r="C17" s="108">
        <f t="shared" ref="C17:C33" si="10">C16</f>
        <v>13</v>
      </c>
      <c r="D17" s="107">
        <f t="shared" si="0"/>
        <v>36883.456246153852</v>
      </c>
      <c r="E17" s="107">
        <f t="shared" si="1"/>
        <v>479484.93120000005</v>
      </c>
      <c r="F17" s="108">
        <f t="shared" si="9"/>
        <v>6</v>
      </c>
      <c r="G17" s="448">
        <f t="shared" si="2"/>
        <v>37153.248</v>
      </c>
      <c r="H17" s="133">
        <f t="shared" si="3"/>
        <v>222919.48800000001</v>
      </c>
      <c r="I17" s="108">
        <f t="shared" si="4"/>
        <v>19</v>
      </c>
      <c r="J17" s="1006">
        <f t="shared" si="5"/>
        <v>702404.41920000012</v>
      </c>
      <c r="K17" s="109"/>
      <c r="L17" s="109"/>
      <c r="M17" s="133"/>
      <c r="N17" s="108">
        <v>544869.24000000011</v>
      </c>
      <c r="O17" s="133">
        <f t="shared" si="6"/>
        <v>41913.018461538471</v>
      </c>
      <c r="P17" s="133">
        <v>253317.6</v>
      </c>
      <c r="Q17" s="108">
        <f t="shared" si="7"/>
        <v>42219.6</v>
      </c>
      <c r="R17" s="133">
        <f t="shared" si="8"/>
        <v>840099.85846153856</v>
      </c>
    </row>
    <row r="18" spans="2:18" ht="15">
      <c r="B18" s="416">
        <v>15</v>
      </c>
      <c r="C18" s="108">
        <f t="shared" si="10"/>
        <v>13</v>
      </c>
      <c r="D18" s="107">
        <f t="shared" si="0"/>
        <v>36883.456246153852</v>
      </c>
      <c r="E18" s="107">
        <f t="shared" si="1"/>
        <v>479484.93120000005</v>
      </c>
      <c r="F18" s="108">
        <f t="shared" si="9"/>
        <v>6</v>
      </c>
      <c r="G18" s="448">
        <f t="shared" si="2"/>
        <v>37153.248</v>
      </c>
      <c r="H18" s="133">
        <f t="shared" si="3"/>
        <v>222919.48800000001</v>
      </c>
      <c r="I18" s="108">
        <f t="shared" si="4"/>
        <v>19</v>
      </c>
      <c r="J18" s="1006">
        <f t="shared" si="5"/>
        <v>702404.41920000012</v>
      </c>
      <c r="K18" s="109"/>
      <c r="L18" s="109"/>
      <c r="M18" s="133"/>
      <c r="N18" s="108">
        <v>544869.24000000011</v>
      </c>
      <c r="O18" s="133">
        <f t="shared" si="6"/>
        <v>41913.018461538471</v>
      </c>
      <c r="P18" s="133">
        <v>253317.6</v>
      </c>
      <c r="Q18" s="108">
        <f t="shared" si="7"/>
        <v>42219.6</v>
      </c>
      <c r="R18" s="133">
        <f t="shared" si="8"/>
        <v>840099.85846153856</v>
      </c>
    </row>
    <row r="19" spans="2:18" ht="15">
      <c r="B19" s="416">
        <v>16</v>
      </c>
      <c r="C19" s="108">
        <f t="shared" si="10"/>
        <v>13</v>
      </c>
      <c r="D19" s="107">
        <f t="shared" si="0"/>
        <v>36883.456246153852</v>
      </c>
      <c r="E19" s="107">
        <f t="shared" si="1"/>
        <v>479484.93120000005</v>
      </c>
      <c r="F19" s="108">
        <f t="shared" si="9"/>
        <v>6</v>
      </c>
      <c r="G19" s="448">
        <f t="shared" si="2"/>
        <v>37153.248</v>
      </c>
      <c r="H19" s="133">
        <f t="shared" si="3"/>
        <v>222919.48800000001</v>
      </c>
      <c r="I19" s="108">
        <f t="shared" si="4"/>
        <v>19</v>
      </c>
      <c r="J19" s="1006">
        <f t="shared" si="5"/>
        <v>702404.41920000012</v>
      </c>
      <c r="K19" s="109"/>
      <c r="L19" s="109"/>
      <c r="M19" s="133"/>
      <c r="N19" s="108">
        <v>544869.24000000011</v>
      </c>
      <c r="O19" s="133">
        <f t="shared" si="6"/>
        <v>41913.018461538471</v>
      </c>
      <c r="P19" s="133">
        <v>253317.6</v>
      </c>
      <c r="Q19" s="108">
        <f t="shared" si="7"/>
        <v>42219.6</v>
      </c>
      <c r="R19" s="133">
        <f t="shared" si="8"/>
        <v>840099.85846153856</v>
      </c>
    </row>
    <row r="20" spans="2:18" ht="15">
      <c r="B20" s="416">
        <v>17</v>
      </c>
      <c r="C20" s="108">
        <f t="shared" si="10"/>
        <v>13</v>
      </c>
      <c r="D20" s="107">
        <f t="shared" si="0"/>
        <v>36883.456246153852</v>
      </c>
      <c r="E20" s="107">
        <f t="shared" si="1"/>
        <v>479484.93120000005</v>
      </c>
      <c r="F20" s="108">
        <f t="shared" si="9"/>
        <v>6</v>
      </c>
      <c r="G20" s="448">
        <f t="shared" si="2"/>
        <v>37153.248</v>
      </c>
      <c r="H20" s="133">
        <f t="shared" si="3"/>
        <v>222919.48800000001</v>
      </c>
      <c r="I20" s="108">
        <f t="shared" si="4"/>
        <v>19</v>
      </c>
      <c r="J20" s="1006">
        <f t="shared" si="5"/>
        <v>702404.41920000012</v>
      </c>
      <c r="K20" s="109"/>
      <c r="L20" s="109"/>
      <c r="M20" s="133"/>
      <c r="N20" s="108">
        <v>544869.24000000011</v>
      </c>
      <c r="O20" s="133">
        <f t="shared" si="6"/>
        <v>41913.018461538471</v>
      </c>
      <c r="P20" s="133">
        <v>253317.6</v>
      </c>
      <c r="Q20" s="108">
        <f t="shared" si="7"/>
        <v>42219.6</v>
      </c>
      <c r="R20" s="133">
        <f t="shared" si="8"/>
        <v>840099.85846153856</v>
      </c>
    </row>
    <row r="21" spans="2:18" ht="15">
      <c r="B21" s="416">
        <v>18</v>
      </c>
      <c r="C21" s="108">
        <f t="shared" si="10"/>
        <v>13</v>
      </c>
      <c r="D21" s="107">
        <f t="shared" si="0"/>
        <v>36883.456246153852</v>
      </c>
      <c r="E21" s="107">
        <f t="shared" si="1"/>
        <v>479484.93120000005</v>
      </c>
      <c r="F21" s="108">
        <f t="shared" si="9"/>
        <v>6</v>
      </c>
      <c r="G21" s="448">
        <f t="shared" si="2"/>
        <v>37153.248</v>
      </c>
      <c r="H21" s="133">
        <f t="shared" si="3"/>
        <v>222919.48800000001</v>
      </c>
      <c r="I21" s="108">
        <f t="shared" si="4"/>
        <v>19</v>
      </c>
      <c r="J21" s="1006">
        <f t="shared" si="5"/>
        <v>702404.41920000012</v>
      </c>
      <c r="K21" s="109"/>
      <c r="L21" s="109"/>
      <c r="M21" s="133"/>
      <c r="N21" s="108">
        <v>544869.24000000011</v>
      </c>
      <c r="O21" s="133">
        <f t="shared" si="6"/>
        <v>41913.018461538471</v>
      </c>
      <c r="P21" s="133">
        <v>253317.6</v>
      </c>
      <c r="Q21" s="108">
        <f t="shared" si="7"/>
        <v>42219.6</v>
      </c>
      <c r="R21" s="133">
        <f t="shared" si="8"/>
        <v>840099.85846153856</v>
      </c>
    </row>
    <row r="22" spans="2:18" s="89" customFormat="1" ht="15">
      <c r="B22" s="416">
        <v>19</v>
      </c>
      <c r="C22" s="108">
        <f t="shared" si="10"/>
        <v>13</v>
      </c>
      <c r="D22" s="107">
        <f t="shared" si="0"/>
        <v>36883.456246153852</v>
      </c>
      <c r="E22" s="107">
        <f t="shared" si="1"/>
        <v>479484.93120000005</v>
      </c>
      <c r="F22" s="108">
        <f t="shared" si="9"/>
        <v>6</v>
      </c>
      <c r="G22" s="448">
        <f t="shared" si="2"/>
        <v>37153.248</v>
      </c>
      <c r="H22" s="133">
        <f t="shared" si="3"/>
        <v>222919.48800000001</v>
      </c>
      <c r="I22" s="108">
        <f t="shared" si="4"/>
        <v>19</v>
      </c>
      <c r="J22" s="1006">
        <f t="shared" si="5"/>
        <v>702404.41920000012</v>
      </c>
      <c r="K22" s="109"/>
      <c r="L22" s="109"/>
      <c r="M22" s="133"/>
      <c r="N22" s="108">
        <v>544869.24000000011</v>
      </c>
      <c r="O22" s="133">
        <f t="shared" si="6"/>
        <v>41913.018461538471</v>
      </c>
      <c r="P22" s="133">
        <v>253317.6</v>
      </c>
      <c r="Q22" s="108">
        <f t="shared" si="7"/>
        <v>42219.6</v>
      </c>
      <c r="R22" s="133">
        <f t="shared" si="8"/>
        <v>840099.85846153856</v>
      </c>
    </row>
    <row r="23" spans="2:18" ht="15">
      <c r="B23" s="416">
        <v>20</v>
      </c>
      <c r="C23" s="108">
        <f t="shared" si="10"/>
        <v>13</v>
      </c>
      <c r="D23" s="107">
        <f t="shared" si="0"/>
        <v>36883.456246153852</v>
      </c>
      <c r="E23" s="107">
        <f t="shared" si="1"/>
        <v>479484.93120000005</v>
      </c>
      <c r="F23" s="108">
        <f t="shared" si="9"/>
        <v>6</v>
      </c>
      <c r="G23" s="448">
        <f t="shared" si="2"/>
        <v>37153.248</v>
      </c>
      <c r="H23" s="133">
        <f t="shared" si="3"/>
        <v>222919.48800000001</v>
      </c>
      <c r="I23" s="108">
        <f t="shared" si="4"/>
        <v>19</v>
      </c>
      <c r="J23" s="1006">
        <f t="shared" si="5"/>
        <v>702404.41920000012</v>
      </c>
      <c r="K23" s="109"/>
      <c r="L23" s="109"/>
      <c r="M23" s="133"/>
      <c r="N23" s="108">
        <v>544869.24000000011</v>
      </c>
      <c r="O23" s="133">
        <f t="shared" si="6"/>
        <v>41913.018461538471</v>
      </c>
      <c r="P23" s="133">
        <v>253317.6</v>
      </c>
      <c r="Q23" s="108">
        <f t="shared" si="7"/>
        <v>42219.6</v>
      </c>
      <c r="R23" s="133">
        <f t="shared" si="8"/>
        <v>840099.85846153856</v>
      </c>
    </row>
    <row r="24" spans="2:18" ht="15">
      <c r="B24" s="416">
        <v>21</v>
      </c>
      <c r="C24" s="108">
        <f t="shared" si="10"/>
        <v>13</v>
      </c>
      <c r="D24" s="107">
        <f t="shared" si="0"/>
        <v>36883.456246153852</v>
      </c>
      <c r="E24" s="107">
        <f t="shared" si="1"/>
        <v>479484.93120000005</v>
      </c>
      <c r="F24" s="108">
        <f t="shared" si="9"/>
        <v>6</v>
      </c>
      <c r="G24" s="448">
        <f t="shared" si="2"/>
        <v>37153.248</v>
      </c>
      <c r="H24" s="133">
        <f t="shared" si="3"/>
        <v>222919.48800000001</v>
      </c>
      <c r="I24" s="108">
        <f t="shared" si="4"/>
        <v>19</v>
      </c>
      <c r="J24" s="1006">
        <f t="shared" si="5"/>
        <v>702404.41920000012</v>
      </c>
      <c r="K24" s="109"/>
      <c r="L24" s="109"/>
      <c r="M24" s="133"/>
      <c r="N24" s="108">
        <v>544869.24000000011</v>
      </c>
      <c r="O24" s="133">
        <f t="shared" si="6"/>
        <v>41913.018461538471</v>
      </c>
      <c r="P24" s="133">
        <v>253317.6</v>
      </c>
      <c r="Q24" s="108">
        <f t="shared" si="7"/>
        <v>42219.6</v>
      </c>
      <c r="R24" s="133">
        <f t="shared" si="8"/>
        <v>840099.85846153856</v>
      </c>
    </row>
    <row r="25" spans="2:18" ht="15">
      <c r="B25" s="416">
        <v>22</v>
      </c>
      <c r="C25" s="108">
        <f t="shared" si="10"/>
        <v>13</v>
      </c>
      <c r="D25" s="107">
        <f t="shared" si="0"/>
        <v>36883.456246153852</v>
      </c>
      <c r="E25" s="107">
        <f t="shared" si="1"/>
        <v>479484.93120000005</v>
      </c>
      <c r="F25" s="108">
        <f t="shared" si="9"/>
        <v>6</v>
      </c>
      <c r="G25" s="448">
        <f t="shared" si="2"/>
        <v>37153.248</v>
      </c>
      <c r="H25" s="133">
        <f t="shared" si="3"/>
        <v>222919.48800000001</v>
      </c>
      <c r="I25" s="108">
        <f t="shared" si="4"/>
        <v>19</v>
      </c>
      <c r="J25" s="1006">
        <f t="shared" si="5"/>
        <v>702404.41920000012</v>
      </c>
      <c r="K25" s="109"/>
      <c r="L25" s="109"/>
      <c r="M25" s="133"/>
      <c r="N25" s="108">
        <v>544869.24000000011</v>
      </c>
      <c r="O25" s="133">
        <f t="shared" si="6"/>
        <v>41913.018461538471</v>
      </c>
      <c r="P25" s="133">
        <v>253317.6</v>
      </c>
      <c r="Q25" s="108">
        <f t="shared" si="7"/>
        <v>42219.6</v>
      </c>
      <c r="R25" s="133">
        <f t="shared" si="8"/>
        <v>840099.85846153856</v>
      </c>
    </row>
    <row r="26" spans="2:18" s="89" customFormat="1" ht="15">
      <c r="B26" s="416">
        <v>23</v>
      </c>
      <c r="C26" s="108">
        <f t="shared" si="10"/>
        <v>13</v>
      </c>
      <c r="D26" s="107">
        <f t="shared" si="0"/>
        <v>36883.456246153852</v>
      </c>
      <c r="E26" s="107">
        <f t="shared" si="1"/>
        <v>479484.93120000005</v>
      </c>
      <c r="F26" s="108">
        <f t="shared" si="9"/>
        <v>6</v>
      </c>
      <c r="G26" s="448">
        <f t="shared" si="2"/>
        <v>37153.248</v>
      </c>
      <c r="H26" s="133">
        <f t="shared" si="3"/>
        <v>222919.48800000001</v>
      </c>
      <c r="I26" s="108">
        <f t="shared" si="4"/>
        <v>19</v>
      </c>
      <c r="J26" s="1006">
        <f t="shared" si="5"/>
        <v>702404.41920000012</v>
      </c>
      <c r="K26" s="109"/>
      <c r="L26" s="109"/>
      <c r="M26" s="133"/>
      <c r="N26" s="108">
        <v>544869.24000000011</v>
      </c>
      <c r="O26" s="133">
        <f t="shared" si="6"/>
        <v>41913.018461538471</v>
      </c>
      <c r="P26" s="133">
        <v>253317.6</v>
      </c>
      <c r="Q26" s="108">
        <f t="shared" si="7"/>
        <v>42219.6</v>
      </c>
      <c r="R26" s="133">
        <f t="shared" si="8"/>
        <v>840099.85846153856</v>
      </c>
    </row>
    <row r="27" spans="2:18" s="89" customFormat="1" ht="15">
      <c r="B27" s="416">
        <v>24</v>
      </c>
      <c r="C27" s="108">
        <f t="shared" si="10"/>
        <v>13</v>
      </c>
      <c r="D27" s="107">
        <f t="shared" si="0"/>
        <v>36883.456246153852</v>
      </c>
      <c r="E27" s="107">
        <f t="shared" si="1"/>
        <v>479484.93120000005</v>
      </c>
      <c r="F27" s="108">
        <f t="shared" si="9"/>
        <v>6</v>
      </c>
      <c r="G27" s="448">
        <f t="shared" si="2"/>
        <v>37153.248</v>
      </c>
      <c r="H27" s="133">
        <f t="shared" si="3"/>
        <v>222919.48800000001</v>
      </c>
      <c r="I27" s="108">
        <f t="shared" si="4"/>
        <v>19</v>
      </c>
      <c r="J27" s="1006">
        <f t="shared" si="5"/>
        <v>702404.41920000012</v>
      </c>
      <c r="K27" s="109"/>
      <c r="L27" s="109"/>
      <c r="M27" s="133"/>
      <c r="N27" s="108">
        <v>544869.24000000011</v>
      </c>
      <c r="O27" s="133">
        <f t="shared" si="6"/>
        <v>41913.018461538471</v>
      </c>
      <c r="P27" s="133">
        <v>253317.6</v>
      </c>
      <c r="Q27" s="108">
        <f t="shared" si="7"/>
        <v>42219.6</v>
      </c>
      <c r="R27" s="133">
        <f t="shared" si="8"/>
        <v>840099.85846153856</v>
      </c>
    </row>
    <row r="28" spans="2:18" ht="15">
      <c r="B28" s="416">
        <v>25</v>
      </c>
      <c r="C28" s="108">
        <f t="shared" si="10"/>
        <v>13</v>
      </c>
      <c r="D28" s="107">
        <f t="shared" si="0"/>
        <v>36883.456246153852</v>
      </c>
      <c r="E28" s="107">
        <f t="shared" si="1"/>
        <v>479484.93120000005</v>
      </c>
      <c r="F28" s="108">
        <f t="shared" si="9"/>
        <v>6</v>
      </c>
      <c r="G28" s="448">
        <f t="shared" si="2"/>
        <v>37153.248</v>
      </c>
      <c r="H28" s="133">
        <f t="shared" si="3"/>
        <v>222919.48800000001</v>
      </c>
      <c r="I28" s="108">
        <f t="shared" si="4"/>
        <v>19</v>
      </c>
      <c r="J28" s="1006">
        <f t="shared" si="5"/>
        <v>702404.41920000012</v>
      </c>
      <c r="K28" s="109"/>
      <c r="L28" s="109"/>
      <c r="M28" s="133"/>
      <c r="N28" s="108">
        <v>544869.24000000011</v>
      </c>
      <c r="O28" s="133">
        <f t="shared" si="6"/>
        <v>41913.018461538471</v>
      </c>
      <c r="P28" s="133">
        <v>253317.6</v>
      </c>
      <c r="Q28" s="108">
        <f t="shared" si="7"/>
        <v>42219.6</v>
      </c>
      <c r="R28" s="133">
        <f t="shared" si="8"/>
        <v>840099.85846153856</v>
      </c>
    </row>
    <row r="29" spans="2:18" ht="15">
      <c r="B29" s="416">
        <v>26</v>
      </c>
      <c r="C29" s="108">
        <f t="shared" si="10"/>
        <v>13</v>
      </c>
      <c r="D29" s="107">
        <f t="shared" si="0"/>
        <v>36883.456246153852</v>
      </c>
      <c r="E29" s="107">
        <f t="shared" si="1"/>
        <v>479484.93120000005</v>
      </c>
      <c r="F29" s="108">
        <f t="shared" si="9"/>
        <v>6</v>
      </c>
      <c r="G29" s="448">
        <f t="shared" si="2"/>
        <v>37153.248</v>
      </c>
      <c r="H29" s="133">
        <f t="shared" si="3"/>
        <v>222919.48800000001</v>
      </c>
      <c r="I29" s="108">
        <f t="shared" si="4"/>
        <v>19</v>
      </c>
      <c r="J29" s="1006">
        <f t="shared" si="5"/>
        <v>702404.41920000012</v>
      </c>
      <c r="K29" s="109"/>
      <c r="L29" s="109"/>
      <c r="M29" s="133"/>
      <c r="N29" s="108">
        <v>544869.24000000011</v>
      </c>
      <c r="O29" s="133">
        <f t="shared" si="6"/>
        <v>41913.018461538471</v>
      </c>
      <c r="P29" s="133">
        <v>253317.6</v>
      </c>
      <c r="Q29" s="108">
        <f>P29/F29</f>
        <v>42219.6</v>
      </c>
      <c r="R29" s="133">
        <f t="shared" si="8"/>
        <v>840099.85846153856</v>
      </c>
    </row>
    <row r="30" spans="2:18" ht="15">
      <c r="B30" s="416">
        <v>27</v>
      </c>
      <c r="C30" s="108">
        <f t="shared" si="10"/>
        <v>13</v>
      </c>
      <c r="D30" s="107">
        <f t="shared" si="0"/>
        <v>36883.456246153852</v>
      </c>
      <c r="E30" s="107">
        <f t="shared" si="1"/>
        <v>479484.93120000005</v>
      </c>
      <c r="F30" s="108">
        <f t="shared" si="9"/>
        <v>6</v>
      </c>
      <c r="G30" s="448">
        <f t="shared" si="2"/>
        <v>37153.248</v>
      </c>
      <c r="H30" s="133">
        <f t="shared" si="3"/>
        <v>222919.48800000001</v>
      </c>
      <c r="I30" s="108">
        <f t="shared" si="4"/>
        <v>19</v>
      </c>
      <c r="J30" s="1006">
        <f t="shared" si="5"/>
        <v>702404.41920000012</v>
      </c>
      <c r="K30" s="109"/>
      <c r="L30" s="109"/>
      <c r="M30" s="133"/>
      <c r="N30" s="108">
        <v>544869.24000000011</v>
      </c>
      <c r="O30" s="133">
        <f t="shared" si="6"/>
        <v>41913.018461538471</v>
      </c>
      <c r="P30" s="133">
        <v>253317.6</v>
      </c>
      <c r="Q30" s="108">
        <f t="shared" si="7"/>
        <v>42219.6</v>
      </c>
      <c r="R30" s="133">
        <f t="shared" si="8"/>
        <v>840099.85846153856</v>
      </c>
    </row>
    <row r="31" spans="2:18" ht="15">
      <c r="B31" s="416">
        <v>28</v>
      </c>
      <c r="C31" s="108">
        <f t="shared" si="10"/>
        <v>13</v>
      </c>
      <c r="D31" s="107">
        <f t="shared" si="0"/>
        <v>36883.456246153852</v>
      </c>
      <c r="E31" s="107">
        <f t="shared" si="1"/>
        <v>479484.93120000005</v>
      </c>
      <c r="F31" s="108">
        <f t="shared" si="9"/>
        <v>6</v>
      </c>
      <c r="G31" s="448">
        <f t="shared" si="2"/>
        <v>37153.248</v>
      </c>
      <c r="H31" s="133">
        <f t="shared" si="3"/>
        <v>222919.48800000001</v>
      </c>
      <c r="I31" s="108">
        <f t="shared" si="4"/>
        <v>19</v>
      </c>
      <c r="J31" s="1006">
        <f t="shared" si="5"/>
        <v>702404.41920000012</v>
      </c>
      <c r="K31" s="109"/>
      <c r="L31" s="109"/>
      <c r="M31" s="133"/>
      <c r="N31" s="108">
        <v>544869.24000000011</v>
      </c>
      <c r="O31" s="133">
        <f t="shared" si="6"/>
        <v>41913.018461538471</v>
      </c>
      <c r="P31" s="133">
        <v>253317.6</v>
      </c>
      <c r="Q31" s="108">
        <f t="shared" si="7"/>
        <v>42219.6</v>
      </c>
      <c r="R31" s="133">
        <f t="shared" si="8"/>
        <v>840099.85846153856</v>
      </c>
    </row>
    <row r="32" spans="2:18" ht="15">
      <c r="B32" s="416">
        <v>29</v>
      </c>
      <c r="C32" s="108">
        <f t="shared" si="10"/>
        <v>13</v>
      </c>
      <c r="D32" s="107">
        <f t="shared" si="0"/>
        <v>36883.456246153852</v>
      </c>
      <c r="E32" s="107">
        <f t="shared" si="1"/>
        <v>479484.93120000005</v>
      </c>
      <c r="F32" s="108">
        <f t="shared" si="9"/>
        <v>6</v>
      </c>
      <c r="G32" s="448">
        <f t="shared" si="2"/>
        <v>37153.248</v>
      </c>
      <c r="H32" s="133">
        <f t="shared" si="3"/>
        <v>222919.48800000001</v>
      </c>
      <c r="I32" s="108">
        <f t="shared" si="4"/>
        <v>19</v>
      </c>
      <c r="J32" s="1006">
        <f t="shared" si="5"/>
        <v>702404.41920000012</v>
      </c>
      <c r="K32" s="109"/>
      <c r="L32" s="109"/>
      <c r="M32" s="133"/>
      <c r="N32" s="108">
        <v>544869.24000000011</v>
      </c>
      <c r="O32" s="133">
        <f t="shared" si="6"/>
        <v>41913.018461538471</v>
      </c>
      <c r="P32" s="133">
        <v>253317.6</v>
      </c>
      <c r="Q32" s="108">
        <f t="shared" si="7"/>
        <v>42219.6</v>
      </c>
      <c r="R32" s="133">
        <f t="shared" si="8"/>
        <v>840099.85846153856</v>
      </c>
    </row>
    <row r="33" spans="2:18" ht="15.75" thickBot="1">
      <c r="B33" s="417">
        <v>30</v>
      </c>
      <c r="C33" s="370">
        <f t="shared" si="10"/>
        <v>13</v>
      </c>
      <c r="D33" s="369">
        <f t="shared" si="0"/>
        <v>36883.456246153852</v>
      </c>
      <c r="E33" s="369">
        <f>D33*C33</f>
        <v>479484.93120000005</v>
      </c>
      <c r="F33" s="370">
        <f t="shared" si="9"/>
        <v>6</v>
      </c>
      <c r="G33" s="380">
        <f t="shared" si="2"/>
        <v>37153.248</v>
      </c>
      <c r="H33" s="418">
        <f t="shared" si="3"/>
        <v>222919.48800000001</v>
      </c>
      <c r="I33" s="370">
        <f t="shared" si="4"/>
        <v>19</v>
      </c>
      <c r="J33" s="1007">
        <f t="shared" si="5"/>
        <v>702404.41920000012</v>
      </c>
      <c r="K33" s="109"/>
      <c r="L33" s="109"/>
      <c r="M33" s="133"/>
      <c r="N33" s="108">
        <v>544869.24000000011</v>
      </c>
      <c r="O33" s="133">
        <f t="shared" si="6"/>
        <v>41913.018461538471</v>
      </c>
      <c r="P33" s="133">
        <v>253317.6</v>
      </c>
      <c r="Q33" s="108">
        <f t="shared" si="7"/>
        <v>42219.6</v>
      </c>
      <c r="R33" s="133">
        <f t="shared" si="8"/>
        <v>840099.85846153856</v>
      </c>
    </row>
    <row r="34" spans="2:18" ht="15">
      <c r="I34" s="136"/>
      <c r="J34" s="1008">
        <f>SUM(J4:J33)</f>
        <v>20955515.116799995</v>
      </c>
      <c r="N34" s="110">
        <f>SUM(N4:N33)</f>
        <v>16213557.360000005</v>
      </c>
      <c r="P34" s="110">
        <f>SUM(P4:P33)</f>
        <v>7599527.9999999963</v>
      </c>
      <c r="R34" s="110">
        <f>SUM(R4:R33)</f>
        <v>25088910.850909106</v>
      </c>
    </row>
    <row r="35" spans="2:18">
      <c r="E35" s="110">
        <f>SUM(E5:E34)</f>
        <v>13817599.910399999</v>
      </c>
      <c r="H35" s="110">
        <f>SUM(H5:H34)</f>
        <v>6464665.1519999979</v>
      </c>
      <c r="J35" s="137"/>
      <c r="K35" s="137"/>
      <c r="L35" s="137"/>
    </row>
  </sheetData>
  <mergeCells count="16">
    <mergeCell ref="R2:R3"/>
    <mergeCell ref="B1:J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M2:M3"/>
    <mergeCell ref="N2:N3"/>
    <mergeCell ref="O2:O3"/>
    <mergeCell ref="P2:P3"/>
    <mergeCell ref="Q2:Q3"/>
  </mergeCells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1">
    <tabColor rgb="FF7030A0"/>
    <pageSetUpPr fitToPage="1"/>
  </sheetPr>
  <dimension ref="B1:S43"/>
  <sheetViews>
    <sheetView showGridLines="0" zoomScale="80" zoomScaleNormal="80" workbookViewId="0">
      <selection activeCell="B20" sqref="B20"/>
    </sheetView>
  </sheetViews>
  <sheetFormatPr defaultColWidth="11.5703125" defaultRowHeight="14.25"/>
  <cols>
    <col min="1" max="1" width="2.7109375" style="41" customWidth="1"/>
    <col min="2" max="2" width="9" style="41" customWidth="1"/>
    <col min="3" max="3" width="17" style="41" customWidth="1"/>
    <col min="4" max="4" width="18.5703125" style="41" customWidth="1"/>
    <col min="5" max="6" width="17" style="41" customWidth="1"/>
    <col min="7" max="7" width="18.42578125" style="41" customWidth="1"/>
    <col min="8" max="10" width="17" style="41" customWidth="1"/>
    <col min="11" max="11" width="2.7109375" style="41" customWidth="1"/>
    <col min="12" max="12" width="11.5703125" style="41" customWidth="1"/>
    <col min="13" max="18" width="16.140625" style="41" customWidth="1"/>
    <col min="19" max="19" width="15" style="41" customWidth="1"/>
    <col min="20" max="16384" width="11.5703125" style="41"/>
  </cols>
  <sheetData>
    <row r="1" spans="2:19" ht="48.75" customHeight="1" thickBot="1">
      <c r="B1" s="1572" t="s">
        <v>48</v>
      </c>
      <c r="C1" s="1572"/>
      <c r="D1" s="1572"/>
      <c r="E1" s="1572"/>
      <c r="F1" s="1572"/>
      <c r="G1" s="1572"/>
      <c r="H1" s="1572"/>
      <c r="I1" s="1572"/>
      <c r="J1" s="1572"/>
    </row>
    <row r="2" spans="2:19" ht="42" customHeight="1">
      <c r="B2" s="1663" t="s">
        <v>1</v>
      </c>
      <c r="C2" s="1630" t="s">
        <v>2</v>
      </c>
      <c r="D2" s="1636" t="s">
        <v>19</v>
      </c>
      <c r="E2" s="1630" t="s">
        <v>20</v>
      </c>
      <c r="F2" s="1665" t="s">
        <v>16</v>
      </c>
      <c r="G2" s="1630" t="s">
        <v>31</v>
      </c>
      <c r="H2" s="1636" t="s">
        <v>21</v>
      </c>
      <c r="I2" s="1630" t="s">
        <v>3</v>
      </c>
      <c r="J2" s="1632" t="s">
        <v>32</v>
      </c>
      <c r="M2" s="1667" t="e">
        <f>#REF!</f>
        <v>#REF!</v>
      </c>
      <c r="N2" s="1662" t="s">
        <v>85</v>
      </c>
      <c r="O2" s="1662"/>
      <c r="P2" s="1662" t="s">
        <v>86</v>
      </c>
      <c r="Q2" s="1662"/>
      <c r="R2" s="1662"/>
    </row>
    <row r="3" spans="2:19" s="89" customFormat="1" ht="42" customHeight="1" thickBot="1">
      <c r="B3" s="1664"/>
      <c r="C3" s="1631"/>
      <c r="D3" s="1637"/>
      <c r="E3" s="1631"/>
      <c r="F3" s="1666"/>
      <c r="G3" s="1631"/>
      <c r="H3" s="1637"/>
      <c r="I3" s="1631"/>
      <c r="J3" s="1633"/>
      <c r="K3" s="132"/>
      <c r="L3" s="132"/>
      <c r="M3" s="1667"/>
      <c r="N3" s="1662"/>
      <c r="O3" s="1662"/>
      <c r="P3" s="1662"/>
      <c r="Q3" s="1662"/>
      <c r="R3" s="1662"/>
    </row>
    <row r="4" spans="2:19" ht="20.25" customHeight="1">
      <c r="B4" s="415">
        <v>1</v>
      </c>
      <c r="C4" s="992">
        <v>6</v>
      </c>
      <c r="D4" s="993">
        <v>40939.14</v>
      </c>
      <c r="E4" s="993">
        <f>D4*C4</f>
        <v>245634.84</v>
      </c>
      <c r="F4" s="992">
        <v>4</v>
      </c>
      <c r="G4" s="994">
        <v>37153.25</v>
      </c>
      <c r="H4" s="995">
        <f>G4*F4</f>
        <v>148613</v>
      </c>
      <c r="I4" s="992">
        <f>C4+F4</f>
        <v>10</v>
      </c>
      <c r="J4" s="996">
        <f>E4+H4</f>
        <v>394247.83999999997</v>
      </c>
      <c r="K4" s="109"/>
      <c r="L4" s="109"/>
      <c r="M4" s="133"/>
      <c r="N4" s="108">
        <v>511739.28</v>
      </c>
      <c r="O4" s="133">
        <f>N4/C4</f>
        <v>85289.88</v>
      </c>
      <c r="P4" s="133">
        <v>253317.6</v>
      </c>
      <c r="Q4" s="108">
        <f>P4/F4</f>
        <v>63329.4</v>
      </c>
      <c r="R4" s="133">
        <f>SUM(N4:P4)</f>
        <v>850346.76</v>
      </c>
      <c r="S4" s="135"/>
    </row>
    <row r="5" spans="2:19" ht="20.25" customHeight="1">
      <c r="B5" s="416">
        <v>2</v>
      </c>
      <c r="C5" s="997">
        <v>11</v>
      </c>
      <c r="D5" s="998">
        <v>40939.14</v>
      </c>
      <c r="E5" s="998">
        <f t="shared" ref="E5:E32" si="0">D5*C5</f>
        <v>450330.54</v>
      </c>
      <c r="F5" s="997">
        <v>4</v>
      </c>
      <c r="G5" s="999">
        <v>37153.25</v>
      </c>
      <c r="H5" s="1000">
        <f t="shared" ref="H5:H33" si="1">G5*F5</f>
        <v>148613</v>
      </c>
      <c r="I5" s="997">
        <f t="shared" ref="I5:I33" si="2">C5+F5</f>
        <v>15</v>
      </c>
      <c r="J5" s="1001">
        <f t="shared" ref="J5:J33" si="3">E5+H5</f>
        <v>598943.54</v>
      </c>
      <c r="K5" s="109"/>
      <c r="L5" s="109"/>
      <c r="M5" s="133"/>
      <c r="N5" s="108">
        <v>511739.28</v>
      </c>
      <c r="O5" s="133">
        <f t="shared" ref="O5:O33" si="4">N5/C5</f>
        <v>46521.752727272731</v>
      </c>
      <c r="P5" s="133">
        <v>253317.6</v>
      </c>
      <c r="Q5" s="108">
        <f t="shared" ref="Q5:Q33" si="5">P5/F5</f>
        <v>63329.4</v>
      </c>
      <c r="R5" s="133">
        <f t="shared" ref="R5:R33" si="6">SUM(N5:P5)</f>
        <v>811578.63272727269</v>
      </c>
    </row>
    <row r="6" spans="2:19" ht="20.25" customHeight="1">
      <c r="B6" s="416">
        <v>3</v>
      </c>
      <c r="C6" s="997">
        <v>16</v>
      </c>
      <c r="D6" s="998">
        <v>40939.14</v>
      </c>
      <c r="E6" s="998">
        <f t="shared" si="0"/>
        <v>655026.24</v>
      </c>
      <c r="F6" s="997">
        <v>5</v>
      </c>
      <c r="G6" s="999">
        <v>37153.25</v>
      </c>
      <c r="H6" s="1000">
        <f t="shared" si="1"/>
        <v>185766.25</v>
      </c>
      <c r="I6" s="997">
        <f t="shared" si="2"/>
        <v>21</v>
      </c>
      <c r="J6" s="1001">
        <f t="shared" si="3"/>
        <v>840792.49</v>
      </c>
      <c r="K6" s="109"/>
      <c r="L6" s="109"/>
      <c r="M6" s="133"/>
      <c r="N6" s="108">
        <v>511739.28</v>
      </c>
      <c r="O6" s="133">
        <f t="shared" si="4"/>
        <v>31983.705000000002</v>
      </c>
      <c r="P6" s="133">
        <v>253317.6</v>
      </c>
      <c r="Q6" s="108">
        <f t="shared" si="5"/>
        <v>50663.520000000004</v>
      </c>
      <c r="R6" s="133">
        <f t="shared" si="6"/>
        <v>797040.58499999996</v>
      </c>
    </row>
    <row r="7" spans="2:19" ht="20.25" customHeight="1">
      <c r="B7" s="416">
        <v>4</v>
      </c>
      <c r="C7" s="997">
        <v>18</v>
      </c>
      <c r="D7" s="998">
        <v>40939.14</v>
      </c>
      <c r="E7" s="998">
        <f t="shared" si="0"/>
        <v>736904.52</v>
      </c>
      <c r="F7" s="997">
        <v>6</v>
      </c>
      <c r="G7" s="999">
        <v>37153.25</v>
      </c>
      <c r="H7" s="1000">
        <f t="shared" si="1"/>
        <v>222919.5</v>
      </c>
      <c r="I7" s="997">
        <f t="shared" si="2"/>
        <v>24</v>
      </c>
      <c r="J7" s="1001">
        <f t="shared" si="3"/>
        <v>959824.02</v>
      </c>
      <c r="K7" s="109"/>
      <c r="L7" s="109"/>
      <c r="M7" s="133"/>
      <c r="N7" s="108">
        <v>511739.28</v>
      </c>
      <c r="O7" s="133">
        <f t="shared" si="4"/>
        <v>28429.960000000003</v>
      </c>
      <c r="P7" s="133">
        <v>253317.6</v>
      </c>
      <c r="Q7" s="108">
        <f t="shared" si="5"/>
        <v>42219.6</v>
      </c>
      <c r="R7" s="133">
        <f t="shared" si="6"/>
        <v>793486.84</v>
      </c>
    </row>
    <row r="8" spans="2:19" ht="20.25" customHeight="1">
      <c r="B8" s="416">
        <v>5</v>
      </c>
      <c r="C8" s="997">
        <v>15</v>
      </c>
      <c r="D8" s="107">
        <v>36883.46</v>
      </c>
      <c r="E8" s="908">
        <f t="shared" si="0"/>
        <v>553251.9</v>
      </c>
      <c r="F8" s="108">
        <f t="shared" ref="F8:F33" si="7">F7</f>
        <v>6</v>
      </c>
      <c r="G8" s="448">
        <v>37153.25</v>
      </c>
      <c r="H8" s="133">
        <f t="shared" si="1"/>
        <v>222919.5</v>
      </c>
      <c r="I8" s="997">
        <f t="shared" si="2"/>
        <v>21</v>
      </c>
      <c r="J8" s="910">
        <f t="shared" si="3"/>
        <v>776171.4</v>
      </c>
      <c r="K8" s="109"/>
      <c r="L8" s="109"/>
      <c r="M8" s="133"/>
      <c r="N8" s="108">
        <v>544869.24000000011</v>
      </c>
      <c r="O8" s="133">
        <f t="shared" si="4"/>
        <v>36324.616000000009</v>
      </c>
      <c r="P8" s="133">
        <v>253317.6</v>
      </c>
      <c r="Q8" s="108">
        <f t="shared" si="5"/>
        <v>42219.6</v>
      </c>
      <c r="R8" s="133">
        <f t="shared" si="6"/>
        <v>834511.45600000012</v>
      </c>
    </row>
    <row r="9" spans="2:19" ht="20.25" customHeight="1">
      <c r="B9" s="416">
        <v>6</v>
      </c>
      <c r="C9" s="997">
        <v>15</v>
      </c>
      <c r="D9" s="107">
        <v>36883.46</v>
      </c>
      <c r="E9" s="908">
        <f t="shared" si="0"/>
        <v>553251.9</v>
      </c>
      <c r="F9" s="108">
        <f t="shared" si="7"/>
        <v>6</v>
      </c>
      <c r="G9" s="448">
        <v>37153.25</v>
      </c>
      <c r="H9" s="133">
        <f t="shared" si="1"/>
        <v>222919.5</v>
      </c>
      <c r="I9" s="997">
        <f t="shared" si="2"/>
        <v>21</v>
      </c>
      <c r="J9" s="910">
        <f t="shared" si="3"/>
        <v>776171.4</v>
      </c>
      <c r="K9" s="109"/>
      <c r="L9" s="109"/>
      <c r="M9" s="133"/>
      <c r="N9" s="108">
        <v>544869.24000000011</v>
      </c>
      <c r="O9" s="133">
        <f t="shared" si="4"/>
        <v>36324.616000000009</v>
      </c>
      <c r="P9" s="133">
        <v>253317.6</v>
      </c>
      <c r="Q9" s="108">
        <f t="shared" si="5"/>
        <v>42219.6</v>
      </c>
      <c r="R9" s="133">
        <f t="shared" si="6"/>
        <v>834511.45600000012</v>
      </c>
    </row>
    <row r="10" spans="2:19" ht="20.25" customHeight="1">
      <c r="B10" s="416">
        <v>7</v>
      </c>
      <c r="C10" s="997">
        <v>15</v>
      </c>
      <c r="D10" s="107">
        <v>36883.46</v>
      </c>
      <c r="E10" s="908">
        <f t="shared" si="0"/>
        <v>553251.9</v>
      </c>
      <c r="F10" s="108">
        <f t="shared" si="7"/>
        <v>6</v>
      </c>
      <c r="G10" s="448">
        <v>37153.25</v>
      </c>
      <c r="H10" s="133">
        <f t="shared" si="1"/>
        <v>222919.5</v>
      </c>
      <c r="I10" s="997">
        <f t="shared" si="2"/>
        <v>21</v>
      </c>
      <c r="J10" s="910">
        <f t="shared" si="3"/>
        <v>776171.4</v>
      </c>
      <c r="K10" s="109"/>
      <c r="L10" s="109"/>
      <c r="M10" s="133"/>
      <c r="N10" s="108">
        <v>544869.24000000011</v>
      </c>
      <c r="O10" s="133">
        <f t="shared" si="4"/>
        <v>36324.616000000009</v>
      </c>
      <c r="P10" s="133">
        <v>253317.6</v>
      </c>
      <c r="Q10" s="108">
        <f t="shared" si="5"/>
        <v>42219.6</v>
      </c>
      <c r="R10" s="133">
        <f t="shared" si="6"/>
        <v>834511.45600000012</v>
      </c>
    </row>
    <row r="11" spans="2:19" ht="20.25" customHeight="1">
      <c r="B11" s="416">
        <v>8</v>
      </c>
      <c r="C11" s="997">
        <v>15</v>
      </c>
      <c r="D11" s="107">
        <v>36883.46</v>
      </c>
      <c r="E11" s="908">
        <f t="shared" si="0"/>
        <v>553251.9</v>
      </c>
      <c r="F11" s="108">
        <f t="shared" si="7"/>
        <v>6</v>
      </c>
      <c r="G11" s="448">
        <v>37153.25</v>
      </c>
      <c r="H11" s="133">
        <f t="shared" si="1"/>
        <v>222919.5</v>
      </c>
      <c r="I11" s="997">
        <f t="shared" si="2"/>
        <v>21</v>
      </c>
      <c r="J11" s="910">
        <f t="shared" si="3"/>
        <v>776171.4</v>
      </c>
      <c r="K11" s="109"/>
      <c r="L11" s="109"/>
      <c r="M11" s="133"/>
      <c r="N11" s="108">
        <v>544869.24000000011</v>
      </c>
      <c r="O11" s="133">
        <f t="shared" si="4"/>
        <v>36324.616000000009</v>
      </c>
      <c r="P11" s="133">
        <v>253317.6</v>
      </c>
      <c r="Q11" s="108">
        <f t="shared" si="5"/>
        <v>42219.6</v>
      </c>
      <c r="R11" s="133">
        <f t="shared" si="6"/>
        <v>834511.45600000012</v>
      </c>
    </row>
    <row r="12" spans="2:19" ht="20.25" customHeight="1">
      <c r="B12" s="416">
        <v>9</v>
      </c>
      <c r="C12" s="997">
        <v>15</v>
      </c>
      <c r="D12" s="107">
        <v>36883.46</v>
      </c>
      <c r="E12" s="908">
        <f t="shared" si="0"/>
        <v>553251.9</v>
      </c>
      <c r="F12" s="108">
        <f t="shared" si="7"/>
        <v>6</v>
      </c>
      <c r="G12" s="448">
        <v>37153.25</v>
      </c>
      <c r="H12" s="133">
        <f t="shared" si="1"/>
        <v>222919.5</v>
      </c>
      <c r="I12" s="997">
        <f t="shared" si="2"/>
        <v>21</v>
      </c>
      <c r="J12" s="910">
        <f t="shared" si="3"/>
        <v>776171.4</v>
      </c>
      <c r="K12" s="109"/>
      <c r="L12" s="109"/>
      <c r="M12" s="133"/>
      <c r="N12" s="108">
        <v>544869.24000000011</v>
      </c>
      <c r="O12" s="133">
        <f t="shared" si="4"/>
        <v>36324.616000000009</v>
      </c>
      <c r="P12" s="133">
        <v>253317.6</v>
      </c>
      <c r="Q12" s="108">
        <f t="shared" si="5"/>
        <v>42219.6</v>
      </c>
      <c r="R12" s="133">
        <f t="shared" si="6"/>
        <v>834511.45600000012</v>
      </c>
    </row>
    <row r="13" spans="2:19" ht="20.25" customHeight="1">
      <c r="B13" s="416">
        <v>10</v>
      </c>
      <c r="C13" s="997">
        <v>15</v>
      </c>
      <c r="D13" s="107">
        <v>36883.46</v>
      </c>
      <c r="E13" s="908">
        <f t="shared" si="0"/>
        <v>553251.9</v>
      </c>
      <c r="F13" s="108">
        <f t="shared" si="7"/>
        <v>6</v>
      </c>
      <c r="G13" s="448">
        <v>37153.25</v>
      </c>
      <c r="H13" s="133">
        <f t="shared" si="1"/>
        <v>222919.5</v>
      </c>
      <c r="I13" s="997">
        <f t="shared" si="2"/>
        <v>21</v>
      </c>
      <c r="J13" s="910">
        <f t="shared" si="3"/>
        <v>776171.4</v>
      </c>
      <c r="K13" s="109"/>
      <c r="L13" s="109"/>
      <c r="M13" s="133"/>
      <c r="N13" s="108">
        <v>544869.24000000011</v>
      </c>
      <c r="O13" s="133">
        <f t="shared" si="4"/>
        <v>36324.616000000009</v>
      </c>
      <c r="P13" s="133">
        <v>253317.6</v>
      </c>
      <c r="Q13" s="108">
        <f t="shared" si="5"/>
        <v>42219.6</v>
      </c>
      <c r="R13" s="133">
        <f t="shared" si="6"/>
        <v>834511.45600000012</v>
      </c>
    </row>
    <row r="14" spans="2:19" ht="20.25" customHeight="1">
      <c r="B14" s="416">
        <v>11</v>
      </c>
      <c r="C14" s="997">
        <v>15</v>
      </c>
      <c r="D14" s="107">
        <v>36883.46</v>
      </c>
      <c r="E14" s="908">
        <f t="shared" si="0"/>
        <v>553251.9</v>
      </c>
      <c r="F14" s="108">
        <f t="shared" si="7"/>
        <v>6</v>
      </c>
      <c r="G14" s="448">
        <v>37153.25</v>
      </c>
      <c r="H14" s="133">
        <f t="shared" si="1"/>
        <v>222919.5</v>
      </c>
      <c r="I14" s="997">
        <f t="shared" si="2"/>
        <v>21</v>
      </c>
      <c r="J14" s="910">
        <f t="shared" si="3"/>
        <v>776171.4</v>
      </c>
      <c r="K14" s="109"/>
      <c r="L14" s="109"/>
      <c r="M14" s="133"/>
      <c r="N14" s="108">
        <v>544869.24000000011</v>
      </c>
      <c r="O14" s="133">
        <f t="shared" si="4"/>
        <v>36324.616000000009</v>
      </c>
      <c r="P14" s="133">
        <v>253317.6</v>
      </c>
      <c r="Q14" s="108">
        <f t="shared" si="5"/>
        <v>42219.6</v>
      </c>
      <c r="R14" s="133">
        <f t="shared" si="6"/>
        <v>834511.45600000012</v>
      </c>
    </row>
    <row r="15" spans="2:19" ht="20.25" customHeight="1">
      <c r="B15" s="416">
        <v>12</v>
      </c>
      <c r="C15" s="997">
        <v>15</v>
      </c>
      <c r="D15" s="107">
        <v>36883.46</v>
      </c>
      <c r="E15" s="908">
        <f t="shared" si="0"/>
        <v>553251.9</v>
      </c>
      <c r="F15" s="108">
        <f t="shared" si="7"/>
        <v>6</v>
      </c>
      <c r="G15" s="448">
        <v>37153.25</v>
      </c>
      <c r="H15" s="133">
        <f t="shared" si="1"/>
        <v>222919.5</v>
      </c>
      <c r="I15" s="997">
        <f t="shared" si="2"/>
        <v>21</v>
      </c>
      <c r="J15" s="910">
        <f t="shared" si="3"/>
        <v>776171.4</v>
      </c>
      <c r="K15" s="109"/>
      <c r="M15" s="133"/>
      <c r="N15" s="108">
        <v>544869.24000000011</v>
      </c>
      <c r="O15" s="133">
        <f t="shared" si="4"/>
        <v>36324.616000000009</v>
      </c>
      <c r="P15" s="133">
        <v>253317.6</v>
      </c>
      <c r="Q15" s="108">
        <f t="shared" si="5"/>
        <v>42219.6</v>
      </c>
      <c r="R15" s="133">
        <f t="shared" si="6"/>
        <v>834511.45600000012</v>
      </c>
    </row>
    <row r="16" spans="2:19" ht="20.25" customHeight="1">
      <c r="B16" s="416">
        <v>13</v>
      </c>
      <c r="C16" s="906">
        <v>15</v>
      </c>
      <c r="D16" s="107">
        <v>36883.46</v>
      </c>
      <c r="E16" s="908">
        <f t="shared" si="0"/>
        <v>553251.9</v>
      </c>
      <c r="F16" s="108">
        <f t="shared" si="7"/>
        <v>6</v>
      </c>
      <c r="G16" s="448">
        <v>37153.25</v>
      </c>
      <c r="H16" s="133">
        <f t="shared" si="1"/>
        <v>222919.5</v>
      </c>
      <c r="I16" s="906">
        <f t="shared" si="2"/>
        <v>21</v>
      </c>
      <c r="J16" s="910">
        <f t="shared" si="3"/>
        <v>776171.4</v>
      </c>
      <c r="K16" s="109"/>
      <c r="L16" s="109"/>
      <c r="M16" s="133"/>
      <c r="N16" s="108">
        <v>544869.24000000011</v>
      </c>
      <c r="O16" s="133">
        <f t="shared" si="4"/>
        <v>36324.616000000009</v>
      </c>
      <c r="P16" s="133">
        <v>253317.6</v>
      </c>
      <c r="Q16" s="108">
        <f t="shared" si="5"/>
        <v>42219.6</v>
      </c>
      <c r="R16" s="133">
        <f t="shared" si="6"/>
        <v>834511.45600000012</v>
      </c>
    </row>
    <row r="17" spans="2:18" ht="20.25" customHeight="1">
      <c r="B17" s="416">
        <v>14</v>
      </c>
      <c r="C17" s="906">
        <f t="shared" ref="C17:C33" si="8">C16</f>
        <v>15</v>
      </c>
      <c r="D17" s="107">
        <v>36883.46</v>
      </c>
      <c r="E17" s="908">
        <f t="shared" si="0"/>
        <v>553251.9</v>
      </c>
      <c r="F17" s="108">
        <f t="shared" si="7"/>
        <v>6</v>
      </c>
      <c r="G17" s="448">
        <v>37153.25</v>
      </c>
      <c r="H17" s="133">
        <f t="shared" si="1"/>
        <v>222919.5</v>
      </c>
      <c r="I17" s="906">
        <f t="shared" si="2"/>
        <v>21</v>
      </c>
      <c r="J17" s="910">
        <f t="shared" si="3"/>
        <v>776171.4</v>
      </c>
      <c r="K17" s="109"/>
      <c r="L17" s="109"/>
      <c r="M17" s="133"/>
      <c r="N17" s="108">
        <v>544869.24000000011</v>
      </c>
      <c r="O17" s="133">
        <f t="shared" si="4"/>
        <v>36324.616000000009</v>
      </c>
      <c r="P17" s="133">
        <v>253317.6</v>
      </c>
      <c r="Q17" s="108">
        <f t="shared" si="5"/>
        <v>42219.6</v>
      </c>
      <c r="R17" s="133">
        <f t="shared" si="6"/>
        <v>834511.45600000012</v>
      </c>
    </row>
    <row r="18" spans="2:18" ht="20.25" customHeight="1">
      <c r="B18" s="416">
        <v>15</v>
      </c>
      <c r="C18" s="906">
        <f t="shared" si="8"/>
        <v>15</v>
      </c>
      <c r="D18" s="107">
        <v>36883.46</v>
      </c>
      <c r="E18" s="908">
        <f t="shared" si="0"/>
        <v>553251.9</v>
      </c>
      <c r="F18" s="108">
        <f t="shared" si="7"/>
        <v>6</v>
      </c>
      <c r="G18" s="448">
        <v>37153.25</v>
      </c>
      <c r="H18" s="133">
        <f t="shared" si="1"/>
        <v>222919.5</v>
      </c>
      <c r="I18" s="906">
        <f t="shared" si="2"/>
        <v>21</v>
      </c>
      <c r="J18" s="910">
        <f t="shared" si="3"/>
        <v>776171.4</v>
      </c>
      <c r="K18" s="109"/>
      <c r="L18" s="109"/>
      <c r="M18" s="133"/>
      <c r="N18" s="108">
        <v>544869.24000000011</v>
      </c>
      <c r="O18" s="133">
        <f t="shared" si="4"/>
        <v>36324.616000000009</v>
      </c>
      <c r="P18" s="133">
        <v>253317.6</v>
      </c>
      <c r="Q18" s="108">
        <f t="shared" si="5"/>
        <v>42219.6</v>
      </c>
      <c r="R18" s="133">
        <f t="shared" si="6"/>
        <v>834511.45600000012</v>
      </c>
    </row>
    <row r="19" spans="2:18" ht="20.25" customHeight="1">
      <c r="B19" s="416">
        <v>16</v>
      </c>
      <c r="C19" s="906">
        <f t="shared" si="8"/>
        <v>15</v>
      </c>
      <c r="D19" s="107">
        <v>36883.46</v>
      </c>
      <c r="E19" s="908">
        <f t="shared" si="0"/>
        <v>553251.9</v>
      </c>
      <c r="F19" s="108">
        <f t="shared" si="7"/>
        <v>6</v>
      </c>
      <c r="G19" s="448">
        <v>37153.25</v>
      </c>
      <c r="H19" s="133">
        <f t="shared" si="1"/>
        <v>222919.5</v>
      </c>
      <c r="I19" s="906">
        <f t="shared" si="2"/>
        <v>21</v>
      </c>
      <c r="J19" s="910">
        <f t="shared" si="3"/>
        <v>776171.4</v>
      </c>
      <c r="K19" s="109"/>
      <c r="L19" s="109"/>
      <c r="M19" s="133"/>
      <c r="N19" s="108">
        <v>544869.24000000011</v>
      </c>
      <c r="O19" s="133">
        <f t="shared" si="4"/>
        <v>36324.616000000009</v>
      </c>
      <c r="P19" s="133">
        <v>253317.6</v>
      </c>
      <c r="Q19" s="108">
        <f t="shared" si="5"/>
        <v>42219.6</v>
      </c>
      <c r="R19" s="133">
        <f t="shared" si="6"/>
        <v>834511.45600000012</v>
      </c>
    </row>
    <row r="20" spans="2:18" ht="20.25" customHeight="1">
      <c r="B20" s="416">
        <v>17</v>
      </c>
      <c r="C20" s="906">
        <f t="shared" si="8"/>
        <v>15</v>
      </c>
      <c r="D20" s="107">
        <v>36883.46</v>
      </c>
      <c r="E20" s="908">
        <f t="shared" si="0"/>
        <v>553251.9</v>
      </c>
      <c r="F20" s="108">
        <f t="shared" si="7"/>
        <v>6</v>
      </c>
      <c r="G20" s="448">
        <v>37153.25</v>
      </c>
      <c r="H20" s="133">
        <f t="shared" si="1"/>
        <v>222919.5</v>
      </c>
      <c r="I20" s="906">
        <f t="shared" si="2"/>
        <v>21</v>
      </c>
      <c r="J20" s="910">
        <f t="shared" si="3"/>
        <v>776171.4</v>
      </c>
      <c r="K20" s="109"/>
      <c r="L20" s="109"/>
      <c r="M20" s="133"/>
      <c r="N20" s="108">
        <v>544869.24000000011</v>
      </c>
      <c r="O20" s="133">
        <f t="shared" si="4"/>
        <v>36324.616000000009</v>
      </c>
      <c r="P20" s="133">
        <v>253317.6</v>
      </c>
      <c r="Q20" s="108">
        <f t="shared" si="5"/>
        <v>42219.6</v>
      </c>
      <c r="R20" s="133">
        <f t="shared" si="6"/>
        <v>834511.45600000012</v>
      </c>
    </row>
    <row r="21" spans="2:18" ht="20.25" customHeight="1">
      <c r="B21" s="416">
        <v>18</v>
      </c>
      <c r="C21" s="906">
        <f t="shared" si="8"/>
        <v>15</v>
      </c>
      <c r="D21" s="107">
        <v>36883.46</v>
      </c>
      <c r="E21" s="908">
        <f t="shared" si="0"/>
        <v>553251.9</v>
      </c>
      <c r="F21" s="108">
        <f t="shared" si="7"/>
        <v>6</v>
      </c>
      <c r="G21" s="448">
        <v>37153.25</v>
      </c>
      <c r="H21" s="133">
        <f t="shared" si="1"/>
        <v>222919.5</v>
      </c>
      <c r="I21" s="906">
        <f t="shared" si="2"/>
        <v>21</v>
      </c>
      <c r="J21" s="910">
        <f t="shared" si="3"/>
        <v>776171.4</v>
      </c>
      <c r="K21" s="109"/>
      <c r="L21" s="109"/>
      <c r="M21" s="133"/>
      <c r="N21" s="108">
        <v>544869.24000000011</v>
      </c>
      <c r="O21" s="133">
        <f t="shared" si="4"/>
        <v>36324.616000000009</v>
      </c>
      <c r="P21" s="133">
        <v>253317.6</v>
      </c>
      <c r="Q21" s="108">
        <f t="shared" si="5"/>
        <v>42219.6</v>
      </c>
      <c r="R21" s="133">
        <f t="shared" si="6"/>
        <v>834511.45600000012</v>
      </c>
    </row>
    <row r="22" spans="2:18" s="89" customFormat="1" ht="20.25" customHeight="1">
      <c r="B22" s="416">
        <v>19</v>
      </c>
      <c r="C22" s="906">
        <f t="shared" si="8"/>
        <v>15</v>
      </c>
      <c r="D22" s="107">
        <v>36883.46</v>
      </c>
      <c r="E22" s="908">
        <f t="shared" si="0"/>
        <v>553251.9</v>
      </c>
      <c r="F22" s="108">
        <f t="shared" si="7"/>
        <v>6</v>
      </c>
      <c r="G22" s="448">
        <v>37153.25</v>
      </c>
      <c r="H22" s="133">
        <f t="shared" si="1"/>
        <v>222919.5</v>
      </c>
      <c r="I22" s="906">
        <f t="shared" si="2"/>
        <v>21</v>
      </c>
      <c r="J22" s="910">
        <f t="shared" si="3"/>
        <v>776171.4</v>
      </c>
      <c r="K22" s="109"/>
      <c r="L22" s="109"/>
      <c r="M22" s="133"/>
      <c r="N22" s="108">
        <v>544869.24000000011</v>
      </c>
      <c r="O22" s="133">
        <f t="shared" si="4"/>
        <v>36324.616000000009</v>
      </c>
      <c r="P22" s="133">
        <v>253317.6</v>
      </c>
      <c r="Q22" s="108">
        <f t="shared" si="5"/>
        <v>42219.6</v>
      </c>
      <c r="R22" s="133">
        <f t="shared" si="6"/>
        <v>834511.45600000012</v>
      </c>
    </row>
    <row r="23" spans="2:18" ht="20.25" customHeight="1">
      <c r="B23" s="416">
        <v>20</v>
      </c>
      <c r="C23" s="906">
        <f t="shared" si="8"/>
        <v>15</v>
      </c>
      <c r="D23" s="107">
        <v>36883.46</v>
      </c>
      <c r="E23" s="908">
        <f t="shared" si="0"/>
        <v>553251.9</v>
      </c>
      <c r="F23" s="108">
        <f t="shared" si="7"/>
        <v>6</v>
      </c>
      <c r="G23" s="448">
        <v>37153.25</v>
      </c>
      <c r="H23" s="133">
        <f t="shared" si="1"/>
        <v>222919.5</v>
      </c>
      <c r="I23" s="906">
        <f t="shared" si="2"/>
        <v>21</v>
      </c>
      <c r="J23" s="910">
        <f t="shared" si="3"/>
        <v>776171.4</v>
      </c>
      <c r="K23" s="109"/>
      <c r="L23" s="109"/>
      <c r="M23" s="133"/>
      <c r="N23" s="108">
        <v>544869.24000000011</v>
      </c>
      <c r="O23" s="133">
        <f t="shared" si="4"/>
        <v>36324.616000000009</v>
      </c>
      <c r="P23" s="133">
        <v>253317.6</v>
      </c>
      <c r="Q23" s="108">
        <f t="shared" si="5"/>
        <v>42219.6</v>
      </c>
      <c r="R23" s="133">
        <f t="shared" si="6"/>
        <v>834511.45600000012</v>
      </c>
    </row>
    <row r="24" spans="2:18" ht="20.25" customHeight="1">
      <c r="B24" s="416">
        <v>21</v>
      </c>
      <c r="C24" s="906">
        <f t="shared" si="8"/>
        <v>15</v>
      </c>
      <c r="D24" s="107">
        <v>36883.46</v>
      </c>
      <c r="E24" s="908">
        <f t="shared" si="0"/>
        <v>553251.9</v>
      </c>
      <c r="F24" s="108">
        <f t="shared" si="7"/>
        <v>6</v>
      </c>
      <c r="G24" s="448">
        <v>37153.25</v>
      </c>
      <c r="H24" s="133">
        <f t="shared" si="1"/>
        <v>222919.5</v>
      </c>
      <c r="I24" s="906">
        <f t="shared" si="2"/>
        <v>21</v>
      </c>
      <c r="J24" s="910">
        <f t="shared" si="3"/>
        <v>776171.4</v>
      </c>
      <c r="K24" s="109"/>
      <c r="L24" s="109"/>
      <c r="M24" s="133"/>
      <c r="N24" s="108">
        <v>544869.24000000011</v>
      </c>
      <c r="O24" s="133">
        <f t="shared" si="4"/>
        <v>36324.616000000009</v>
      </c>
      <c r="P24" s="133">
        <v>253317.6</v>
      </c>
      <c r="Q24" s="108">
        <f t="shared" si="5"/>
        <v>42219.6</v>
      </c>
      <c r="R24" s="133">
        <f t="shared" si="6"/>
        <v>834511.45600000012</v>
      </c>
    </row>
    <row r="25" spans="2:18" ht="20.25" customHeight="1">
      <c r="B25" s="416">
        <v>22</v>
      </c>
      <c r="C25" s="906">
        <f t="shared" si="8"/>
        <v>15</v>
      </c>
      <c r="D25" s="107">
        <v>36883.46</v>
      </c>
      <c r="E25" s="908">
        <f t="shared" si="0"/>
        <v>553251.9</v>
      </c>
      <c r="F25" s="108">
        <f t="shared" si="7"/>
        <v>6</v>
      </c>
      <c r="G25" s="448">
        <v>37153.25</v>
      </c>
      <c r="H25" s="133">
        <f t="shared" si="1"/>
        <v>222919.5</v>
      </c>
      <c r="I25" s="906">
        <f t="shared" si="2"/>
        <v>21</v>
      </c>
      <c r="J25" s="910">
        <f t="shared" si="3"/>
        <v>776171.4</v>
      </c>
      <c r="K25" s="109"/>
      <c r="L25" s="109"/>
      <c r="M25" s="133"/>
      <c r="N25" s="108">
        <v>544869.24000000011</v>
      </c>
      <c r="O25" s="133">
        <f t="shared" si="4"/>
        <v>36324.616000000009</v>
      </c>
      <c r="P25" s="133">
        <v>253317.6</v>
      </c>
      <c r="Q25" s="108">
        <f t="shared" si="5"/>
        <v>42219.6</v>
      </c>
      <c r="R25" s="133">
        <f t="shared" si="6"/>
        <v>834511.45600000012</v>
      </c>
    </row>
    <row r="26" spans="2:18" s="89" customFormat="1" ht="20.25" customHeight="1">
      <c r="B26" s="416">
        <v>23</v>
      </c>
      <c r="C26" s="906">
        <f t="shared" si="8"/>
        <v>15</v>
      </c>
      <c r="D26" s="107">
        <v>36883.46</v>
      </c>
      <c r="E26" s="908">
        <f t="shared" si="0"/>
        <v>553251.9</v>
      </c>
      <c r="F26" s="108">
        <f t="shared" si="7"/>
        <v>6</v>
      </c>
      <c r="G26" s="448">
        <v>37153.25</v>
      </c>
      <c r="H26" s="133">
        <f t="shared" si="1"/>
        <v>222919.5</v>
      </c>
      <c r="I26" s="906">
        <f t="shared" si="2"/>
        <v>21</v>
      </c>
      <c r="J26" s="910">
        <f t="shared" si="3"/>
        <v>776171.4</v>
      </c>
      <c r="K26" s="109"/>
      <c r="L26" s="109"/>
      <c r="M26" s="133"/>
      <c r="N26" s="108">
        <v>544869.24000000011</v>
      </c>
      <c r="O26" s="133">
        <f t="shared" si="4"/>
        <v>36324.616000000009</v>
      </c>
      <c r="P26" s="133">
        <v>253317.6</v>
      </c>
      <c r="Q26" s="108">
        <f t="shared" si="5"/>
        <v>42219.6</v>
      </c>
      <c r="R26" s="133">
        <f t="shared" si="6"/>
        <v>834511.45600000012</v>
      </c>
    </row>
    <row r="27" spans="2:18" s="89" customFormat="1" ht="20.25" customHeight="1">
      <c r="B27" s="416">
        <v>24</v>
      </c>
      <c r="C27" s="906">
        <f t="shared" si="8"/>
        <v>15</v>
      </c>
      <c r="D27" s="107">
        <v>36883.46</v>
      </c>
      <c r="E27" s="908">
        <f t="shared" si="0"/>
        <v>553251.9</v>
      </c>
      <c r="F27" s="108">
        <f t="shared" si="7"/>
        <v>6</v>
      </c>
      <c r="G27" s="448">
        <v>37153.25</v>
      </c>
      <c r="H27" s="133">
        <f t="shared" si="1"/>
        <v>222919.5</v>
      </c>
      <c r="I27" s="906">
        <f t="shared" si="2"/>
        <v>21</v>
      </c>
      <c r="J27" s="910">
        <f t="shared" si="3"/>
        <v>776171.4</v>
      </c>
      <c r="K27" s="109"/>
      <c r="L27" s="109"/>
      <c r="M27" s="133"/>
      <c r="N27" s="108">
        <v>544869.24000000011</v>
      </c>
      <c r="O27" s="133">
        <f t="shared" si="4"/>
        <v>36324.616000000009</v>
      </c>
      <c r="P27" s="133">
        <v>253317.6</v>
      </c>
      <c r="Q27" s="108">
        <f t="shared" si="5"/>
        <v>42219.6</v>
      </c>
      <c r="R27" s="133">
        <f t="shared" si="6"/>
        <v>834511.45600000012</v>
      </c>
    </row>
    <row r="28" spans="2:18" ht="20.25" customHeight="1">
      <c r="B28" s="416">
        <v>25</v>
      </c>
      <c r="C28" s="906">
        <f t="shared" si="8"/>
        <v>15</v>
      </c>
      <c r="D28" s="107">
        <v>36883.46</v>
      </c>
      <c r="E28" s="908">
        <f t="shared" si="0"/>
        <v>553251.9</v>
      </c>
      <c r="F28" s="108">
        <f t="shared" si="7"/>
        <v>6</v>
      </c>
      <c r="G28" s="448">
        <v>37153.25</v>
      </c>
      <c r="H28" s="133">
        <f t="shared" si="1"/>
        <v>222919.5</v>
      </c>
      <c r="I28" s="906">
        <f t="shared" si="2"/>
        <v>21</v>
      </c>
      <c r="J28" s="910">
        <f t="shared" si="3"/>
        <v>776171.4</v>
      </c>
      <c r="K28" s="109"/>
      <c r="L28" s="109"/>
      <c r="M28" s="133"/>
      <c r="N28" s="108">
        <v>544869.24000000011</v>
      </c>
      <c r="O28" s="133">
        <f t="shared" si="4"/>
        <v>36324.616000000009</v>
      </c>
      <c r="P28" s="133">
        <v>253317.6</v>
      </c>
      <c r="Q28" s="108">
        <f t="shared" si="5"/>
        <v>42219.6</v>
      </c>
      <c r="R28" s="133">
        <f t="shared" si="6"/>
        <v>834511.45600000012</v>
      </c>
    </row>
    <row r="29" spans="2:18" ht="20.25" customHeight="1">
      <c r="B29" s="416">
        <v>26</v>
      </c>
      <c r="C29" s="906">
        <f t="shared" si="8"/>
        <v>15</v>
      </c>
      <c r="D29" s="107">
        <v>36883.46</v>
      </c>
      <c r="E29" s="908">
        <f t="shared" si="0"/>
        <v>553251.9</v>
      </c>
      <c r="F29" s="108">
        <f t="shared" si="7"/>
        <v>6</v>
      </c>
      <c r="G29" s="448">
        <v>37153.25</v>
      </c>
      <c r="H29" s="133">
        <f t="shared" si="1"/>
        <v>222919.5</v>
      </c>
      <c r="I29" s="906">
        <f t="shared" si="2"/>
        <v>21</v>
      </c>
      <c r="J29" s="910">
        <f t="shared" si="3"/>
        <v>776171.4</v>
      </c>
      <c r="K29" s="109"/>
      <c r="L29" s="109"/>
      <c r="M29" s="133"/>
      <c r="N29" s="108">
        <v>544869.24000000011</v>
      </c>
      <c r="O29" s="133">
        <f t="shared" si="4"/>
        <v>36324.616000000009</v>
      </c>
      <c r="P29" s="133">
        <v>253317.6</v>
      </c>
      <c r="Q29" s="108">
        <f>P29/F29</f>
        <v>42219.6</v>
      </c>
      <c r="R29" s="133">
        <f t="shared" si="6"/>
        <v>834511.45600000012</v>
      </c>
    </row>
    <row r="30" spans="2:18" ht="20.25" customHeight="1">
      <c r="B30" s="416">
        <v>27</v>
      </c>
      <c r="C30" s="906">
        <f t="shared" si="8"/>
        <v>15</v>
      </c>
      <c r="D30" s="107">
        <v>36883.46</v>
      </c>
      <c r="E30" s="908">
        <f t="shared" si="0"/>
        <v>553251.9</v>
      </c>
      <c r="F30" s="108">
        <f t="shared" si="7"/>
        <v>6</v>
      </c>
      <c r="G30" s="448">
        <v>37153.25</v>
      </c>
      <c r="H30" s="133">
        <f t="shared" si="1"/>
        <v>222919.5</v>
      </c>
      <c r="I30" s="906">
        <f t="shared" si="2"/>
        <v>21</v>
      </c>
      <c r="J30" s="910">
        <f t="shared" si="3"/>
        <v>776171.4</v>
      </c>
      <c r="K30" s="109"/>
      <c r="L30" s="109"/>
      <c r="M30" s="133"/>
      <c r="N30" s="108">
        <v>544869.24000000011</v>
      </c>
      <c r="O30" s="133">
        <f t="shared" si="4"/>
        <v>36324.616000000009</v>
      </c>
      <c r="P30" s="133">
        <v>253317.6</v>
      </c>
      <c r="Q30" s="108">
        <f t="shared" si="5"/>
        <v>42219.6</v>
      </c>
      <c r="R30" s="133">
        <f t="shared" si="6"/>
        <v>834511.45600000012</v>
      </c>
    </row>
    <row r="31" spans="2:18" ht="20.25" customHeight="1">
      <c r="B31" s="416">
        <v>28</v>
      </c>
      <c r="C31" s="906">
        <f t="shared" si="8"/>
        <v>15</v>
      </c>
      <c r="D31" s="107">
        <v>36883.46</v>
      </c>
      <c r="E31" s="908">
        <f t="shared" si="0"/>
        <v>553251.9</v>
      </c>
      <c r="F31" s="108">
        <f t="shared" si="7"/>
        <v>6</v>
      </c>
      <c r="G31" s="448">
        <v>37153.25</v>
      </c>
      <c r="H31" s="133">
        <f t="shared" si="1"/>
        <v>222919.5</v>
      </c>
      <c r="I31" s="906">
        <f t="shared" si="2"/>
        <v>21</v>
      </c>
      <c r="J31" s="910">
        <f t="shared" si="3"/>
        <v>776171.4</v>
      </c>
      <c r="K31" s="109"/>
      <c r="L31" s="109"/>
      <c r="M31" s="133"/>
      <c r="N31" s="108">
        <v>544869.24000000011</v>
      </c>
      <c r="O31" s="133">
        <f t="shared" si="4"/>
        <v>36324.616000000009</v>
      </c>
      <c r="P31" s="133">
        <v>253317.6</v>
      </c>
      <c r="Q31" s="108">
        <f t="shared" si="5"/>
        <v>42219.6</v>
      </c>
      <c r="R31" s="133">
        <f t="shared" si="6"/>
        <v>834511.45600000012</v>
      </c>
    </row>
    <row r="32" spans="2:18" ht="20.25" customHeight="1">
      <c r="B32" s="416">
        <v>29</v>
      </c>
      <c r="C32" s="906">
        <f t="shared" si="8"/>
        <v>15</v>
      </c>
      <c r="D32" s="107">
        <v>36883.46</v>
      </c>
      <c r="E32" s="908">
        <f t="shared" si="0"/>
        <v>553251.9</v>
      </c>
      <c r="F32" s="108">
        <f t="shared" si="7"/>
        <v>6</v>
      </c>
      <c r="G32" s="448">
        <v>37153.25</v>
      </c>
      <c r="H32" s="133">
        <f t="shared" si="1"/>
        <v>222919.5</v>
      </c>
      <c r="I32" s="906">
        <f t="shared" si="2"/>
        <v>21</v>
      </c>
      <c r="J32" s="910">
        <f t="shared" si="3"/>
        <v>776171.4</v>
      </c>
      <c r="K32" s="109"/>
      <c r="L32" s="109"/>
      <c r="M32" s="133"/>
      <c r="N32" s="108">
        <v>544869.24000000011</v>
      </c>
      <c r="O32" s="133">
        <f t="shared" si="4"/>
        <v>36324.616000000009</v>
      </c>
      <c r="P32" s="133">
        <v>253317.6</v>
      </c>
      <c r="Q32" s="108">
        <f t="shared" si="5"/>
        <v>42219.6</v>
      </c>
      <c r="R32" s="133">
        <f t="shared" si="6"/>
        <v>834511.45600000012</v>
      </c>
    </row>
    <row r="33" spans="2:18" ht="20.25" customHeight="1" thickBot="1">
      <c r="B33" s="417">
        <v>30</v>
      </c>
      <c r="C33" s="907">
        <f t="shared" si="8"/>
        <v>15</v>
      </c>
      <c r="D33" s="369">
        <v>36883.46</v>
      </c>
      <c r="E33" s="909">
        <f>D33*C33</f>
        <v>553251.9</v>
      </c>
      <c r="F33" s="370">
        <f t="shared" si="7"/>
        <v>6</v>
      </c>
      <c r="G33" s="380">
        <v>37153.25</v>
      </c>
      <c r="H33" s="418">
        <f t="shared" si="1"/>
        <v>222919.5</v>
      </c>
      <c r="I33" s="907">
        <f t="shared" si="2"/>
        <v>21</v>
      </c>
      <c r="J33" s="911">
        <f t="shared" si="3"/>
        <v>776171.4</v>
      </c>
      <c r="K33" s="109"/>
      <c r="L33" s="109"/>
      <c r="M33" s="133"/>
      <c r="N33" s="108">
        <v>544869.24000000011</v>
      </c>
      <c r="O33" s="133">
        <f t="shared" si="4"/>
        <v>36324.616000000009</v>
      </c>
      <c r="P33" s="133">
        <v>253317.6</v>
      </c>
      <c r="Q33" s="108">
        <f t="shared" si="5"/>
        <v>42219.6</v>
      </c>
      <c r="R33" s="133">
        <f t="shared" si="6"/>
        <v>834511.45600000012</v>
      </c>
    </row>
    <row r="34" spans="2:18" ht="15">
      <c r="I34" s="136"/>
      <c r="J34" s="986">
        <f>SUM(J4:J33)</f>
        <v>22974264.289999995</v>
      </c>
      <c r="N34" s="110">
        <f>SUM(N4:N33)</f>
        <v>16213557.360000005</v>
      </c>
      <c r="P34" s="110">
        <f>SUM(P4:P33)</f>
        <v>7599527.9999999963</v>
      </c>
      <c r="R34" s="110">
        <f>SUM(R4:R33)</f>
        <v>24949750.673727278</v>
      </c>
    </row>
    <row r="35" spans="2:18">
      <c r="E35" s="135">
        <f>SUM(E4:E33)</f>
        <v>16472445.540000008</v>
      </c>
      <c r="H35" s="135">
        <f>SUM(H4:H33)</f>
        <v>6501818.75</v>
      </c>
      <c r="J35" s="548">
        <f>E35+H35</f>
        <v>22974264.290000007</v>
      </c>
      <c r="K35" s="137"/>
      <c r="L35" s="137"/>
    </row>
    <row r="40" spans="2:18">
      <c r="J40" s="548">
        <v>20955515.116799995</v>
      </c>
    </row>
    <row r="42" spans="2:18">
      <c r="J42" s="987">
        <f>J35-J40</f>
        <v>2018749.1732000113</v>
      </c>
    </row>
    <row r="43" spans="2:18">
      <c r="J43" s="988">
        <f>J42/J35</f>
        <v>8.7870024812011546E-2</v>
      </c>
    </row>
  </sheetData>
  <mergeCells count="16">
    <mergeCell ref="B1:J1"/>
    <mergeCell ref="J2:J3"/>
    <mergeCell ref="B2:B3"/>
    <mergeCell ref="G2:G3"/>
    <mergeCell ref="H2:H3"/>
    <mergeCell ref="I2:I3"/>
    <mergeCell ref="C2:C3"/>
    <mergeCell ref="D2:D3"/>
    <mergeCell ref="E2:E3"/>
    <mergeCell ref="F2:F3"/>
    <mergeCell ref="P2:P3"/>
    <mergeCell ref="Q2:Q3"/>
    <mergeCell ref="R2:R3"/>
    <mergeCell ref="M2:M3"/>
    <mergeCell ref="N2:N3"/>
    <mergeCell ref="O2:O3"/>
  </mergeCells>
  <phoneticPr fontId="12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5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B1:AT37"/>
  <sheetViews>
    <sheetView topLeftCell="D1" zoomScale="80" zoomScaleNormal="80" workbookViewId="0">
      <selection activeCell="B20" sqref="B20"/>
    </sheetView>
  </sheetViews>
  <sheetFormatPr defaultColWidth="11.5703125" defaultRowHeight="12.75"/>
  <cols>
    <col min="1" max="1" width="2.7109375" style="389" customWidth="1"/>
    <col min="2" max="2" width="7.42578125" style="389" customWidth="1"/>
    <col min="3" max="8" width="18.42578125" style="389" customWidth="1"/>
    <col min="9" max="9" width="2.7109375" style="389" customWidth="1"/>
    <col min="10" max="10" width="12.7109375" style="389" customWidth="1"/>
    <col min="11" max="11" width="2.85546875" style="389" customWidth="1"/>
    <col min="12" max="14" width="8.7109375" style="400" customWidth="1"/>
    <col min="15" max="15" width="2.85546875" style="389" customWidth="1"/>
    <col min="16" max="16" width="10.85546875" style="389" bestFit="1" customWidth="1"/>
    <col min="17" max="17" width="9.5703125" style="389" bestFit="1" customWidth="1"/>
    <col min="18" max="18" width="2.7109375" style="389" customWidth="1"/>
    <col min="19" max="19" width="14.5703125" style="389" customWidth="1"/>
    <col min="20" max="23" width="12.42578125" style="389" bestFit="1" customWidth="1"/>
    <col min="24" max="25" width="10.85546875" style="389" bestFit="1" customWidth="1"/>
    <col min="26" max="46" width="12.42578125" style="389" bestFit="1" customWidth="1"/>
    <col min="47" max="16384" width="11.5703125" style="389"/>
  </cols>
  <sheetData>
    <row r="1" spans="2:46" s="387" customFormat="1" ht="18.75" thickBot="1">
      <c r="B1" s="1567" t="s">
        <v>49</v>
      </c>
      <c r="C1" s="1567"/>
      <c r="D1" s="1567"/>
      <c r="E1" s="1567"/>
      <c r="F1" s="1567"/>
      <c r="G1" s="1567"/>
      <c r="H1" s="1567"/>
      <c r="I1" s="533"/>
      <c r="J1" s="533"/>
      <c r="K1" s="533"/>
      <c r="L1" s="551"/>
      <c r="M1" s="551"/>
      <c r="N1" s="551"/>
      <c r="T1" s="388" t="s">
        <v>99</v>
      </c>
      <c r="U1" s="556">
        <v>0.29485153234649114</v>
      </c>
    </row>
    <row r="2" spans="2:46" ht="15.75" thickBot="1">
      <c r="B2" s="1568" t="s">
        <v>1</v>
      </c>
      <c r="C2" s="1570" t="s">
        <v>33</v>
      </c>
      <c r="D2" s="1571"/>
      <c r="E2" s="1570" t="s">
        <v>34</v>
      </c>
      <c r="F2" s="1571"/>
      <c r="G2" s="1570" t="s">
        <v>35</v>
      </c>
      <c r="H2" s="1571"/>
      <c r="I2" s="549"/>
      <c r="J2" s="549"/>
      <c r="K2" s="549"/>
      <c r="S2" s="390">
        <v>1</v>
      </c>
    </row>
    <row r="3" spans="2:46" s="396" customFormat="1" ht="30.75" thickBot="1">
      <c r="B3" s="1569"/>
      <c r="C3" s="402" t="s">
        <v>22</v>
      </c>
      <c r="D3" s="403" t="s">
        <v>4</v>
      </c>
      <c r="E3" s="403" t="s">
        <v>22</v>
      </c>
      <c r="F3" s="403" t="s">
        <v>4</v>
      </c>
      <c r="G3" s="403" t="s">
        <v>22</v>
      </c>
      <c r="H3" s="403" t="s">
        <v>4</v>
      </c>
      <c r="I3" s="549"/>
      <c r="J3" s="549"/>
      <c r="K3" s="549"/>
      <c r="L3" s="552"/>
      <c r="M3" s="553"/>
      <c r="N3" s="553"/>
      <c r="O3" s="392"/>
      <c r="P3" s="392" t="s">
        <v>403</v>
      </c>
      <c r="Q3" s="561">
        <f>(Q4+Q5+Q6)/3</f>
        <v>0.46084237470355366</v>
      </c>
      <c r="R3" s="554"/>
      <c r="S3" s="391" t="s">
        <v>87</v>
      </c>
      <c r="T3" s="393" t="s">
        <v>88</v>
      </c>
      <c r="U3" s="394" t="s">
        <v>89</v>
      </c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</row>
    <row r="4" spans="2:46" ht="15">
      <c r="B4" s="404">
        <v>1</v>
      </c>
      <c r="C4" s="1033">
        <f>L4/8*12</f>
        <v>1192.6491388001104</v>
      </c>
      <c r="D4" s="557">
        <f t="shared" ref="D4:D33" si="0">C4*$Q$3*1000</f>
        <v>549623.26131279115</v>
      </c>
      <c r="E4" s="606">
        <v>0</v>
      </c>
      <c r="F4" s="601">
        <f t="shared" ref="F4:F33" si="1">E4*$U$1*1000</f>
        <v>0</v>
      </c>
      <c r="G4" s="406">
        <f>N4</f>
        <v>2.8488914177080971</v>
      </c>
      <c r="H4" s="557">
        <f t="shared" ref="H4:H33" si="2">G4*$Q$3*1000</f>
        <v>1312.889886209173</v>
      </c>
      <c r="I4" s="550"/>
      <c r="J4" s="558">
        <f t="shared" ref="J4:J33" si="3">D4+F4+H4</f>
        <v>550936.15119900031</v>
      </c>
      <c r="K4" s="550"/>
      <c r="L4" s="398">
        <v>795.09942586674038</v>
      </c>
      <c r="M4" s="398"/>
      <c r="N4" s="398">
        <v>2.8488914177080971</v>
      </c>
      <c r="O4" s="397"/>
      <c r="P4" s="397">
        <v>558187.26960994431</v>
      </c>
      <c r="Q4" s="555">
        <v>0.48234904399811845</v>
      </c>
      <c r="R4" s="555"/>
      <c r="S4" s="398">
        <v>234436.28408462374</v>
      </c>
      <c r="T4" s="398">
        <v>0</v>
      </c>
      <c r="U4" s="398">
        <v>840</v>
      </c>
      <c r="V4" s="397"/>
      <c r="W4" s="397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  <c r="AR4" s="397"/>
      <c r="AS4" s="397"/>
      <c r="AT4" s="397"/>
    </row>
    <row r="5" spans="2:46" ht="15">
      <c r="B5" s="407">
        <v>2</v>
      </c>
      <c r="C5" s="1034">
        <f t="shared" ref="C5:C33" si="4">L5/8*12</f>
        <v>1127.0819509908256</v>
      </c>
      <c r="D5" s="557">
        <f t="shared" si="0"/>
        <v>519407.12278012629</v>
      </c>
      <c r="E5" s="606">
        <v>0</v>
      </c>
      <c r="F5" s="601">
        <f t="shared" si="1"/>
        <v>0</v>
      </c>
      <c r="G5" s="408">
        <f t="shared" ref="G5:G33" si="5">N5</f>
        <v>2.8488914177080971</v>
      </c>
      <c r="H5" s="557">
        <f t="shared" si="2"/>
        <v>1312.889886209173</v>
      </c>
      <c r="I5" s="550"/>
      <c r="J5" s="559">
        <f t="shared" si="3"/>
        <v>520720.01266633545</v>
      </c>
      <c r="K5" s="550"/>
      <c r="L5" s="398">
        <v>751.38796732721698</v>
      </c>
      <c r="M5" s="398"/>
      <c r="N5" s="398">
        <v>2.8488914177080971</v>
      </c>
      <c r="O5" s="397"/>
      <c r="P5" s="397">
        <v>461605.10519704677</v>
      </c>
      <c r="Q5" s="555">
        <v>0.40988949151404214</v>
      </c>
      <c r="R5" s="555"/>
      <c r="S5" s="398">
        <v>221547.89355314514</v>
      </c>
      <c r="T5" s="398">
        <v>0</v>
      </c>
      <c r="U5" s="398">
        <v>840</v>
      </c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T5" s="399"/>
    </row>
    <row r="6" spans="2:46" ht="15">
      <c r="B6" s="407">
        <v>3</v>
      </c>
      <c r="C6" s="1034">
        <f t="shared" si="4"/>
        <v>1032.7956991235683</v>
      </c>
      <c r="D6" s="557">
        <f t="shared" si="0"/>
        <v>475956.02256772213</v>
      </c>
      <c r="E6" s="606">
        <v>0</v>
      </c>
      <c r="F6" s="601">
        <f t="shared" si="1"/>
        <v>0</v>
      </c>
      <c r="G6" s="408">
        <f t="shared" si="5"/>
        <v>2.8488914177080971</v>
      </c>
      <c r="H6" s="557">
        <f t="shared" si="2"/>
        <v>1312.889886209173</v>
      </c>
      <c r="I6" s="550"/>
      <c r="J6" s="559">
        <f t="shared" si="3"/>
        <v>477268.91245393129</v>
      </c>
      <c r="K6" s="550"/>
      <c r="L6" s="398">
        <v>688.53046608237889</v>
      </c>
      <c r="M6" s="398"/>
      <c r="N6" s="398">
        <v>2.8488914177080971</v>
      </c>
      <c r="O6" s="397"/>
      <c r="P6" s="397">
        <v>535283.84323995048</v>
      </c>
      <c r="Q6" s="555">
        <v>0.49028858859850039</v>
      </c>
      <c r="R6" s="555"/>
      <c r="S6" s="398">
        <v>203014.26299163315</v>
      </c>
      <c r="T6" s="398">
        <v>0</v>
      </c>
      <c r="U6" s="398">
        <v>840</v>
      </c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397"/>
      <c r="AG6" s="397"/>
      <c r="AH6" s="397"/>
      <c r="AI6" s="397"/>
      <c r="AJ6" s="397"/>
      <c r="AK6" s="397"/>
      <c r="AL6" s="397"/>
      <c r="AM6" s="397"/>
      <c r="AN6" s="397"/>
      <c r="AO6" s="397"/>
      <c r="AP6" s="397"/>
      <c r="AQ6" s="397"/>
      <c r="AR6" s="397"/>
      <c r="AS6" s="397"/>
      <c r="AT6" s="397"/>
    </row>
    <row r="7" spans="2:46" ht="15">
      <c r="B7" s="407">
        <v>4</v>
      </c>
      <c r="C7" s="1035">
        <f t="shared" si="4"/>
        <v>970.524655605828</v>
      </c>
      <c r="D7" s="912">
        <f t="shared" si="0"/>
        <v>447258.88699773833</v>
      </c>
      <c r="E7" s="606">
        <v>0</v>
      </c>
      <c r="F7" s="601">
        <f t="shared" si="1"/>
        <v>0</v>
      </c>
      <c r="G7" s="408">
        <f t="shared" si="5"/>
        <v>2.8488914177080971</v>
      </c>
      <c r="H7" s="912">
        <f t="shared" si="2"/>
        <v>1312.889886209173</v>
      </c>
      <c r="I7" s="550"/>
      <c r="J7" s="559">
        <f t="shared" si="3"/>
        <v>448571.77688394749</v>
      </c>
      <c r="K7" s="550"/>
      <c r="L7" s="400">
        <v>647.016437070552</v>
      </c>
      <c r="N7" s="400">
        <v>2.8488914177080971</v>
      </c>
      <c r="P7" s="397"/>
      <c r="S7" s="398">
        <v>190773.78792361933</v>
      </c>
      <c r="T7" s="398">
        <v>0</v>
      </c>
      <c r="U7" s="398">
        <v>840</v>
      </c>
      <c r="V7" s="399"/>
      <c r="W7" s="399"/>
      <c r="X7" s="399"/>
      <c r="Y7" s="399"/>
      <c r="Z7" s="399"/>
      <c r="AA7" s="399"/>
      <c r="AB7" s="399"/>
      <c r="AC7" s="399"/>
      <c r="AD7" s="399"/>
      <c r="AE7" s="399"/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399"/>
      <c r="AQ7" s="399"/>
      <c r="AR7" s="399"/>
      <c r="AS7" s="399"/>
      <c r="AT7" s="399"/>
    </row>
    <row r="8" spans="2:46" ht="15">
      <c r="B8" s="407">
        <v>5</v>
      </c>
      <c r="C8" s="1035">
        <f t="shared" si="4"/>
        <v>917.06561273931197</v>
      </c>
      <c r="D8" s="912">
        <f t="shared" si="0"/>
        <v>422622.69473375403</v>
      </c>
      <c r="E8" s="408">
        <f>M8</f>
        <v>435.02358143947941</v>
      </c>
      <c r="F8" s="405">
        <f t="shared" si="1"/>
        <v>128267.36959428908</v>
      </c>
      <c r="G8" s="408">
        <f t="shared" si="5"/>
        <v>2.8488914177080971</v>
      </c>
      <c r="H8" s="912">
        <f t="shared" si="2"/>
        <v>1312.889886209173</v>
      </c>
      <c r="I8" s="550"/>
      <c r="J8" s="559">
        <f t="shared" si="3"/>
        <v>552202.9542142523</v>
      </c>
      <c r="K8" s="550"/>
      <c r="L8" s="400">
        <v>611.37707515954128</v>
      </c>
      <c r="M8" s="400">
        <v>435.02358143947941</v>
      </c>
      <c r="N8" s="400">
        <v>2.8488914177080971</v>
      </c>
      <c r="S8" s="400">
        <v>180265.46745230665</v>
      </c>
      <c r="T8" s="400">
        <v>128267.36959428909</v>
      </c>
      <c r="U8" s="400">
        <v>840</v>
      </c>
    </row>
    <row r="9" spans="2:46" ht="15">
      <c r="B9" s="407">
        <v>6</v>
      </c>
      <c r="C9" s="1035">
        <f t="shared" si="4"/>
        <v>907.28474789439429</v>
      </c>
      <c r="D9" s="912">
        <f t="shared" si="0"/>
        <v>418115.25775196764</v>
      </c>
      <c r="E9" s="408">
        <f t="shared" ref="E9:E33" si="6">M9</f>
        <v>442.47064533568033</v>
      </c>
      <c r="F9" s="405">
        <f t="shared" si="1"/>
        <v>130463.14779556615</v>
      </c>
      <c r="G9" s="408">
        <f t="shared" si="5"/>
        <v>2.8488914177080971</v>
      </c>
      <c r="H9" s="912">
        <f t="shared" si="2"/>
        <v>1312.889886209173</v>
      </c>
      <c r="I9" s="550"/>
      <c r="J9" s="559">
        <f t="shared" si="3"/>
        <v>549891.29543374293</v>
      </c>
      <c r="K9" s="550"/>
      <c r="L9" s="400">
        <v>604.8564985962629</v>
      </c>
      <c r="M9" s="400">
        <v>442.47064533568033</v>
      </c>
      <c r="N9" s="400">
        <v>2.8488914177080971</v>
      </c>
      <c r="S9" s="400">
        <v>178342.86546084136</v>
      </c>
      <c r="T9" s="400">
        <v>130463.14779556615</v>
      </c>
      <c r="U9" s="400">
        <v>840</v>
      </c>
    </row>
    <row r="10" spans="2:46" ht="15">
      <c r="B10" s="407">
        <v>7</v>
      </c>
      <c r="C10" s="1035">
        <f t="shared" si="4"/>
        <v>883.99803864791261</v>
      </c>
      <c r="D10" s="912">
        <f t="shared" si="0"/>
        <v>407383.75536378782</v>
      </c>
      <c r="E10" s="408">
        <f t="shared" si="6"/>
        <v>449.93138399557938</v>
      </c>
      <c r="F10" s="405">
        <f t="shared" si="1"/>
        <v>132662.9580218741</v>
      </c>
      <c r="G10" s="408">
        <f t="shared" si="5"/>
        <v>2.8488914177080971</v>
      </c>
      <c r="H10" s="912">
        <f t="shared" si="2"/>
        <v>1312.889886209173</v>
      </c>
      <c r="I10" s="550"/>
      <c r="J10" s="559">
        <f t="shared" si="3"/>
        <v>541359.60327187111</v>
      </c>
      <c r="K10" s="550"/>
      <c r="L10" s="400">
        <v>589.33202576527503</v>
      </c>
      <c r="M10" s="400">
        <v>449.93138399557938</v>
      </c>
      <c r="N10" s="400">
        <v>2.8488914177080971</v>
      </c>
      <c r="S10" s="400">
        <v>173765.45085775314</v>
      </c>
      <c r="T10" s="400">
        <v>132662.9580218741</v>
      </c>
      <c r="U10" s="400">
        <v>840</v>
      </c>
    </row>
    <row r="11" spans="2:46" ht="15">
      <c r="B11" s="407">
        <v>8</v>
      </c>
      <c r="C11" s="1035">
        <f t="shared" si="4"/>
        <v>861.93694567756074</v>
      </c>
      <c r="D11" s="912">
        <f t="shared" si="0"/>
        <v>397217.06889077503</v>
      </c>
      <c r="E11" s="408">
        <f t="shared" si="6"/>
        <v>575.55502628469856</v>
      </c>
      <c r="F11" s="405">
        <f t="shared" si="1"/>
        <v>169703.28144976834</v>
      </c>
      <c r="G11" s="408">
        <f t="shared" si="5"/>
        <v>2.8488914177080971</v>
      </c>
      <c r="H11" s="912">
        <f t="shared" si="2"/>
        <v>1312.889886209173</v>
      </c>
      <c r="I11" s="550"/>
      <c r="J11" s="559">
        <f t="shared" si="3"/>
        <v>568233.24022675247</v>
      </c>
      <c r="K11" s="550"/>
      <c r="L11" s="400">
        <v>574.62463045170716</v>
      </c>
      <c r="M11" s="400">
        <v>575.55502628469856</v>
      </c>
      <c r="N11" s="400">
        <v>2.8488914177080971</v>
      </c>
      <c r="S11" s="400">
        <v>169428.95281272207</v>
      </c>
      <c r="T11" s="400">
        <v>169703.28144976834</v>
      </c>
      <c r="U11" s="400">
        <v>840</v>
      </c>
    </row>
    <row r="12" spans="2:46" ht="15">
      <c r="B12" s="407">
        <v>9</v>
      </c>
      <c r="C12" s="1035">
        <f t="shared" si="4"/>
        <v>841.00719080825343</v>
      </c>
      <c r="D12" s="912">
        <f t="shared" si="0"/>
        <v>387571.75095484016</v>
      </c>
      <c r="E12" s="408">
        <f t="shared" si="6"/>
        <v>626.75717137488232</v>
      </c>
      <c r="F12" s="405">
        <f t="shared" si="1"/>
        <v>184800.31238903641</v>
      </c>
      <c r="G12" s="408">
        <f t="shared" si="5"/>
        <v>2.8488914177080971</v>
      </c>
      <c r="H12" s="912">
        <f t="shared" si="2"/>
        <v>1312.889886209173</v>
      </c>
      <c r="I12" s="550"/>
      <c r="J12" s="559">
        <f t="shared" si="3"/>
        <v>573684.95323008567</v>
      </c>
      <c r="K12" s="550"/>
      <c r="L12" s="400">
        <v>560.67146053883562</v>
      </c>
      <c r="M12" s="400">
        <v>626.75717137488232</v>
      </c>
      <c r="N12" s="400">
        <v>2.8488914177080971</v>
      </c>
      <c r="S12" s="400">
        <v>165314.8392828209</v>
      </c>
      <c r="T12" s="400">
        <v>184800.31238903641</v>
      </c>
      <c r="U12" s="400">
        <v>840</v>
      </c>
    </row>
    <row r="13" spans="2:46" ht="15">
      <c r="B13" s="407">
        <v>10</v>
      </c>
      <c r="C13" s="1035">
        <f t="shared" si="4"/>
        <v>821.18462890760111</v>
      </c>
      <c r="D13" s="912">
        <f t="shared" si="0"/>
        <v>378436.67445583537</v>
      </c>
      <c r="E13" s="408">
        <f t="shared" si="6"/>
        <v>670.97522180169562</v>
      </c>
      <c r="F13" s="405">
        <f t="shared" si="1"/>
        <v>197838.07231475672</v>
      </c>
      <c r="G13" s="408">
        <f t="shared" si="5"/>
        <v>2.8488914177080971</v>
      </c>
      <c r="H13" s="912">
        <f t="shared" si="2"/>
        <v>1312.889886209173</v>
      </c>
      <c r="I13" s="550"/>
      <c r="J13" s="559">
        <f t="shared" si="3"/>
        <v>577587.63665680122</v>
      </c>
      <c r="K13" s="550"/>
      <c r="L13" s="400">
        <v>547.45641927173403</v>
      </c>
      <c r="M13" s="400">
        <v>670.97522180169562</v>
      </c>
      <c r="N13" s="400">
        <v>2.8488914177080971</v>
      </c>
      <c r="S13" s="400">
        <v>161418.36411519392</v>
      </c>
      <c r="T13" s="400">
        <v>197838.07231475675</v>
      </c>
      <c r="U13" s="400">
        <v>840</v>
      </c>
    </row>
    <row r="14" spans="2:46" ht="15">
      <c r="B14" s="407">
        <v>11</v>
      </c>
      <c r="C14" s="1035">
        <f t="shared" si="4"/>
        <v>822.47353836281388</v>
      </c>
      <c r="D14" s="912">
        <f t="shared" si="0"/>
        <v>379030.65854995348</v>
      </c>
      <c r="E14" s="408">
        <f t="shared" si="6"/>
        <v>672.02904042345995</v>
      </c>
      <c r="F14" s="405">
        <f t="shared" si="1"/>
        <v>198148.79235019922</v>
      </c>
      <c r="G14" s="408">
        <f t="shared" si="5"/>
        <v>2.8488914177080971</v>
      </c>
      <c r="H14" s="912">
        <f t="shared" si="2"/>
        <v>1312.889886209173</v>
      </c>
      <c r="I14" s="550"/>
      <c r="J14" s="559">
        <f t="shared" si="3"/>
        <v>578492.34078636183</v>
      </c>
      <c r="K14" s="550"/>
      <c r="L14" s="400">
        <v>548.31569224187592</v>
      </c>
      <c r="M14" s="400">
        <v>672.02904042345995</v>
      </c>
      <c r="N14" s="400">
        <v>2.8488914177080971</v>
      </c>
      <c r="S14" s="400">
        <v>161671.72206714415</v>
      </c>
      <c r="T14" s="400">
        <v>198148.79235019922</v>
      </c>
      <c r="U14" s="400">
        <v>840</v>
      </c>
    </row>
    <row r="15" spans="2:46" ht="15">
      <c r="B15" s="407">
        <v>12</v>
      </c>
      <c r="C15" s="1035">
        <f t="shared" si="4"/>
        <v>823.6615792101519</v>
      </c>
      <c r="D15" s="912">
        <f t="shared" si="0"/>
        <v>379578.15811528557</v>
      </c>
      <c r="E15" s="408">
        <f t="shared" si="6"/>
        <v>673.01809557848901</v>
      </c>
      <c r="F15" s="405">
        <f t="shared" si="1"/>
        <v>198440.41677823471</v>
      </c>
      <c r="G15" s="408">
        <f t="shared" si="5"/>
        <v>2.8488914177080971</v>
      </c>
      <c r="H15" s="912">
        <f t="shared" si="2"/>
        <v>1312.889886209173</v>
      </c>
      <c r="I15" s="550"/>
      <c r="J15" s="559">
        <f t="shared" si="3"/>
        <v>579331.46477972937</v>
      </c>
      <c r="K15" s="550"/>
      <c r="L15" s="400">
        <v>549.1077194734346</v>
      </c>
      <c r="M15" s="400">
        <v>673.01809557848901</v>
      </c>
      <c r="N15" s="400">
        <v>2.8488914177080971</v>
      </c>
      <c r="S15" s="400">
        <v>161905.25251002939</v>
      </c>
      <c r="T15" s="400">
        <v>198440.41677823471</v>
      </c>
      <c r="U15" s="400">
        <v>840</v>
      </c>
    </row>
    <row r="16" spans="2:46" ht="15">
      <c r="B16" s="407">
        <v>13</v>
      </c>
      <c r="C16" s="1035">
        <f t="shared" si="4"/>
        <v>824.8496200574898</v>
      </c>
      <c r="D16" s="912">
        <f t="shared" si="0"/>
        <v>380125.65768061759</v>
      </c>
      <c r="E16" s="408">
        <f t="shared" si="6"/>
        <v>673.98207164791063</v>
      </c>
      <c r="F16" s="405">
        <f t="shared" si="1"/>
        <v>198724.64659944901</v>
      </c>
      <c r="G16" s="408">
        <f t="shared" si="5"/>
        <v>2.8488914177080971</v>
      </c>
      <c r="H16" s="912">
        <f t="shared" si="2"/>
        <v>1312.889886209173</v>
      </c>
      <c r="I16" s="550"/>
      <c r="J16" s="559">
        <f t="shared" si="3"/>
        <v>580163.19416627579</v>
      </c>
      <c r="K16" s="550"/>
      <c r="L16" s="400">
        <v>549.89974670499316</v>
      </c>
      <c r="M16" s="400">
        <v>673.98207164791063</v>
      </c>
      <c r="N16" s="400">
        <v>2.8488914177080971</v>
      </c>
      <c r="S16" s="400">
        <v>162138.78295291457</v>
      </c>
      <c r="T16" s="400">
        <v>198724.64659944904</v>
      </c>
      <c r="U16" s="400">
        <v>840</v>
      </c>
    </row>
    <row r="17" spans="2:46" ht="15">
      <c r="B17" s="407">
        <v>14</v>
      </c>
      <c r="C17" s="1035">
        <f t="shared" si="4"/>
        <v>826.03766090482736</v>
      </c>
      <c r="D17" s="912">
        <f t="shared" si="0"/>
        <v>380673.15724594943</v>
      </c>
      <c r="E17" s="408">
        <f t="shared" si="6"/>
        <v>674.94604771733214</v>
      </c>
      <c r="F17" s="405">
        <f t="shared" si="1"/>
        <v>199008.87642066332</v>
      </c>
      <c r="G17" s="408">
        <f t="shared" si="5"/>
        <v>2.8488914177080971</v>
      </c>
      <c r="H17" s="912">
        <f t="shared" si="2"/>
        <v>1312.889886209173</v>
      </c>
      <c r="I17" s="550"/>
      <c r="J17" s="559">
        <f t="shared" si="3"/>
        <v>580994.92355282197</v>
      </c>
      <c r="K17" s="550"/>
      <c r="L17" s="400">
        <v>550.69177393655161</v>
      </c>
      <c r="M17" s="400">
        <v>674.94604771733214</v>
      </c>
      <c r="N17" s="400">
        <v>2.8488914177080971</v>
      </c>
      <c r="S17" s="400">
        <v>162372.31339579975</v>
      </c>
      <c r="T17" s="400">
        <v>199008.87642066332</v>
      </c>
      <c r="U17" s="400">
        <v>840</v>
      </c>
    </row>
    <row r="18" spans="2:46" ht="15">
      <c r="B18" s="407">
        <v>15</v>
      </c>
      <c r="C18" s="1035">
        <f t="shared" si="4"/>
        <v>827.22570175216526</v>
      </c>
      <c r="D18" s="912">
        <f t="shared" si="0"/>
        <v>381220.65681128146</v>
      </c>
      <c r="E18" s="408">
        <f t="shared" si="6"/>
        <v>675.91002378675364</v>
      </c>
      <c r="F18" s="405">
        <f t="shared" si="1"/>
        <v>199293.10624187757</v>
      </c>
      <c r="G18" s="408">
        <f t="shared" si="5"/>
        <v>2.8488914177080971</v>
      </c>
      <c r="H18" s="912">
        <f t="shared" si="2"/>
        <v>1312.889886209173</v>
      </c>
      <c r="I18" s="550"/>
      <c r="J18" s="559">
        <f t="shared" si="3"/>
        <v>581826.65293936816</v>
      </c>
      <c r="K18" s="550"/>
      <c r="L18" s="400">
        <v>551.48380116811018</v>
      </c>
      <c r="M18" s="400">
        <v>675.91002378675364</v>
      </c>
      <c r="N18" s="400">
        <v>2.8488914177080971</v>
      </c>
      <c r="S18" s="400">
        <v>162605.84383868493</v>
      </c>
      <c r="T18" s="400">
        <v>199293.1062418776</v>
      </c>
      <c r="U18" s="400">
        <v>840</v>
      </c>
    </row>
    <row r="19" spans="2:46" ht="15">
      <c r="B19" s="407">
        <v>16</v>
      </c>
      <c r="C19" s="1035">
        <f t="shared" si="4"/>
        <v>828.17368260572289</v>
      </c>
      <c r="D19" s="912">
        <f t="shared" si="0"/>
        <v>381657.52655900846</v>
      </c>
      <c r="E19" s="408">
        <f t="shared" si="6"/>
        <v>676.73663811920494</v>
      </c>
      <c r="F19" s="405">
        <f t="shared" si="1"/>
        <v>199536.83474446044</v>
      </c>
      <c r="G19" s="408">
        <f t="shared" si="5"/>
        <v>2.8488914177080971</v>
      </c>
      <c r="H19" s="912">
        <f t="shared" si="2"/>
        <v>1312.889886209173</v>
      </c>
      <c r="I19" s="550"/>
      <c r="J19" s="559">
        <f t="shared" si="3"/>
        <v>582507.25118967809</v>
      </c>
      <c r="K19" s="550"/>
      <c r="L19" s="400">
        <v>552.11578840381526</v>
      </c>
      <c r="M19" s="400">
        <v>676.73663811920494</v>
      </c>
      <c r="N19" s="400">
        <v>2.8488914177080971</v>
      </c>
      <c r="S19" s="400">
        <v>162792.186243556</v>
      </c>
      <c r="T19" s="400">
        <v>199536.83474446042</v>
      </c>
      <c r="U19" s="400">
        <v>840</v>
      </c>
    </row>
    <row r="20" spans="2:46" ht="15">
      <c r="B20" s="407">
        <v>17</v>
      </c>
      <c r="C20" s="1035">
        <f t="shared" si="4"/>
        <v>829.14036469713233</v>
      </c>
      <c r="D20" s="912">
        <f t="shared" si="0"/>
        <v>382103.01462959702</v>
      </c>
      <c r="E20" s="408">
        <f t="shared" si="6"/>
        <v>677.52492106094542</v>
      </c>
      <c r="F20" s="405">
        <f t="shared" si="1"/>
        <v>199769.26117775519</v>
      </c>
      <c r="G20" s="408">
        <f t="shared" si="5"/>
        <v>2.8488914177080971</v>
      </c>
      <c r="H20" s="912">
        <f t="shared" si="2"/>
        <v>1312.889886209173</v>
      </c>
      <c r="I20" s="550"/>
      <c r="J20" s="559">
        <f t="shared" si="3"/>
        <v>583185.16569356143</v>
      </c>
      <c r="K20" s="550"/>
      <c r="L20" s="400">
        <v>552.76024313142159</v>
      </c>
      <c r="M20" s="400">
        <v>677.52492106094542</v>
      </c>
      <c r="N20" s="400">
        <v>2.8488914177080971</v>
      </c>
      <c r="S20" s="400">
        <v>162982.20470751869</v>
      </c>
      <c r="T20" s="400">
        <v>199769.26117775519</v>
      </c>
      <c r="U20" s="400">
        <v>840</v>
      </c>
    </row>
    <row r="21" spans="2:46" ht="15">
      <c r="B21" s="407">
        <v>18</v>
      </c>
      <c r="C21" s="1035">
        <f t="shared" si="4"/>
        <v>830.10704678854199</v>
      </c>
      <c r="D21" s="912">
        <f t="shared" si="0"/>
        <v>382548.50270018564</v>
      </c>
      <c r="E21" s="408">
        <f t="shared" si="6"/>
        <v>678.31008968035451</v>
      </c>
      <c r="F21" s="405">
        <f t="shared" si="1"/>
        <v>200000.76934833836</v>
      </c>
      <c r="G21" s="408">
        <f t="shared" si="5"/>
        <v>2.8488914177080971</v>
      </c>
      <c r="H21" s="912">
        <f t="shared" si="2"/>
        <v>1312.889886209173</v>
      </c>
      <c r="I21" s="550"/>
      <c r="J21" s="559">
        <f t="shared" si="3"/>
        <v>583862.16193473316</v>
      </c>
      <c r="K21" s="550"/>
      <c r="L21" s="400">
        <v>553.40469785902803</v>
      </c>
      <c r="M21" s="400">
        <v>678.31008968035451</v>
      </c>
      <c r="N21" s="400">
        <v>2.8488914177080971</v>
      </c>
      <c r="S21" s="400">
        <v>163172.22317148137</v>
      </c>
      <c r="T21" s="400">
        <v>200000.76934833833</v>
      </c>
      <c r="U21" s="400">
        <v>840</v>
      </c>
    </row>
    <row r="22" spans="2:46" s="396" customFormat="1" ht="15">
      <c r="B22" s="407">
        <v>19</v>
      </c>
      <c r="C22" s="1035">
        <f t="shared" si="4"/>
        <v>831.07372887995143</v>
      </c>
      <c r="D22" s="912">
        <f t="shared" si="0"/>
        <v>382993.99077077414</v>
      </c>
      <c r="E22" s="408">
        <f t="shared" si="6"/>
        <v>679.09525829976371</v>
      </c>
      <c r="F22" s="405">
        <f t="shared" si="1"/>
        <v>200232.27751892153</v>
      </c>
      <c r="G22" s="408">
        <f t="shared" si="5"/>
        <v>2.8488914177080971</v>
      </c>
      <c r="H22" s="912">
        <f t="shared" si="2"/>
        <v>1312.889886209173</v>
      </c>
      <c r="I22" s="550"/>
      <c r="J22" s="559">
        <f t="shared" si="3"/>
        <v>584539.15817590489</v>
      </c>
      <c r="K22" s="550"/>
      <c r="L22" s="400">
        <v>554.04915258663425</v>
      </c>
      <c r="M22" s="400">
        <v>679.09525829976371</v>
      </c>
      <c r="N22" s="400">
        <v>2.8488914177080971</v>
      </c>
      <c r="O22" s="389"/>
      <c r="P22" s="389"/>
      <c r="Q22" s="389"/>
      <c r="R22" s="389"/>
      <c r="S22" s="400">
        <v>163362.24163544399</v>
      </c>
      <c r="T22" s="400">
        <v>200232.27751892153</v>
      </c>
      <c r="U22" s="400">
        <v>840</v>
      </c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</row>
    <row r="23" spans="2:46" ht="15">
      <c r="B23" s="407">
        <v>20</v>
      </c>
      <c r="C23" s="1035">
        <f t="shared" si="4"/>
        <v>832.0404109713611</v>
      </c>
      <c r="D23" s="912">
        <f t="shared" si="0"/>
        <v>383439.47884136275</v>
      </c>
      <c r="E23" s="408">
        <f t="shared" si="6"/>
        <v>679.88042691917315</v>
      </c>
      <c r="F23" s="405">
        <f t="shared" si="1"/>
        <v>200463.78568950479</v>
      </c>
      <c r="G23" s="408">
        <f t="shared" si="5"/>
        <v>2.8488914177080971</v>
      </c>
      <c r="H23" s="912">
        <f t="shared" si="2"/>
        <v>1312.889886209173</v>
      </c>
      <c r="I23" s="550"/>
      <c r="J23" s="559">
        <f t="shared" si="3"/>
        <v>585216.15441707673</v>
      </c>
      <c r="K23" s="550"/>
      <c r="L23" s="400">
        <v>554.69360731424069</v>
      </c>
      <c r="M23" s="400">
        <v>679.88042691917315</v>
      </c>
      <c r="N23" s="400">
        <v>2.8488914177080971</v>
      </c>
      <c r="S23" s="400">
        <v>163552.26009940667</v>
      </c>
      <c r="T23" s="400">
        <v>200463.78568950479</v>
      </c>
      <c r="U23" s="400">
        <v>840</v>
      </c>
    </row>
    <row r="24" spans="2:46" ht="15">
      <c r="B24" s="407">
        <v>21</v>
      </c>
      <c r="C24" s="1035">
        <f t="shared" si="4"/>
        <v>833.22937212102579</v>
      </c>
      <c r="D24" s="912">
        <f t="shared" si="0"/>
        <v>383987.40252100455</v>
      </c>
      <c r="E24" s="408">
        <f t="shared" si="6"/>
        <v>680.79278306805486</v>
      </c>
      <c r="F24" s="405">
        <f t="shared" si="1"/>
        <v>200732.7952980483</v>
      </c>
      <c r="G24" s="408">
        <f t="shared" si="5"/>
        <v>2.8488914177080971</v>
      </c>
      <c r="H24" s="912">
        <f t="shared" si="2"/>
        <v>1312.889886209173</v>
      </c>
      <c r="I24" s="550"/>
      <c r="J24" s="559">
        <f t="shared" si="3"/>
        <v>586033.08770526201</v>
      </c>
      <c r="K24" s="550"/>
      <c r="L24" s="400">
        <v>555.48624808068382</v>
      </c>
      <c r="M24" s="400">
        <v>680.79278306805486</v>
      </c>
      <c r="N24" s="400">
        <v>2.8488914177080971</v>
      </c>
      <c r="O24" s="396"/>
      <c r="P24" s="396"/>
      <c r="Q24" s="396"/>
      <c r="R24" s="396"/>
      <c r="S24" s="400">
        <v>163785.97144399275</v>
      </c>
      <c r="T24" s="400">
        <v>200732.7952980483</v>
      </c>
      <c r="U24" s="400">
        <v>840</v>
      </c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</row>
    <row r="25" spans="2:46" ht="15">
      <c r="B25" s="407">
        <v>22</v>
      </c>
      <c r="C25" s="1035">
        <f t="shared" si="4"/>
        <v>834.05502222187579</v>
      </c>
      <c r="D25" s="912">
        <f t="shared" si="0"/>
        <v>384367.8970741544</v>
      </c>
      <c r="E25" s="408">
        <f t="shared" si="6"/>
        <v>681.55448115953959</v>
      </c>
      <c r="F25" s="405">
        <f t="shared" si="1"/>
        <v>200957.38314750799</v>
      </c>
      <c r="G25" s="408">
        <f t="shared" si="5"/>
        <v>2.8488914177080971</v>
      </c>
      <c r="H25" s="912">
        <f t="shared" si="2"/>
        <v>1312.889886209173</v>
      </c>
      <c r="I25" s="550"/>
      <c r="J25" s="559">
        <f t="shared" si="3"/>
        <v>586638.17010787153</v>
      </c>
      <c r="K25" s="550"/>
      <c r="L25" s="400">
        <v>556.03668148125053</v>
      </c>
      <c r="M25" s="400">
        <v>681.55448115953959</v>
      </c>
      <c r="N25" s="400">
        <v>2.8488914177080971</v>
      </c>
      <c r="S25" s="400">
        <v>163948.26757560455</v>
      </c>
      <c r="T25" s="400">
        <v>200957.38314750796</v>
      </c>
      <c r="U25" s="400">
        <v>840</v>
      </c>
    </row>
    <row r="26" spans="2:46" s="396" customFormat="1" ht="15">
      <c r="B26" s="407">
        <v>23</v>
      </c>
      <c r="C26" s="1035">
        <f t="shared" si="4"/>
        <v>834.88067232272601</v>
      </c>
      <c r="D26" s="912">
        <f t="shared" si="0"/>
        <v>384748.39162730449</v>
      </c>
      <c r="E26" s="408">
        <f t="shared" si="6"/>
        <v>682.22482843493992</v>
      </c>
      <c r="F26" s="405">
        <f t="shared" si="1"/>
        <v>201155.03606886405</v>
      </c>
      <c r="G26" s="408">
        <f t="shared" si="5"/>
        <v>2.8488914177080971</v>
      </c>
      <c r="H26" s="912">
        <f t="shared" si="2"/>
        <v>1312.889886209173</v>
      </c>
      <c r="I26" s="550"/>
      <c r="J26" s="559">
        <f t="shared" si="3"/>
        <v>587216.3175823777</v>
      </c>
      <c r="K26" s="550"/>
      <c r="L26" s="400">
        <v>556.58711488181734</v>
      </c>
      <c r="M26" s="400">
        <v>682.22482843493992</v>
      </c>
      <c r="N26" s="400">
        <v>2.8488914177080971</v>
      </c>
      <c r="O26" s="389"/>
      <c r="P26" s="389"/>
      <c r="Q26" s="389"/>
      <c r="R26" s="389"/>
      <c r="S26" s="400">
        <v>164110.56370721635</v>
      </c>
      <c r="T26" s="400">
        <v>201155.03606886408</v>
      </c>
      <c r="U26" s="400">
        <v>840</v>
      </c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</row>
    <row r="27" spans="2:46" s="396" customFormat="1" ht="15">
      <c r="B27" s="407">
        <v>24</v>
      </c>
      <c r="C27" s="1035">
        <f t="shared" si="4"/>
        <v>835.70632242357624</v>
      </c>
      <c r="D27" s="912">
        <f t="shared" si="0"/>
        <v>385128.88618045457</v>
      </c>
      <c r="E27" s="408">
        <f t="shared" si="6"/>
        <v>682.89517571034037</v>
      </c>
      <c r="F27" s="405">
        <f t="shared" si="1"/>
        <v>201352.68899022017</v>
      </c>
      <c r="G27" s="408">
        <f t="shared" si="5"/>
        <v>2.8488914177080971</v>
      </c>
      <c r="H27" s="912">
        <f t="shared" si="2"/>
        <v>1312.889886209173</v>
      </c>
      <c r="I27" s="550"/>
      <c r="J27" s="559">
        <f t="shared" si="3"/>
        <v>587794.46505688387</v>
      </c>
      <c r="K27" s="550"/>
      <c r="L27" s="400">
        <v>557.13754828238416</v>
      </c>
      <c r="M27" s="400">
        <v>682.89517571034037</v>
      </c>
      <c r="N27" s="400">
        <v>2.8488914177080971</v>
      </c>
      <c r="O27" s="389"/>
      <c r="P27" s="389"/>
      <c r="Q27" s="389"/>
      <c r="R27" s="389"/>
      <c r="S27" s="400">
        <v>164272.85983882815</v>
      </c>
      <c r="T27" s="400">
        <v>201352.68899022017</v>
      </c>
      <c r="U27" s="400">
        <v>840</v>
      </c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</row>
    <row r="28" spans="2:46" ht="15">
      <c r="B28" s="407">
        <v>25</v>
      </c>
      <c r="C28" s="1035">
        <f t="shared" si="4"/>
        <v>836.53197252442624</v>
      </c>
      <c r="D28" s="912">
        <f t="shared" si="0"/>
        <v>385509.38073360448</v>
      </c>
      <c r="E28" s="408">
        <f t="shared" si="6"/>
        <v>683.5655229857407</v>
      </c>
      <c r="F28" s="405">
        <f t="shared" si="1"/>
        <v>201550.34191157625</v>
      </c>
      <c r="G28" s="408">
        <f t="shared" si="5"/>
        <v>2.8488914177080971</v>
      </c>
      <c r="H28" s="912">
        <f t="shared" si="2"/>
        <v>1312.889886209173</v>
      </c>
      <c r="I28" s="550"/>
      <c r="J28" s="559">
        <f t="shared" si="3"/>
        <v>588372.61253138992</v>
      </c>
      <c r="K28" s="550"/>
      <c r="L28" s="400">
        <v>557.68798168295086</v>
      </c>
      <c r="M28" s="400">
        <v>683.5655229857407</v>
      </c>
      <c r="N28" s="400">
        <v>2.8488914177080971</v>
      </c>
      <c r="O28" s="396"/>
      <c r="P28" s="396"/>
      <c r="Q28" s="396"/>
      <c r="R28" s="396"/>
      <c r="S28" s="400">
        <v>164435.15597043996</v>
      </c>
      <c r="T28" s="400">
        <v>201550.34191157625</v>
      </c>
      <c r="U28" s="400">
        <v>840</v>
      </c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</row>
    <row r="29" spans="2:46" ht="15">
      <c r="B29" s="407">
        <v>26</v>
      </c>
      <c r="C29" s="1035">
        <f t="shared" si="4"/>
        <v>837.72093367409093</v>
      </c>
      <c r="D29" s="912">
        <f t="shared" si="0"/>
        <v>386057.30441324622</v>
      </c>
      <c r="E29" s="408">
        <f t="shared" si="6"/>
        <v>684.44375594813073</v>
      </c>
      <c r="F29" s="405">
        <f t="shared" si="1"/>
        <v>201809.29024629414</v>
      </c>
      <c r="G29" s="408">
        <f t="shared" si="5"/>
        <v>2.8488914177080971</v>
      </c>
      <c r="H29" s="912">
        <f t="shared" si="2"/>
        <v>1312.889886209173</v>
      </c>
      <c r="I29" s="550"/>
      <c r="J29" s="559">
        <f t="shared" si="3"/>
        <v>589179.4845457495</v>
      </c>
      <c r="K29" s="550"/>
      <c r="L29" s="400">
        <v>558.48062244939399</v>
      </c>
      <c r="M29" s="400">
        <v>684.44375594813073</v>
      </c>
      <c r="N29" s="400">
        <v>2.8488914177080971</v>
      </c>
      <c r="O29" s="396"/>
      <c r="P29" s="396"/>
      <c r="Q29" s="396"/>
      <c r="R29" s="396"/>
      <c r="S29" s="400">
        <v>164668.867315026</v>
      </c>
      <c r="T29" s="400">
        <v>201809.29024629414</v>
      </c>
      <c r="U29" s="400">
        <v>840</v>
      </c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</row>
    <row r="30" spans="2:46" ht="15">
      <c r="B30" s="407">
        <v>27</v>
      </c>
      <c r="C30" s="1035">
        <f t="shared" si="4"/>
        <v>838.58674715762595</v>
      </c>
      <c r="D30" s="912">
        <f t="shared" si="0"/>
        <v>386456.30795504886</v>
      </c>
      <c r="E30" s="408">
        <f t="shared" si="6"/>
        <v>685.22843594008134</v>
      </c>
      <c r="F30" s="405">
        <f t="shared" si="1"/>
        <v>202040.65434432242</v>
      </c>
      <c r="G30" s="408">
        <f t="shared" si="5"/>
        <v>2.8488914177080971</v>
      </c>
      <c r="H30" s="912">
        <f t="shared" si="2"/>
        <v>1312.889886209173</v>
      </c>
      <c r="I30" s="550"/>
      <c r="J30" s="559">
        <f t="shared" si="3"/>
        <v>589809.85218558041</v>
      </c>
      <c r="K30" s="550"/>
      <c r="L30" s="400">
        <v>559.05783143841734</v>
      </c>
      <c r="M30" s="400">
        <v>685.22843594008134</v>
      </c>
      <c r="N30" s="400">
        <v>2.8488914177080971</v>
      </c>
      <c r="S30" s="400">
        <v>164839.0582699237</v>
      </c>
      <c r="T30" s="400">
        <v>202040.65434432245</v>
      </c>
      <c r="U30" s="400">
        <v>840</v>
      </c>
    </row>
    <row r="31" spans="2:46" ht="15">
      <c r="B31" s="407">
        <v>28</v>
      </c>
      <c r="C31" s="1035">
        <f t="shared" si="4"/>
        <v>839.47310248366625</v>
      </c>
      <c r="D31" s="912">
        <f t="shared" si="0"/>
        <v>386864.77804833243</v>
      </c>
      <c r="E31" s="408">
        <f t="shared" si="6"/>
        <v>685.94254275854712</v>
      </c>
      <c r="F31" s="405">
        <f t="shared" si="1"/>
        <v>202251.20983400615</v>
      </c>
      <c r="G31" s="408">
        <f t="shared" si="5"/>
        <v>2.8488914177080971</v>
      </c>
      <c r="H31" s="912">
        <f t="shared" si="2"/>
        <v>1312.889886209173</v>
      </c>
      <c r="I31" s="550"/>
      <c r="J31" s="559">
        <f t="shared" si="3"/>
        <v>590428.87776854774</v>
      </c>
      <c r="K31" s="550"/>
      <c r="L31" s="400">
        <v>559.64873498911084</v>
      </c>
      <c r="M31" s="400">
        <v>685.94254275854712</v>
      </c>
      <c r="N31" s="400">
        <v>2.8488914177080971</v>
      </c>
      <c r="S31" s="400">
        <v>165013.28708731467</v>
      </c>
      <c r="T31" s="400">
        <v>202251.20983400615</v>
      </c>
      <c r="U31" s="400">
        <v>840</v>
      </c>
    </row>
    <row r="32" spans="2:46" ht="15">
      <c r="B32" s="407">
        <v>29</v>
      </c>
      <c r="C32" s="1035">
        <f t="shared" si="4"/>
        <v>840.39962119239112</v>
      </c>
      <c r="D32" s="912">
        <f t="shared" si="0"/>
        <v>387291.7571302685</v>
      </c>
      <c r="E32" s="408">
        <f t="shared" si="6"/>
        <v>686.68668504751918</v>
      </c>
      <c r="F32" s="405">
        <f t="shared" si="1"/>
        <v>202470.62132819337</v>
      </c>
      <c r="G32" s="408">
        <f t="shared" si="5"/>
        <v>2.8488914177080971</v>
      </c>
      <c r="H32" s="912">
        <f t="shared" si="2"/>
        <v>1312.889886209173</v>
      </c>
      <c r="I32" s="550"/>
      <c r="J32" s="559">
        <f t="shared" si="3"/>
        <v>591075.268344671</v>
      </c>
      <c r="K32" s="550"/>
      <c r="L32" s="400">
        <v>560.26641412826075</v>
      </c>
      <c r="M32" s="400">
        <v>686.68668504751918</v>
      </c>
      <c r="N32" s="400">
        <v>2.8488914177080971</v>
      </c>
      <c r="S32" s="400">
        <v>165195.41072799149</v>
      </c>
      <c r="T32" s="400">
        <v>202470.62132819337</v>
      </c>
      <c r="U32" s="400">
        <v>840</v>
      </c>
    </row>
    <row r="33" spans="2:21" ht="15.75" thickBot="1">
      <c r="B33" s="409">
        <v>30</v>
      </c>
      <c r="C33" s="1036">
        <f t="shared" si="4"/>
        <v>840.90304392943801</v>
      </c>
      <c r="D33" s="913">
        <f t="shared" si="0"/>
        <v>387523.75565988891</v>
      </c>
      <c r="E33" s="411">
        <f t="shared" si="6"/>
        <v>687.19775574371806</v>
      </c>
      <c r="F33" s="410">
        <f t="shared" si="1"/>
        <v>202621.31130610502</v>
      </c>
      <c r="G33" s="411">
        <f t="shared" si="5"/>
        <v>2.8488914177080971</v>
      </c>
      <c r="H33" s="913">
        <f t="shared" si="2"/>
        <v>1312.889886209173</v>
      </c>
      <c r="I33" s="550"/>
      <c r="J33" s="560">
        <f t="shared" si="3"/>
        <v>591457.95685220312</v>
      </c>
      <c r="K33" s="550"/>
      <c r="L33" s="400">
        <v>560.60202928629201</v>
      </c>
      <c r="M33" s="400">
        <v>687.19775574371806</v>
      </c>
      <c r="N33" s="400">
        <v>2.8488914177080971</v>
      </c>
      <c r="S33" s="400">
        <v>165294.36737161572</v>
      </c>
      <c r="T33" s="400">
        <v>202621.311306105</v>
      </c>
      <c r="U33" s="400">
        <v>840</v>
      </c>
    </row>
    <row r="34" spans="2:21">
      <c r="D34" s="400"/>
      <c r="F34" s="400"/>
      <c r="H34" s="400"/>
      <c r="I34" s="400"/>
      <c r="J34" s="400"/>
      <c r="K34" s="400"/>
    </row>
    <row r="36" spans="2:21" ht="22.5" customHeight="1">
      <c r="D36" s="401">
        <f>SUM(D4:D35)</f>
        <v>12074899.15905666</v>
      </c>
      <c r="F36" s="401">
        <f>SUM(F4:F35)</f>
        <v>4954295.2409098325</v>
      </c>
      <c r="H36" s="401">
        <f>SUM(H4:H35)</f>
        <v>39386.696586275204</v>
      </c>
      <c r="I36" s="401"/>
      <c r="J36" s="401"/>
      <c r="K36" s="401"/>
    </row>
    <row r="37" spans="2:21" ht="30" customHeight="1">
      <c r="F37" s="401">
        <f>SUM(D36:H36)</f>
        <v>17068581.096552767</v>
      </c>
    </row>
  </sheetData>
  <mergeCells count="5">
    <mergeCell ref="B1:H1"/>
    <mergeCell ref="B2:B3"/>
    <mergeCell ref="C2:D2"/>
    <mergeCell ref="E2:F2"/>
    <mergeCell ref="G2:H2"/>
  </mergeCells>
  <pageMargins left="0.511811024" right="0.511811024" top="0.78740157499999996" bottom="0.78740157499999996" header="0.31496062000000002" footer="0.3149606200000000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2">
    <tabColor rgb="FF7030A0"/>
    <pageSetUpPr fitToPage="1"/>
  </sheetPr>
  <dimension ref="A1:BK37"/>
  <sheetViews>
    <sheetView showGridLines="0" topLeftCell="O1" zoomScale="70" zoomScaleNormal="70" workbookViewId="0">
      <selection activeCell="B20" sqref="B20"/>
    </sheetView>
  </sheetViews>
  <sheetFormatPr defaultColWidth="11.5703125" defaultRowHeight="12.75"/>
  <cols>
    <col min="1" max="17" width="11.5703125" style="389"/>
    <col min="18" max="18" width="2.7109375" style="389" customWidth="1"/>
    <col min="19" max="19" width="7.42578125" style="389" customWidth="1"/>
    <col min="20" max="25" width="18.42578125" style="389" customWidth="1"/>
    <col min="26" max="26" width="2.7109375" style="389" customWidth="1"/>
    <col min="27" max="27" width="12.7109375" style="389" customWidth="1"/>
    <col min="28" max="28" width="2.85546875" style="389" customWidth="1"/>
    <col min="29" max="31" width="8.7109375" style="400" customWidth="1"/>
    <col min="32" max="32" width="2.85546875" style="389" customWidth="1"/>
    <col min="33" max="33" width="10.85546875" style="389" bestFit="1" customWidth="1"/>
    <col min="34" max="34" width="12" style="389" customWidth="1"/>
    <col min="35" max="35" width="2.7109375" style="389" customWidth="1"/>
    <col min="36" max="36" width="14.5703125" style="389" customWidth="1"/>
    <col min="37" max="40" width="12.42578125" style="389" bestFit="1" customWidth="1"/>
    <col min="41" max="42" width="10.85546875" style="389" bestFit="1" customWidth="1"/>
    <col min="43" max="63" width="12.42578125" style="389" bestFit="1" customWidth="1"/>
    <col min="64" max="16384" width="11.5703125" style="389"/>
  </cols>
  <sheetData>
    <row r="1" spans="1:63" s="387" customFormat="1" ht="48.75" customHeight="1" thickBot="1">
      <c r="A1" s="1009" t="s">
        <v>512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S1" s="1567" t="s">
        <v>49</v>
      </c>
      <c r="T1" s="1567"/>
      <c r="U1" s="1567"/>
      <c r="V1" s="1567"/>
      <c r="W1" s="1567"/>
      <c r="X1" s="1567"/>
      <c r="Y1" s="1567"/>
      <c r="Z1" s="533"/>
      <c r="AA1" s="533"/>
      <c r="AB1" s="533"/>
      <c r="AC1" s="551"/>
      <c r="AD1" s="551"/>
      <c r="AE1" s="551"/>
      <c r="AK1" s="388" t="s">
        <v>99</v>
      </c>
      <c r="AL1" s="556">
        <v>0.29485153234649114</v>
      </c>
    </row>
    <row r="2" spans="1:63" ht="21.75" customHeight="1" thickBot="1">
      <c r="A2"/>
      <c r="B2"/>
      <c r="C2"/>
      <c r="D2"/>
      <c r="E2"/>
      <c r="F2"/>
      <c r="G2"/>
      <c r="H2"/>
      <c r="I2" s="1009"/>
      <c r="J2" s="1668" t="s">
        <v>513</v>
      </c>
      <c r="K2" s="1668"/>
      <c r="L2" s="1668" t="s">
        <v>514</v>
      </c>
      <c r="M2" s="1668"/>
      <c r="N2" s="1668" t="s">
        <v>515</v>
      </c>
      <c r="O2" s="1668"/>
      <c r="S2" s="1568" t="s">
        <v>1</v>
      </c>
      <c r="T2" s="1570" t="s">
        <v>33</v>
      </c>
      <c r="U2" s="1571"/>
      <c r="V2" s="1570" t="s">
        <v>34</v>
      </c>
      <c r="W2" s="1571"/>
      <c r="X2" s="1570" t="s">
        <v>35</v>
      </c>
      <c r="Y2" s="1571"/>
      <c r="Z2" s="549"/>
      <c r="AA2" s="549"/>
      <c r="AB2" s="549"/>
      <c r="AJ2" s="390">
        <f>'R1 FC'!C29</f>
        <v>1</v>
      </c>
    </row>
    <row r="3" spans="1:63" s="396" customFormat="1" ht="45.75" customHeight="1" thickBot="1">
      <c r="A3" s="1011" t="s">
        <v>516</v>
      </c>
      <c r="B3" s="1011" t="s">
        <v>517</v>
      </c>
      <c r="C3" s="1011" t="s">
        <v>518</v>
      </c>
      <c r="D3" s="1011" t="s">
        <v>519</v>
      </c>
      <c r="E3" s="1011" t="s">
        <v>520</v>
      </c>
      <c r="F3" s="1011" t="s">
        <v>521</v>
      </c>
      <c r="G3" s="1012"/>
      <c r="H3" s="1012"/>
      <c r="I3" s="1011" t="s">
        <v>522</v>
      </c>
      <c r="J3" s="1011" t="s">
        <v>523</v>
      </c>
      <c r="K3" s="1011" t="s">
        <v>99</v>
      </c>
      <c r="L3" s="1011" t="s">
        <v>523</v>
      </c>
      <c r="M3" s="1011" t="s">
        <v>524</v>
      </c>
      <c r="N3" s="1011" t="s">
        <v>523</v>
      </c>
      <c r="O3" s="1011" t="s">
        <v>524</v>
      </c>
      <c r="S3" s="1569"/>
      <c r="T3" s="1032" t="s">
        <v>22</v>
      </c>
      <c r="U3" s="403" t="s">
        <v>4</v>
      </c>
      <c r="V3" s="403" t="s">
        <v>22</v>
      </c>
      <c r="W3" s="403" t="s">
        <v>4</v>
      </c>
      <c r="X3" s="403" t="s">
        <v>22</v>
      </c>
      <c r="Y3" s="403" t="s">
        <v>4</v>
      </c>
      <c r="Z3" s="549"/>
      <c r="AA3" s="549"/>
      <c r="AB3" s="549"/>
      <c r="AC3" s="552"/>
      <c r="AD3" s="553"/>
      <c r="AE3" s="553"/>
      <c r="AF3" s="392"/>
      <c r="AG3" s="392" t="s">
        <v>403</v>
      </c>
      <c r="AH3" s="561">
        <f>((AH4+AH5+AH6)/3)</f>
        <v>0.46084237470355366</v>
      </c>
      <c r="AI3" s="554"/>
      <c r="AJ3" s="391" t="s">
        <v>87</v>
      </c>
      <c r="AK3" s="393" t="s">
        <v>88</v>
      </c>
      <c r="AL3" s="394" t="s">
        <v>89</v>
      </c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  <c r="BA3" s="395"/>
      <c r="BB3" s="395"/>
      <c r="BC3" s="395"/>
      <c r="BD3" s="395"/>
      <c r="BE3" s="395"/>
      <c r="BF3" s="395"/>
      <c r="BG3" s="395"/>
      <c r="BH3" s="395"/>
      <c r="BI3" s="395"/>
      <c r="BJ3" s="395"/>
      <c r="BK3" s="395"/>
    </row>
    <row r="4" spans="1:63" ht="20.25" customHeight="1">
      <c r="A4" s="1013">
        <v>43101</v>
      </c>
      <c r="B4" s="1014">
        <v>24073</v>
      </c>
      <c r="C4" s="1014">
        <v>91000</v>
      </c>
      <c r="D4" s="1015">
        <v>55</v>
      </c>
      <c r="E4" s="1016">
        <f t="shared" ref="E4:E11" si="0">B4/(C4*D4/100)</f>
        <v>0.48097902097902095</v>
      </c>
      <c r="F4" s="1017">
        <f t="shared" ref="F4:F11" si="1">0.2725/E4</f>
        <v>0.56655277697004947</v>
      </c>
      <c r="G4"/>
      <c r="H4"/>
      <c r="I4" s="1018">
        <v>1</v>
      </c>
      <c r="J4" s="1019">
        <v>795.09942586674038</v>
      </c>
      <c r="K4" s="1020">
        <v>234436.28408462374</v>
      </c>
      <c r="L4" s="1019">
        <v>1192.6491388001104</v>
      </c>
      <c r="M4" s="1020">
        <v>549623.26131279115</v>
      </c>
      <c r="N4" s="1019">
        <v>1192.6491388001104</v>
      </c>
      <c r="O4" s="1020">
        <v>549623.26131279115</v>
      </c>
      <c r="S4" s="404">
        <v>1</v>
      </c>
      <c r="T4" s="990">
        <f>N4</f>
        <v>1192.6491388001104</v>
      </c>
      <c r="U4" s="989">
        <v>549623.26131279115</v>
      </c>
      <c r="V4" s="606">
        <v>0</v>
      </c>
      <c r="W4" s="601">
        <f t="shared" ref="W4:W33" si="2">V4*$AL$1*1000</f>
        <v>0</v>
      </c>
      <c r="X4" s="406">
        <f>AE4</f>
        <v>2.8488914177080971</v>
      </c>
      <c r="Y4" s="557">
        <f t="shared" ref="Y4:Y33" si="3">X4*$AH$3*1000</f>
        <v>1312.889886209173</v>
      </c>
      <c r="Z4" s="550"/>
      <c r="AA4" s="558">
        <f t="shared" ref="AA4:AA33" si="4">U4+W4+Y4</f>
        <v>550936.15119900031</v>
      </c>
      <c r="AB4" s="550"/>
      <c r="AC4" s="398">
        <v>795.09942586674038</v>
      </c>
      <c r="AD4" s="398"/>
      <c r="AE4" s="398">
        <v>2.8488914177080971</v>
      </c>
      <c r="AF4" s="397"/>
      <c r="AG4" s="397">
        <v>558187.26960994431</v>
      </c>
      <c r="AH4" s="555">
        <v>0.48234904399811845</v>
      </c>
      <c r="AI4" s="555"/>
      <c r="AJ4" s="398">
        <v>234436.28408462374</v>
      </c>
      <c r="AK4" s="398">
        <v>0</v>
      </c>
      <c r="AL4" s="398">
        <v>840</v>
      </c>
      <c r="AM4" s="397"/>
      <c r="AN4" s="397"/>
      <c r="AO4" s="397"/>
      <c r="AP4" s="397"/>
      <c r="AQ4" s="397"/>
      <c r="AR4" s="397"/>
      <c r="AS4" s="397"/>
      <c r="AT4" s="397"/>
      <c r="AU4" s="397"/>
      <c r="AV4" s="397"/>
      <c r="AW4" s="397"/>
      <c r="AX4" s="397"/>
      <c r="AY4" s="397"/>
      <c r="AZ4" s="397"/>
      <c r="BA4" s="397"/>
      <c r="BB4" s="397"/>
      <c r="BC4" s="397"/>
      <c r="BD4" s="397"/>
      <c r="BE4" s="397"/>
      <c r="BF4" s="397"/>
      <c r="BG4" s="397"/>
      <c r="BH4" s="397"/>
      <c r="BI4" s="397"/>
      <c r="BJ4" s="397"/>
      <c r="BK4" s="397"/>
    </row>
    <row r="5" spans="1:63" ht="20.25" customHeight="1">
      <c r="A5" s="1013">
        <v>43132</v>
      </c>
      <c r="B5" s="1014">
        <v>23987</v>
      </c>
      <c r="C5" s="1014">
        <v>81200</v>
      </c>
      <c r="D5" s="1015">
        <v>55</v>
      </c>
      <c r="E5" s="1016">
        <f t="shared" si="0"/>
        <v>0.537102552619794</v>
      </c>
      <c r="F5" s="1017">
        <f t="shared" si="1"/>
        <v>0.507351898945262</v>
      </c>
      <c r="G5"/>
      <c r="H5"/>
      <c r="I5" s="1018">
        <v>2</v>
      </c>
      <c r="J5" s="1019">
        <v>751.38796732721698</v>
      </c>
      <c r="K5" s="1020">
        <v>221547.89355314514</v>
      </c>
      <c r="L5" s="1019">
        <v>1127.0819509908256</v>
      </c>
      <c r="M5" s="1020">
        <v>519407.12278012629</v>
      </c>
      <c r="N5" s="1019">
        <v>1127.0819509908256</v>
      </c>
      <c r="O5" s="1020">
        <v>519407.12278012629</v>
      </c>
      <c r="S5" s="407">
        <v>2</v>
      </c>
      <c r="T5" s="990">
        <f t="shared" ref="T5:T33" si="5">N5</f>
        <v>1127.0819509908256</v>
      </c>
      <c r="U5" s="989">
        <v>519407.12278012629</v>
      </c>
      <c r="V5" s="606">
        <v>0</v>
      </c>
      <c r="W5" s="601">
        <f t="shared" si="2"/>
        <v>0</v>
      </c>
      <c r="X5" s="408">
        <f t="shared" ref="X5:X33" si="6">AE5</f>
        <v>2.8488914177080971</v>
      </c>
      <c r="Y5" s="557">
        <f t="shared" si="3"/>
        <v>1312.889886209173</v>
      </c>
      <c r="Z5" s="550"/>
      <c r="AA5" s="559">
        <f t="shared" si="4"/>
        <v>520720.01266633545</v>
      </c>
      <c r="AB5" s="550"/>
      <c r="AC5" s="398">
        <v>751.38796732721698</v>
      </c>
      <c r="AD5" s="398"/>
      <c r="AE5" s="398">
        <v>2.8488914177080971</v>
      </c>
      <c r="AF5" s="397"/>
      <c r="AG5" s="397">
        <v>461605.10519704677</v>
      </c>
      <c r="AH5" s="555">
        <v>0.40988949151404214</v>
      </c>
      <c r="AI5" s="555"/>
      <c r="AJ5" s="398">
        <v>221547.89355314514</v>
      </c>
      <c r="AK5" s="398">
        <v>0</v>
      </c>
      <c r="AL5" s="398">
        <v>840</v>
      </c>
      <c r="AM5" s="399"/>
      <c r="AN5" s="399"/>
      <c r="AO5" s="399"/>
      <c r="AP5" s="399"/>
      <c r="AQ5" s="399"/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</row>
    <row r="6" spans="1:63" ht="20.25" customHeight="1">
      <c r="A6" s="1013">
        <v>43160</v>
      </c>
      <c r="B6" s="1014">
        <v>22037</v>
      </c>
      <c r="C6" s="1014">
        <v>83500</v>
      </c>
      <c r="D6" s="1015">
        <v>55</v>
      </c>
      <c r="E6" s="1016">
        <f t="shared" si="0"/>
        <v>0.47984757757212848</v>
      </c>
      <c r="F6" s="1017">
        <f t="shared" si="1"/>
        <v>0.56788866451876396</v>
      </c>
      <c r="G6"/>
      <c r="H6"/>
      <c r="I6" s="1018">
        <v>3</v>
      </c>
      <c r="J6" s="1019">
        <v>688.53046608237889</v>
      </c>
      <c r="K6" s="1020">
        <v>203014.26299163315</v>
      </c>
      <c r="L6" s="1019">
        <v>1032.7956991235683</v>
      </c>
      <c r="M6" s="1020">
        <v>475956.02256772213</v>
      </c>
      <c r="N6" s="1019">
        <v>1032.7956991235683</v>
      </c>
      <c r="O6" s="1020">
        <v>475956.02256772213</v>
      </c>
      <c r="S6" s="407">
        <v>3</v>
      </c>
      <c r="T6" s="990">
        <f t="shared" si="5"/>
        <v>1032.7956991235683</v>
      </c>
      <c r="U6" s="989">
        <v>475956.02256772213</v>
      </c>
      <c r="V6" s="606">
        <v>0</v>
      </c>
      <c r="W6" s="601">
        <f t="shared" si="2"/>
        <v>0</v>
      </c>
      <c r="X6" s="408">
        <f t="shared" si="6"/>
        <v>2.8488914177080971</v>
      </c>
      <c r="Y6" s="557">
        <f t="shared" si="3"/>
        <v>1312.889886209173</v>
      </c>
      <c r="Z6" s="550"/>
      <c r="AA6" s="559">
        <f t="shared" si="4"/>
        <v>477268.91245393129</v>
      </c>
      <c r="AB6" s="550"/>
      <c r="AC6" s="398">
        <v>688.53046608237889</v>
      </c>
      <c r="AD6" s="398"/>
      <c r="AE6" s="398">
        <v>2.8488914177080971</v>
      </c>
      <c r="AF6" s="397"/>
      <c r="AG6" s="397">
        <v>535283.84323995048</v>
      </c>
      <c r="AH6" s="555">
        <v>0.49028858859850039</v>
      </c>
      <c r="AI6" s="555"/>
      <c r="AJ6" s="398">
        <v>203014.26299163315</v>
      </c>
      <c r="AK6" s="398">
        <v>0</v>
      </c>
      <c r="AL6" s="398">
        <v>840</v>
      </c>
      <c r="AM6" s="397"/>
      <c r="AN6" s="397"/>
      <c r="AO6" s="397"/>
      <c r="AP6" s="397"/>
      <c r="AQ6" s="397"/>
      <c r="AR6" s="397"/>
      <c r="AS6" s="397"/>
      <c r="AT6" s="397"/>
      <c r="AU6" s="397"/>
      <c r="AV6" s="397"/>
      <c r="AW6" s="397"/>
      <c r="AX6" s="397"/>
      <c r="AY6" s="397"/>
      <c r="AZ6" s="397"/>
      <c r="BA6" s="397"/>
      <c r="BB6" s="397"/>
      <c r="BC6" s="397"/>
      <c r="BD6" s="397"/>
      <c r="BE6" s="397"/>
      <c r="BF6" s="397"/>
      <c r="BG6" s="397"/>
      <c r="BH6" s="397"/>
      <c r="BI6" s="397"/>
      <c r="BJ6" s="397"/>
      <c r="BK6" s="397"/>
    </row>
    <row r="7" spans="1:63" ht="20.25" customHeight="1">
      <c r="A7" s="1013">
        <v>43191</v>
      </c>
      <c r="B7" s="1014">
        <v>25660</v>
      </c>
      <c r="C7" s="1014">
        <v>76000</v>
      </c>
      <c r="D7" s="1015">
        <v>55</v>
      </c>
      <c r="E7" s="1016">
        <f t="shared" si="0"/>
        <v>0.61387559808612435</v>
      </c>
      <c r="F7" s="1017">
        <f t="shared" si="1"/>
        <v>0.44390101325019493</v>
      </c>
      <c r="G7"/>
      <c r="H7"/>
      <c r="I7" s="1021">
        <v>4</v>
      </c>
      <c r="J7" s="1016">
        <v>647.016437070552</v>
      </c>
      <c r="K7" s="1022">
        <v>190773.78792361933</v>
      </c>
      <c r="L7" s="1016">
        <v>970.524655605828</v>
      </c>
      <c r="M7" s="1022">
        <v>447258.88699773833</v>
      </c>
      <c r="N7" s="1023">
        <f>L7*$F$14</f>
        <v>744.47500608684345</v>
      </c>
      <c r="O7" s="1022">
        <f>N7*1000*0.46084</f>
        <v>343083.86180506094</v>
      </c>
      <c r="S7" s="407">
        <v>4</v>
      </c>
      <c r="T7" s="990">
        <f t="shared" si="5"/>
        <v>744.47500608684345</v>
      </c>
      <c r="U7" s="989">
        <v>343083.86180506094</v>
      </c>
      <c r="V7" s="606">
        <v>0</v>
      </c>
      <c r="W7" s="601">
        <f t="shared" si="2"/>
        <v>0</v>
      </c>
      <c r="X7" s="408">
        <f t="shared" si="6"/>
        <v>2.8488914177080971</v>
      </c>
      <c r="Y7" s="912">
        <f t="shared" si="3"/>
        <v>1312.889886209173</v>
      </c>
      <c r="Z7" s="550"/>
      <c r="AA7" s="559">
        <f t="shared" si="4"/>
        <v>344396.7516912701</v>
      </c>
      <c r="AB7" s="550"/>
      <c r="AC7" s="400">
        <v>647.016437070552</v>
      </c>
      <c r="AE7" s="400">
        <v>2.8488914177080971</v>
      </c>
      <c r="AG7" s="397"/>
      <c r="AJ7" s="398">
        <v>190773.78792361933</v>
      </c>
      <c r="AK7" s="398">
        <v>0</v>
      </c>
      <c r="AL7" s="398">
        <v>840</v>
      </c>
      <c r="AM7" s="399"/>
      <c r="AN7" s="399"/>
      <c r="AO7" s="399"/>
      <c r="AP7" s="399"/>
      <c r="AQ7" s="399"/>
      <c r="AR7" s="399"/>
      <c r="AS7" s="399"/>
      <c r="AT7" s="399"/>
      <c r="AU7" s="399"/>
      <c r="AV7" s="399"/>
      <c r="AW7" s="399"/>
      <c r="AX7" s="399"/>
      <c r="AY7" s="399"/>
      <c r="AZ7" s="399"/>
      <c r="BA7" s="399"/>
      <c r="BB7" s="399"/>
      <c r="BC7" s="399"/>
      <c r="BD7" s="399"/>
      <c r="BE7" s="399"/>
      <c r="BF7" s="399"/>
      <c r="BG7" s="399"/>
      <c r="BH7" s="399"/>
      <c r="BI7" s="399"/>
      <c r="BJ7" s="399"/>
      <c r="BK7" s="399"/>
    </row>
    <row r="8" spans="1:63" ht="20.25" customHeight="1">
      <c r="A8" s="1013">
        <v>43221</v>
      </c>
      <c r="B8" s="1014">
        <v>24656</v>
      </c>
      <c r="C8" s="1014">
        <v>75500</v>
      </c>
      <c r="D8" s="1015">
        <v>55</v>
      </c>
      <c r="E8" s="1016">
        <f t="shared" si="0"/>
        <v>0.59376279349789285</v>
      </c>
      <c r="F8" s="1017">
        <f t="shared" si="1"/>
        <v>0.45893747972096044</v>
      </c>
      <c r="G8"/>
      <c r="H8"/>
      <c r="I8" s="1021">
        <v>5</v>
      </c>
      <c r="J8" s="1016">
        <v>611.37707515954128</v>
      </c>
      <c r="K8" s="1022">
        <v>180265.46745230665</v>
      </c>
      <c r="L8" s="1016">
        <v>917.06561273931197</v>
      </c>
      <c r="M8" s="1022">
        <v>422622.69473375403</v>
      </c>
      <c r="N8" s="1023">
        <f t="shared" ref="N8:N33" si="7">L8*$F$14</f>
        <v>703.46737064598722</v>
      </c>
      <c r="O8" s="1022">
        <f t="shared" ref="O8:O33" si="8">N8*1000*0.46084</f>
        <v>324185.90308849677</v>
      </c>
      <c r="S8" s="407">
        <v>5</v>
      </c>
      <c r="T8" s="990">
        <f t="shared" si="5"/>
        <v>703.46737064598722</v>
      </c>
      <c r="U8" s="989">
        <v>324185.90308849677</v>
      </c>
      <c r="V8" s="408">
        <f>AD8</f>
        <v>435.02358143947941</v>
      </c>
      <c r="W8" s="405">
        <f t="shared" si="2"/>
        <v>128267.36959428908</v>
      </c>
      <c r="X8" s="408">
        <f t="shared" si="6"/>
        <v>2.8488914177080971</v>
      </c>
      <c r="Y8" s="912">
        <f t="shared" si="3"/>
        <v>1312.889886209173</v>
      </c>
      <c r="Z8" s="550"/>
      <c r="AA8" s="559">
        <f t="shared" si="4"/>
        <v>453766.16256899503</v>
      </c>
      <c r="AB8" s="550"/>
      <c r="AC8" s="400">
        <v>611.37707515954128</v>
      </c>
      <c r="AD8" s="400">
        <v>435.02358143947941</v>
      </c>
      <c r="AE8" s="400">
        <v>2.8488914177080971</v>
      </c>
      <c r="AJ8" s="400">
        <v>180265.46745230665</v>
      </c>
      <c r="AK8" s="400">
        <v>128267.36959428909</v>
      </c>
      <c r="AL8" s="400">
        <v>840</v>
      </c>
    </row>
    <row r="9" spans="1:63" ht="20.25" customHeight="1">
      <c r="A9" s="1013">
        <v>43252</v>
      </c>
      <c r="B9" s="1014">
        <v>23433</v>
      </c>
      <c r="C9" s="1014">
        <v>68700</v>
      </c>
      <c r="D9" s="1015">
        <v>55</v>
      </c>
      <c r="E9" s="1016">
        <f t="shared" si="0"/>
        <v>0.62016673283048829</v>
      </c>
      <c r="F9" s="1017">
        <f t="shared" si="1"/>
        <v>0.43939796440916662</v>
      </c>
      <c r="G9"/>
      <c r="H9"/>
      <c r="I9" s="1021">
        <v>6</v>
      </c>
      <c r="J9" s="1016">
        <v>604.8564985962629</v>
      </c>
      <c r="K9" s="1022">
        <v>178342.86546084136</v>
      </c>
      <c r="L9" s="1016">
        <v>907.28474789439429</v>
      </c>
      <c r="M9" s="1022">
        <v>418115.25775196764</v>
      </c>
      <c r="N9" s="1023">
        <f t="shared" si="7"/>
        <v>695.96461492216758</v>
      </c>
      <c r="O9" s="1022">
        <f t="shared" si="8"/>
        <v>320728.33314073173</v>
      </c>
      <c r="S9" s="407">
        <v>6</v>
      </c>
      <c r="T9" s="990">
        <f t="shared" si="5"/>
        <v>695.96461492216758</v>
      </c>
      <c r="U9" s="989">
        <v>320728.33314073173</v>
      </c>
      <c r="V9" s="408">
        <f t="shared" ref="V9:V33" si="9">AD9</f>
        <v>442.47064533568033</v>
      </c>
      <c r="W9" s="405">
        <f t="shared" si="2"/>
        <v>130463.14779556615</v>
      </c>
      <c r="X9" s="408">
        <f t="shared" si="6"/>
        <v>2.8488914177080971</v>
      </c>
      <c r="Y9" s="912">
        <f t="shared" si="3"/>
        <v>1312.889886209173</v>
      </c>
      <c r="Z9" s="550"/>
      <c r="AA9" s="559">
        <f t="shared" si="4"/>
        <v>452504.37082250707</v>
      </c>
      <c r="AB9" s="550"/>
      <c r="AC9" s="400">
        <v>604.8564985962629</v>
      </c>
      <c r="AD9" s="400">
        <v>442.47064533568033</v>
      </c>
      <c r="AE9" s="400">
        <v>2.8488914177080971</v>
      </c>
      <c r="AJ9" s="400">
        <v>178342.86546084136</v>
      </c>
      <c r="AK9" s="400">
        <v>130463.14779556615</v>
      </c>
      <c r="AL9" s="400">
        <v>840</v>
      </c>
    </row>
    <row r="10" spans="1:63" ht="20.25" customHeight="1">
      <c r="A10" s="1013">
        <v>43282</v>
      </c>
      <c r="B10" s="1014">
        <v>20125</v>
      </c>
      <c r="C10" s="1014">
        <v>69600</v>
      </c>
      <c r="D10" s="1015">
        <v>55</v>
      </c>
      <c r="E10" s="1016">
        <f t="shared" si="0"/>
        <v>0.52573145245559039</v>
      </c>
      <c r="F10" s="1017">
        <f t="shared" si="1"/>
        <v>0.51832546583850936</v>
      </c>
      <c r="G10"/>
      <c r="H10"/>
      <c r="I10" s="1021">
        <v>7</v>
      </c>
      <c r="J10" s="1016">
        <v>589.33202576527503</v>
      </c>
      <c r="K10" s="1022">
        <v>173765.45085775314</v>
      </c>
      <c r="L10" s="1016">
        <v>883.99803864791261</v>
      </c>
      <c r="M10" s="1022">
        <v>407383.75536378782</v>
      </c>
      <c r="N10" s="1023">
        <f t="shared" si="7"/>
        <v>678.10172714504552</v>
      </c>
      <c r="O10" s="1022">
        <f t="shared" si="8"/>
        <v>312496.39993752277</v>
      </c>
      <c r="S10" s="407">
        <v>7</v>
      </c>
      <c r="T10" s="990">
        <f t="shared" si="5"/>
        <v>678.10172714504552</v>
      </c>
      <c r="U10" s="989">
        <v>312496.39993752277</v>
      </c>
      <c r="V10" s="408">
        <f t="shared" si="9"/>
        <v>449.93138399557938</v>
      </c>
      <c r="W10" s="405">
        <f t="shared" si="2"/>
        <v>132662.9580218741</v>
      </c>
      <c r="X10" s="408">
        <f t="shared" si="6"/>
        <v>2.8488914177080971</v>
      </c>
      <c r="Y10" s="912">
        <f t="shared" si="3"/>
        <v>1312.889886209173</v>
      </c>
      <c r="Z10" s="550"/>
      <c r="AA10" s="559">
        <f t="shared" si="4"/>
        <v>446472.24784560606</v>
      </c>
      <c r="AB10" s="550"/>
      <c r="AC10" s="400">
        <v>589.33202576527503</v>
      </c>
      <c r="AD10" s="400">
        <v>449.93138399557938</v>
      </c>
      <c r="AE10" s="400">
        <v>2.8488914177080971</v>
      </c>
      <c r="AJ10" s="400">
        <v>173765.45085775314</v>
      </c>
      <c r="AK10" s="400">
        <v>132662.9580218741</v>
      </c>
      <c r="AL10" s="400">
        <v>840</v>
      </c>
    </row>
    <row r="11" spans="1:63" ht="20.25" customHeight="1">
      <c r="A11" s="1010" t="s">
        <v>525</v>
      </c>
      <c r="B11" s="1024">
        <f>AVERAGE(B4:B10)</f>
        <v>23424.428571428572</v>
      </c>
      <c r="C11" s="1024">
        <f>AVERAGE(C4:C10)</f>
        <v>77928.571428571435</v>
      </c>
      <c r="D11" s="1025">
        <f>AVERAGE(D4:D10)</f>
        <v>55</v>
      </c>
      <c r="E11" s="1026">
        <f t="shared" si="0"/>
        <v>0.54652445629530866</v>
      </c>
      <c r="F11" s="1027">
        <f t="shared" si="1"/>
        <v>0.49860531740368735</v>
      </c>
      <c r="G11"/>
      <c r="H11"/>
      <c r="I11" s="1021">
        <v>8</v>
      </c>
      <c r="J11" s="1016">
        <v>574.62463045170716</v>
      </c>
      <c r="K11" s="1022">
        <v>169428.95281272207</v>
      </c>
      <c r="L11" s="1016">
        <v>861.93694567756074</v>
      </c>
      <c r="M11" s="1022">
        <v>397217.06889077503</v>
      </c>
      <c r="N11" s="1023">
        <f t="shared" si="7"/>
        <v>661.17899135619234</v>
      </c>
      <c r="O11" s="1022">
        <f t="shared" si="8"/>
        <v>304697.7263765877</v>
      </c>
      <c r="S11" s="407">
        <v>8</v>
      </c>
      <c r="T11" s="990">
        <f t="shared" si="5"/>
        <v>661.17899135619234</v>
      </c>
      <c r="U11" s="989">
        <v>304697.7263765877</v>
      </c>
      <c r="V11" s="408">
        <f t="shared" si="9"/>
        <v>575.55502628469856</v>
      </c>
      <c r="W11" s="405">
        <f t="shared" si="2"/>
        <v>169703.28144976834</v>
      </c>
      <c r="X11" s="408">
        <f t="shared" si="6"/>
        <v>2.8488914177080971</v>
      </c>
      <c r="Y11" s="912">
        <f t="shared" si="3"/>
        <v>1312.889886209173</v>
      </c>
      <c r="Z11" s="550"/>
      <c r="AA11" s="559">
        <f t="shared" si="4"/>
        <v>475713.8977125652</v>
      </c>
      <c r="AB11" s="550"/>
      <c r="AC11" s="400">
        <v>574.62463045170716</v>
      </c>
      <c r="AD11" s="400">
        <v>575.55502628469856</v>
      </c>
      <c r="AE11" s="400">
        <v>2.8488914177080971</v>
      </c>
      <c r="AJ11" s="400">
        <v>169428.95281272207</v>
      </c>
      <c r="AK11" s="400">
        <v>169703.28144976834</v>
      </c>
      <c r="AL11" s="400">
        <v>840</v>
      </c>
    </row>
    <row r="12" spans="1:63" ht="20.25" customHeight="1">
      <c r="A12"/>
      <c r="B12"/>
      <c r="C12"/>
      <c r="D12"/>
      <c r="E12"/>
      <c r="F12"/>
      <c r="G12"/>
      <c r="H12"/>
      <c r="I12" s="1021">
        <v>9</v>
      </c>
      <c r="J12" s="1016">
        <v>560.67146053883562</v>
      </c>
      <c r="K12" s="1022">
        <v>165314.8392828209</v>
      </c>
      <c r="L12" s="1016">
        <v>841.00719080825343</v>
      </c>
      <c r="M12" s="1022">
        <v>387571.75095484016</v>
      </c>
      <c r="N12" s="1023">
        <f t="shared" si="7"/>
        <v>645.12408817189635</v>
      </c>
      <c r="O12" s="1022">
        <f t="shared" si="8"/>
        <v>297298.98479313671</v>
      </c>
      <c r="S12" s="407">
        <v>9</v>
      </c>
      <c r="T12" s="990">
        <f t="shared" si="5"/>
        <v>645.12408817189635</v>
      </c>
      <c r="U12" s="989">
        <v>297298.98479313671</v>
      </c>
      <c r="V12" s="408">
        <f t="shared" si="9"/>
        <v>626.75717137488232</v>
      </c>
      <c r="W12" s="405">
        <f t="shared" si="2"/>
        <v>184800.31238903641</v>
      </c>
      <c r="X12" s="408">
        <f t="shared" si="6"/>
        <v>2.8488914177080971</v>
      </c>
      <c r="Y12" s="912">
        <f t="shared" si="3"/>
        <v>1312.889886209173</v>
      </c>
      <c r="Z12" s="550"/>
      <c r="AA12" s="559">
        <f t="shared" si="4"/>
        <v>483412.18706838228</v>
      </c>
      <c r="AB12" s="550"/>
      <c r="AC12" s="400">
        <v>560.67146053883562</v>
      </c>
      <c r="AD12" s="400">
        <v>626.75717137488232</v>
      </c>
      <c r="AE12" s="400">
        <v>2.8488914177080971</v>
      </c>
      <c r="AJ12" s="400">
        <v>165314.8392828209</v>
      </c>
      <c r="AK12" s="400">
        <v>184800.31238903641</v>
      </c>
      <c r="AL12" s="400">
        <v>840</v>
      </c>
    </row>
    <row r="13" spans="1:63" ht="20.25" customHeight="1">
      <c r="A13"/>
      <c r="B13"/>
      <c r="C13"/>
      <c r="D13"/>
      <c r="E13" s="1028" t="s">
        <v>526</v>
      </c>
      <c r="F13" s="1031">
        <v>0.65</v>
      </c>
      <c r="G13"/>
      <c r="H13"/>
      <c r="I13" s="1021">
        <v>10</v>
      </c>
      <c r="J13" s="1016">
        <v>547.45641927173403</v>
      </c>
      <c r="K13" s="1022">
        <v>161418.36411519392</v>
      </c>
      <c r="L13" s="1016">
        <v>821.18462890760111</v>
      </c>
      <c r="M13" s="1022">
        <v>378436.67445583537</v>
      </c>
      <c r="N13" s="1023">
        <f t="shared" si="7"/>
        <v>629.91849622077484</v>
      </c>
      <c r="O13" s="1022">
        <f t="shared" si="8"/>
        <v>290291.63979838189</v>
      </c>
      <c r="S13" s="407">
        <v>10</v>
      </c>
      <c r="T13" s="990">
        <f t="shared" si="5"/>
        <v>629.91849622077484</v>
      </c>
      <c r="U13" s="989">
        <v>290291.63979838189</v>
      </c>
      <c r="V13" s="408">
        <f t="shared" si="9"/>
        <v>670.97522180169562</v>
      </c>
      <c r="W13" s="405">
        <f t="shared" si="2"/>
        <v>197838.07231475672</v>
      </c>
      <c r="X13" s="408">
        <f t="shared" si="6"/>
        <v>2.8488914177080971</v>
      </c>
      <c r="Y13" s="912">
        <f t="shared" si="3"/>
        <v>1312.889886209173</v>
      </c>
      <c r="Z13" s="550"/>
      <c r="AA13" s="559">
        <f t="shared" si="4"/>
        <v>489442.6019993478</v>
      </c>
      <c r="AB13" s="550"/>
      <c r="AC13" s="400">
        <v>547.45641927173403</v>
      </c>
      <c r="AD13" s="400">
        <v>670.97522180169562</v>
      </c>
      <c r="AE13" s="400">
        <v>2.8488914177080971</v>
      </c>
      <c r="AJ13" s="400">
        <v>161418.36411519392</v>
      </c>
      <c r="AK13" s="400">
        <v>197838.07231475675</v>
      </c>
      <c r="AL13" s="400">
        <v>840</v>
      </c>
    </row>
    <row r="14" spans="1:63" ht="20.25" customHeight="1">
      <c r="A14"/>
      <c r="B14"/>
      <c r="C14"/>
      <c r="D14"/>
      <c r="E14" s="1028" t="s">
        <v>527</v>
      </c>
      <c r="F14" s="1029">
        <f>F11/F13</f>
        <v>0.76708510369798055</v>
      </c>
      <c r="G14"/>
      <c r="H14"/>
      <c r="I14" s="1021">
        <v>11</v>
      </c>
      <c r="J14" s="1016">
        <v>548.31569224187592</v>
      </c>
      <c r="K14" s="1022">
        <v>161671.72206714415</v>
      </c>
      <c r="L14" s="1016">
        <v>822.47353836281388</v>
      </c>
      <c r="M14" s="1022">
        <v>379030.65854995348</v>
      </c>
      <c r="N14" s="1023">
        <f t="shared" si="7"/>
        <v>630.90719946388413</v>
      </c>
      <c r="O14" s="1022">
        <f t="shared" si="8"/>
        <v>290747.27380093635</v>
      </c>
      <c r="S14" s="407">
        <v>11</v>
      </c>
      <c r="T14" s="990">
        <f t="shared" si="5"/>
        <v>630.90719946388413</v>
      </c>
      <c r="U14" s="989">
        <v>290747.27380093635</v>
      </c>
      <c r="V14" s="408">
        <f t="shared" si="9"/>
        <v>672.02904042345995</v>
      </c>
      <c r="W14" s="405">
        <f t="shared" si="2"/>
        <v>198148.79235019922</v>
      </c>
      <c r="X14" s="408">
        <f t="shared" si="6"/>
        <v>2.8488914177080971</v>
      </c>
      <c r="Y14" s="912">
        <f t="shared" si="3"/>
        <v>1312.889886209173</v>
      </c>
      <c r="Z14" s="550"/>
      <c r="AA14" s="559">
        <f t="shared" si="4"/>
        <v>490208.95603734476</v>
      </c>
      <c r="AB14" s="550"/>
      <c r="AC14" s="400">
        <v>548.31569224187592</v>
      </c>
      <c r="AD14" s="400">
        <v>672.02904042345995</v>
      </c>
      <c r="AE14" s="400">
        <v>2.8488914177080971</v>
      </c>
      <c r="AJ14" s="400">
        <v>161671.72206714415</v>
      </c>
      <c r="AK14" s="400">
        <v>198148.79235019922</v>
      </c>
      <c r="AL14" s="400">
        <v>840</v>
      </c>
    </row>
    <row r="15" spans="1:63" ht="20.25" customHeight="1">
      <c r="A15"/>
      <c r="B15"/>
      <c r="C15"/>
      <c r="D15"/>
      <c r="E15"/>
      <c r="F15"/>
      <c r="G15"/>
      <c r="H15"/>
      <c r="I15" s="1021">
        <v>12</v>
      </c>
      <c r="J15" s="1016">
        <v>549.1077194734346</v>
      </c>
      <c r="K15" s="1022">
        <v>161905.25251002939</v>
      </c>
      <c r="L15" s="1016">
        <v>823.6615792101519</v>
      </c>
      <c r="M15" s="1022">
        <v>379578.15811528557</v>
      </c>
      <c r="N15" s="1023">
        <f t="shared" si="7"/>
        <v>631.81852790046185</v>
      </c>
      <c r="O15" s="1022">
        <f t="shared" si="8"/>
        <v>291167.25039764884</v>
      </c>
      <c r="S15" s="407">
        <v>12</v>
      </c>
      <c r="T15" s="990">
        <f t="shared" si="5"/>
        <v>631.81852790046185</v>
      </c>
      <c r="U15" s="989">
        <v>291167.25039764884</v>
      </c>
      <c r="V15" s="408">
        <f t="shared" si="9"/>
        <v>673.01809557848901</v>
      </c>
      <c r="W15" s="405">
        <f t="shared" si="2"/>
        <v>198440.41677823471</v>
      </c>
      <c r="X15" s="408">
        <f t="shared" si="6"/>
        <v>2.8488914177080971</v>
      </c>
      <c r="Y15" s="912">
        <f t="shared" si="3"/>
        <v>1312.889886209173</v>
      </c>
      <c r="Z15" s="550"/>
      <c r="AA15" s="559">
        <f t="shared" si="4"/>
        <v>490920.5570620927</v>
      </c>
      <c r="AB15" s="550"/>
      <c r="AC15" s="400">
        <v>549.1077194734346</v>
      </c>
      <c r="AD15" s="400">
        <v>673.01809557848901</v>
      </c>
      <c r="AE15" s="400">
        <v>2.8488914177080971</v>
      </c>
      <c r="AJ15" s="400">
        <v>161905.25251002939</v>
      </c>
      <c r="AK15" s="400">
        <v>198440.41677823471</v>
      </c>
      <c r="AL15" s="400">
        <v>840</v>
      </c>
    </row>
    <row r="16" spans="1:63" ht="20.25" customHeight="1">
      <c r="A16"/>
      <c r="B16"/>
      <c r="C16"/>
      <c r="D16"/>
      <c r="E16"/>
      <c r="F16"/>
      <c r="G16"/>
      <c r="H16"/>
      <c r="I16" s="1021">
        <v>13</v>
      </c>
      <c r="J16" s="1016">
        <v>549.89974670499316</v>
      </c>
      <c r="K16" s="1022">
        <v>162138.78295291457</v>
      </c>
      <c r="L16" s="1016">
        <v>824.8496200574898</v>
      </c>
      <c r="M16" s="1022">
        <v>380125.65768061759</v>
      </c>
      <c r="N16" s="1023">
        <f t="shared" si="7"/>
        <v>632.72985633703945</v>
      </c>
      <c r="O16" s="1022">
        <f t="shared" si="8"/>
        <v>291587.22699436132</v>
      </c>
      <c r="S16" s="407">
        <v>13</v>
      </c>
      <c r="T16" s="990">
        <f t="shared" si="5"/>
        <v>632.72985633703945</v>
      </c>
      <c r="U16" s="989">
        <v>291587.22699436132</v>
      </c>
      <c r="V16" s="408">
        <f t="shared" si="9"/>
        <v>673.98207164791063</v>
      </c>
      <c r="W16" s="405">
        <f t="shared" si="2"/>
        <v>198724.64659944901</v>
      </c>
      <c r="X16" s="408">
        <f t="shared" si="6"/>
        <v>2.8488914177080971</v>
      </c>
      <c r="Y16" s="912">
        <f t="shared" si="3"/>
        <v>1312.889886209173</v>
      </c>
      <c r="Z16" s="550"/>
      <c r="AA16" s="559">
        <f t="shared" si="4"/>
        <v>491624.76348001952</v>
      </c>
      <c r="AB16" s="550"/>
      <c r="AC16" s="400">
        <v>549.89974670499316</v>
      </c>
      <c r="AD16" s="400">
        <v>673.98207164791063</v>
      </c>
      <c r="AE16" s="400">
        <v>2.8488914177080971</v>
      </c>
      <c r="AJ16" s="400">
        <v>162138.78295291457</v>
      </c>
      <c r="AK16" s="400">
        <v>198724.64659944904</v>
      </c>
      <c r="AL16" s="400">
        <v>840</v>
      </c>
    </row>
    <row r="17" spans="1:63" ht="20.25" customHeight="1">
      <c r="A17"/>
      <c r="B17"/>
      <c r="C17"/>
      <c r="D17"/>
      <c r="E17"/>
      <c r="F17"/>
      <c r="G17"/>
      <c r="H17"/>
      <c r="I17" s="1021">
        <v>14</v>
      </c>
      <c r="J17" s="1016">
        <v>550.69177393655161</v>
      </c>
      <c r="K17" s="1022">
        <v>162372.31339579975</v>
      </c>
      <c r="L17" s="1016">
        <v>826.03766090482736</v>
      </c>
      <c r="M17" s="1022">
        <v>380673.15724594943</v>
      </c>
      <c r="N17" s="1023">
        <f t="shared" si="7"/>
        <v>633.64118477361683</v>
      </c>
      <c r="O17" s="1022">
        <f t="shared" si="8"/>
        <v>292007.20359107363</v>
      </c>
      <c r="S17" s="407">
        <v>14</v>
      </c>
      <c r="T17" s="990">
        <f t="shared" si="5"/>
        <v>633.64118477361683</v>
      </c>
      <c r="U17" s="989">
        <v>292007.20359107363</v>
      </c>
      <c r="V17" s="408">
        <f t="shared" si="9"/>
        <v>674.94604771733214</v>
      </c>
      <c r="W17" s="405">
        <f t="shared" si="2"/>
        <v>199008.87642066332</v>
      </c>
      <c r="X17" s="408">
        <f t="shared" si="6"/>
        <v>2.8488914177080971</v>
      </c>
      <c r="Y17" s="912">
        <f t="shared" si="3"/>
        <v>1312.889886209173</v>
      </c>
      <c r="Z17" s="550"/>
      <c r="AA17" s="559">
        <f t="shared" si="4"/>
        <v>492328.96989794611</v>
      </c>
      <c r="AB17" s="550"/>
      <c r="AC17" s="400">
        <v>550.69177393655161</v>
      </c>
      <c r="AD17" s="400">
        <v>674.94604771733214</v>
      </c>
      <c r="AE17" s="400">
        <v>2.8488914177080971</v>
      </c>
      <c r="AJ17" s="400">
        <v>162372.31339579975</v>
      </c>
      <c r="AK17" s="400">
        <v>199008.87642066332</v>
      </c>
      <c r="AL17" s="400">
        <v>840</v>
      </c>
    </row>
    <row r="18" spans="1:63" ht="20.25" customHeight="1">
      <c r="A18"/>
      <c r="B18"/>
      <c r="C18"/>
      <c r="D18"/>
      <c r="E18"/>
      <c r="F18"/>
      <c r="G18"/>
      <c r="H18"/>
      <c r="I18" s="1021">
        <v>15</v>
      </c>
      <c r="J18" s="1016">
        <v>551.48380116811018</v>
      </c>
      <c r="K18" s="1022">
        <v>162605.84383868493</v>
      </c>
      <c r="L18" s="1016">
        <v>827.22570175216526</v>
      </c>
      <c r="M18" s="1022">
        <v>381220.65681128146</v>
      </c>
      <c r="N18" s="1023">
        <f t="shared" si="7"/>
        <v>634.55251321019443</v>
      </c>
      <c r="O18" s="1022">
        <f t="shared" si="8"/>
        <v>292427.180187786</v>
      </c>
      <c r="S18" s="407">
        <v>15</v>
      </c>
      <c r="T18" s="990">
        <f t="shared" si="5"/>
        <v>634.55251321019443</v>
      </c>
      <c r="U18" s="989">
        <v>292427.180187786</v>
      </c>
      <c r="V18" s="408">
        <f t="shared" si="9"/>
        <v>675.91002378675364</v>
      </c>
      <c r="W18" s="405">
        <f t="shared" si="2"/>
        <v>199293.10624187757</v>
      </c>
      <c r="X18" s="408">
        <f t="shared" si="6"/>
        <v>2.8488914177080971</v>
      </c>
      <c r="Y18" s="912">
        <f t="shared" si="3"/>
        <v>1312.889886209173</v>
      </c>
      <c r="Z18" s="550"/>
      <c r="AA18" s="559">
        <f t="shared" si="4"/>
        <v>493033.1763158727</v>
      </c>
      <c r="AB18" s="550"/>
      <c r="AC18" s="400">
        <v>551.48380116811018</v>
      </c>
      <c r="AD18" s="400">
        <v>675.91002378675364</v>
      </c>
      <c r="AE18" s="400">
        <v>2.8488914177080971</v>
      </c>
      <c r="AJ18" s="400">
        <v>162605.84383868493</v>
      </c>
      <c r="AK18" s="400">
        <v>199293.1062418776</v>
      </c>
      <c r="AL18" s="400">
        <v>840</v>
      </c>
    </row>
    <row r="19" spans="1:63" ht="20.25" customHeight="1">
      <c r="A19"/>
      <c r="B19"/>
      <c r="C19"/>
      <c r="D19"/>
      <c r="E19"/>
      <c r="F19"/>
      <c r="G19"/>
      <c r="H19"/>
      <c r="I19" s="1021">
        <v>16</v>
      </c>
      <c r="J19" s="1016">
        <v>552.11578840381526</v>
      </c>
      <c r="K19" s="1022">
        <v>162792.186243556</v>
      </c>
      <c r="L19" s="1016">
        <v>828.17368260572289</v>
      </c>
      <c r="M19" s="1022">
        <v>381657.52655900846</v>
      </c>
      <c r="N19" s="1023">
        <f t="shared" si="7"/>
        <v>635.27969520154943</v>
      </c>
      <c r="O19" s="1022">
        <f t="shared" si="8"/>
        <v>292762.29473668209</v>
      </c>
      <c r="S19" s="407">
        <v>16</v>
      </c>
      <c r="T19" s="990">
        <f t="shared" si="5"/>
        <v>635.27969520154943</v>
      </c>
      <c r="U19" s="989">
        <v>292762.29473668209</v>
      </c>
      <c r="V19" s="408">
        <f t="shared" si="9"/>
        <v>676.73663811920494</v>
      </c>
      <c r="W19" s="405">
        <f t="shared" si="2"/>
        <v>199536.83474446044</v>
      </c>
      <c r="X19" s="408">
        <f t="shared" si="6"/>
        <v>2.8488914177080971</v>
      </c>
      <c r="Y19" s="912">
        <f t="shared" si="3"/>
        <v>1312.889886209173</v>
      </c>
      <c r="Z19" s="550"/>
      <c r="AA19" s="559">
        <f t="shared" si="4"/>
        <v>493612.01936735166</v>
      </c>
      <c r="AB19" s="550"/>
      <c r="AC19" s="400">
        <v>552.11578840381526</v>
      </c>
      <c r="AD19" s="400">
        <v>676.73663811920494</v>
      </c>
      <c r="AE19" s="400">
        <v>2.8488914177080971</v>
      </c>
      <c r="AJ19" s="400">
        <v>162792.186243556</v>
      </c>
      <c r="AK19" s="400">
        <v>199536.83474446042</v>
      </c>
      <c r="AL19" s="400">
        <v>840</v>
      </c>
    </row>
    <row r="20" spans="1:63" ht="20.25" customHeight="1">
      <c r="A20"/>
      <c r="B20"/>
      <c r="C20"/>
      <c r="D20"/>
      <c r="E20"/>
      <c r="F20"/>
      <c r="G20"/>
      <c r="H20"/>
      <c r="I20" s="1021">
        <v>17</v>
      </c>
      <c r="J20" s="1016">
        <v>552.76024313142159</v>
      </c>
      <c r="K20" s="1022">
        <v>162982.20470751869</v>
      </c>
      <c r="L20" s="1016">
        <v>829.14036469713233</v>
      </c>
      <c r="M20" s="1022">
        <v>382103.01462959702</v>
      </c>
      <c r="N20" s="1023">
        <f t="shared" si="7"/>
        <v>636.02122263388117</v>
      </c>
      <c r="O20" s="1022">
        <f t="shared" si="8"/>
        <v>293104.02023859782</v>
      </c>
      <c r="S20" s="407">
        <v>17</v>
      </c>
      <c r="T20" s="990">
        <f t="shared" si="5"/>
        <v>636.02122263388117</v>
      </c>
      <c r="U20" s="989">
        <v>293104.02023859782</v>
      </c>
      <c r="V20" s="408">
        <f t="shared" si="9"/>
        <v>677.52492106094542</v>
      </c>
      <c r="W20" s="405">
        <f t="shared" si="2"/>
        <v>199769.26117775519</v>
      </c>
      <c r="X20" s="408">
        <f t="shared" si="6"/>
        <v>2.8488914177080971</v>
      </c>
      <c r="Y20" s="912">
        <f t="shared" si="3"/>
        <v>1312.889886209173</v>
      </c>
      <c r="Z20" s="550"/>
      <c r="AA20" s="559">
        <f t="shared" si="4"/>
        <v>494186.17130256217</v>
      </c>
      <c r="AB20" s="550"/>
      <c r="AC20" s="400">
        <v>552.76024313142159</v>
      </c>
      <c r="AD20" s="400">
        <v>677.52492106094542</v>
      </c>
      <c r="AE20" s="400">
        <v>2.8488914177080971</v>
      </c>
      <c r="AJ20" s="400">
        <v>162982.20470751869</v>
      </c>
      <c r="AK20" s="400">
        <v>199769.26117775519</v>
      </c>
      <c r="AL20" s="400">
        <v>840</v>
      </c>
    </row>
    <row r="21" spans="1:63" ht="20.25" customHeight="1">
      <c r="A21"/>
      <c r="B21"/>
      <c r="C21"/>
      <c r="D21"/>
      <c r="E21"/>
      <c r="F21"/>
      <c r="G21"/>
      <c r="H21"/>
      <c r="I21" s="1021">
        <v>18</v>
      </c>
      <c r="J21" s="1016">
        <v>553.40469785902803</v>
      </c>
      <c r="K21" s="1022">
        <v>163172.22317148137</v>
      </c>
      <c r="L21" s="1016">
        <v>830.10704678854199</v>
      </c>
      <c r="M21" s="1022">
        <v>382548.50270018564</v>
      </c>
      <c r="N21" s="1023">
        <f t="shared" si="7"/>
        <v>636.76275006621313</v>
      </c>
      <c r="O21" s="1022">
        <f t="shared" si="8"/>
        <v>293445.74574051367</v>
      </c>
      <c r="S21" s="407">
        <v>18</v>
      </c>
      <c r="T21" s="990">
        <f t="shared" si="5"/>
        <v>636.76275006621313</v>
      </c>
      <c r="U21" s="989">
        <v>293445.74574051367</v>
      </c>
      <c r="V21" s="408">
        <f t="shared" si="9"/>
        <v>678.31008968035451</v>
      </c>
      <c r="W21" s="405">
        <f t="shared" si="2"/>
        <v>200000.76934833836</v>
      </c>
      <c r="X21" s="408">
        <f t="shared" si="6"/>
        <v>2.8488914177080971</v>
      </c>
      <c r="Y21" s="912">
        <f t="shared" si="3"/>
        <v>1312.889886209173</v>
      </c>
      <c r="Z21" s="550"/>
      <c r="AA21" s="559">
        <f t="shared" si="4"/>
        <v>494759.40497506119</v>
      </c>
      <c r="AB21" s="550"/>
      <c r="AC21" s="400">
        <v>553.40469785902803</v>
      </c>
      <c r="AD21" s="400">
        <v>678.31008968035451</v>
      </c>
      <c r="AE21" s="400">
        <v>2.8488914177080971</v>
      </c>
      <c r="AJ21" s="400">
        <v>163172.22317148137</v>
      </c>
      <c r="AK21" s="400">
        <v>200000.76934833833</v>
      </c>
      <c r="AL21" s="400">
        <v>840</v>
      </c>
    </row>
    <row r="22" spans="1:63" s="396" customFormat="1" ht="20.25" customHeight="1">
      <c r="A22"/>
      <c r="B22"/>
      <c r="C22"/>
      <c r="D22"/>
      <c r="E22"/>
      <c r="F22"/>
      <c r="G22"/>
      <c r="H22"/>
      <c r="I22" s="1021">
        <v>19</v>
      </c>
      <c r="J22" s="1016">
        <v>554.04915258663425</v>
      </c>
      <c r="K22" s="1022">
        <v>163362.24163544399</v>
      </c>
      <c r="L22" s="1016">
        <v>831.07372887995143</v>
      </c>
      <c r="M22" s="1022">
        <v>382993.99077077414</v>
      </c>
      <c r="N22" s="1023">
        <f t="shared" si="7"/>
        <v>637.50427749854487</v>
      </c>
      <c r="O22" s="1022">
        <f t="shared" si="8"/>
        <v>293787.47124242946</v>
      </c>
      <c r="S22" s="407">
        <v>19</v>
      </c>
      <c r="T22" s="990">
        <f t="shared" si="5"/>
        <v>637.50427749854487</v>
      </c>
      <c r="U22" s="989">
        <v>293787.47124242946</v>
      </c>
      <c r="V22" s="408">
        <f t="shared" si="9"/>
        <v>679.09525829976371</v>
      </c>
      <c r="W22" s="405">
        <f t="shared" si="2"/>
        <v>200232.27751892153</v>
      </c>
      <c r="X22" s="408">
        <f t="shared" si="6"/>
        <v>2.8488914177080971</v>
      </c>
      <c r="Y22" s="912">
        <f t="shared" si="3"/>
        <v>1312.889886209173</v>
      </c>
      <c r="Z22" s="550"/>
      <c r="AA22" s="559">
        <f t="shared" si="4"/>
        <v>495332.63864756015</v>
      </c>
      <c r="AB22" s="550"/>
      <c r="AC22" s="400">
        <v>554.04915258663425</v>
      </c>
      <c r="AD22" s="400">
        <v>679.09525829976371</v>
      </c>
      <c r="AE22" s="400">
        <v>2.8488914177080971</v>
      </c>
      <c r="AF22" s="389"/>
      <c r="AG22" s="389"/>
      <c r="AH22" s="389"/>
      <c r="AI22" s="389"/>
      <c r="AJ22" s="400">
        <v>163362.24163544399</v>
      </c>
      <c r="AK22" s="400">
        <v>200232.27751892153</v>
      </c>
      <c r="AL22" s="400">
        <v>840</v>
      </c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  <c r="BJ22" s="389"/>
      <c r="BK22" s="389"/>
    </row>
    <row r="23" spans="1:63" ht="20.25" customHeight="1">
      <c r="A23"/>
      <c r="B23"/>
      <c r="C23"/>
      <c r="D23"/>
      <c r="E23"/>
      <c r="F23"/>
      <c r="G23"/>
      <c r="H23"/>
      <c r="I23" s="1021">
        <v>20</v>
      </c>
      <c r="J23" s="1016">
        <v>554.69360731424069</v>
      </c>
      <c r="K23" s="1022">
        <v>163552.26009940667</v>
      </c>
      <c r="L23" s="1016">
        <v>832.0404109713611</v>
      </c>
      <c r="M23" s="1022">
        <v>383439.47884136275</v>
      </c>
      <c r="N23" s="1023">
        <f t="shared" si="7"/>
        <v>638.24580493087683</v>
      </c>
      <c r="O23" s="1022">
        <f t="shared" si="8"/>
        <v>294129.1967443453</v>
      </c>
      <c r="S23" s="407">
        <v>20</v>
      </c>
      <c r="T23" s="990">
        <f t="shared" si="5"/>
        <v>638.24580493087683</v>
      </c>
      <c r="U23" s="989">
        <v>294129.1967443453</v>
      </c>
      <c r="V23" s="408">
        <f t="shared" si="9"/>
        <v>679.88042691917315</v>
      </c>
      <c r="W23" s="405">
        <f t="shared" si="2"/>
        <v>200463.78568950479</v>
      </c>
      <c r="X23" s="408">
        <f t="shared" si="6"/>
        <v>2.8488914177080971</v>
      </c>
      <c r="Y23" s="912">
        <f t="shared" si="3"/>
        <v>1312.889886209173</v>
      </c>
      <c r="Z23" s="550"/>
      <c r="AA23" s="559">
        <f t="shared" si="4"/>
        <v>495905.87232005922</v>
      </c>
      <c r="AB23" s="550"/>
      <c r="AC23" s="400">
        <v>554.69360731424069</v>
      </c>
      <c r="AD23" s="400">
        <v>679.88042691917315</v>
      </c>
      <c r="AE23" s="400">
        <v>2.8488914177080971</v>
      </c>
      <c r="AJ23" s="400">
        <v>163552.26009940667</v>
      </c>
      <c r="AK23" s="400">
        <v>200463.78568950479</v>
      </c>
      <c r="AL23" s="400">
        <v>840</v>
      </c>
    </row>
    <row r="24" spans="1:63" ht="20.25" customHeight="1">
      <c r="A24"/>
      <c r="B24"/>
      <c r="C24"/>
      <c r="D24"/>
      <c r="E24"/>
      <c r="F24"/>
      <c r="G24"/>
      <c r="H24"/>
      <c r="I24" s="1021">
        <v>21</v>
      </c>
      <c r="J24" s="1016">
        <v>555.48624808068382</v>
      </c>
      <c r="K24" s="1022">
        <v>163785.97144399275</v>
      </c>
      <c r="L24" s="1016">
        <v>833.22937212102579</v>
      </c>
      <c r="M24" s="1022">
        <v>383987.40252100455</v>
      </c>
      <c r="N24" s="1023">
        <f t="shared" si="7"/>
        <v>639.15783931766032</v>
      </c>
      <c r="O24" s="1022">
        <f t="shared" si="8"/>
        <v>294549.49867115059</v>
      </c>
      <c r="S24" s="407">
        <v>21</v>
      </c>
      <c r="T24" s="990">
        <f t="shared" si="5"/>
        <v>639.15783931766032</v>
      </c>
      <c r="U24" s="989">
        <v>294549.49867115059</v>
      </c>
      <c r="V24" s="408">
        <f t="shared" si="9"/>
        <v>680.79278306805486</v>
      </c>
      <c r="W24" s="405">
        <f t="shared" si="2"/>
        <v>200732.7952980483</v>
      </c>
      <c r="X24" s="408">
        <f t="shared" si="6"/>
        <v>2.8488914177080971</v>
      </c>
      <c r="Y24" s="912">
        <f t="shared" si="3"/>
        <v>1312.889886209173</v>
      </c>
      <c r="Z24" s="550"/>
      <c r="AA24" s="559">
        <f t="shared" si="4"/>
        <v>496595.18385540805</v>
      </c>
      <c r="AB24" s="550"/>
      <c r="AC24" s="400">
        <v>555.48624808068382</v>
      </c>
      <c r="AD24" s="400">
        <v>680.79278306805486</v>
      </c>
      <c r="AE24" s="400">
        <v>2.8488914177080971</v>
      </c>
      <c r="AF24" s="396"/>
      <c r="AG24" s="396"/>
      <c r="AH24" s="396"/>
      <c r="AI24" s="396"/>
      <c r="AJ24" s="400">
        <v>163785.97144399275</v>
      </c>
      <c r="AK24" s="400">
        <v>200732.7952980483</v>
      </c>
      <c r="AL24" s="400">
        <v>840</v>
      </c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  <c r="BA24" s="396"/>
      <c r="BB24" s="396"/>
      <c r="BC24" s="396"/>
      <c r="BD24" s="396"/>
      <c r="BE24" s="396"/>
      <c r="BF24" s="396"/>
      <c r="BG24" s="396"/>
      <c r="BH24" s="396"/>
      <c r="BI24" s="396"/>
      <c r="BJ24" s="396"/>
      <c r="BK24" s="396"/>
    </row>
    <row r="25" spans="1:63" ht="20.25" customHeight="1">
      <c r="A25"/>
      <c r="B25"/>
      <c r="C25"/>
      <c r="D25"/>
      <c r="E25"/>
      <c r="F25"/>
      <c r="G25"/>
      <c r="H25"/>
      <c r="I25" s="1021">
        <v>22</v>
      </c>
      <c r="J25" s="1016">
        <v>556.03668148125053</v>
      </c>
      <c r="K25" s="1022">
        <v>163948.26757560455</v>
      </c>
      <c r="L25" s="1016">
        <v>834.05502222187579</v>
      </c>
      <c r="M25" s="1022">
        <v>384367.8970741544</v>
      </c>
      <c r="N25" s="1023">
        <f t="shared" si="7"/>
        <v>639.79118321088902</v>
      </c>
      <c r="O25" s="1022">
        <f t="shared" si="8"/>
        <v>294841.36887090612</v>
      </c>
      <c r="S25" s="407">
        <v>22</v>
      </c>
      <c r="T25" s="990">
        <f t="shared" si="5"/>
        <v>639.79118321088902</v>
      </c>
      <c r="U25" s="989">
        <v>294841.36887090612</v>
      </c>
      <c r="V25" s="408">
        <f t="shared" si="9"/>
        <v>681.55448115953959</v>
      </c>
      <c r="W25" s="405">
        <f t="shared" si="2"/>
        <v>200957.38314750799</v>
      </c>
      <c r="X25" s="408">
        <f t="shared" si="6"/>
        <v>2.8488914177080971</v>
      </c>
      <c r="Y25" s="912">
        <f t="shared" si="3"/>
        <v>1312.889886209173</v>
      </c>
      <c r="Z25" s="550"/>
      <c r="AA25" s="559">
        <f t="shared" si="4"/>
        <v>497111.64190462325</v>
      </c>
      <c r="AB25" s="550"/>
      <c r="AC25" s="400">
        <v>556.03668148125053</v>
      </c>
      <c r="AD25" s="400">
        <v>681.55448115953959</v>
      </c>
      <c r="AE25" s="400">
        <v>2.8488914177080971</v>
      </c>
      <c r="AJ25" s="400">
        <v>163948.26757560455</v>
      </c>
      <c r="AK25" s="400">
        <v>200957.38314750796</v>
      </c>
      <c r="AL25" s="400">
        <v>840</v>
      </c>
    </row>
    <row r="26" spans="1:63" s="396" customFormat="1" ht="20.25" customHeight="1">
      <c r="A26"/>
      <c r="B26"/>
      <c r="C26"/>
      <c r="D26"/>
      <c r="E26"/>
      <c r="F26"/>
      <c r="G26"/>
      <c r="H26"/>
      <c r="I26" s="1021">
        <v>23</v>
      </c>
      <c r="J26" s="1016">
        <v>556.58711488181734</v>
      </c>
      <c r="K26" s="1022">
        <v>164110.56370721635</v>
      </c>
      <c r="L26" s="1016">
        <v>834.88067232272601</v>
      </c>
      <c r="M26" s="1022">
        <v>384748.39162730449</v>
      </c>
      <c r="N26" s="1023">
        <f t="shared" si="7"/>
        <v>640.42452710411806</v>
      </c>
      <c r="O26" s="1022">
        <f t="shared" si="8"/>
        <v>295133.23907066177</v>
      </c>
      <c r="S26" s="407">
        <v>23</v>
      </c>
      <c r="T26" s="990">
        <f t="shared" si="5"/>
        <v>640.42452710411806</v>
      </c>
      <c r="U26" s="989">
        <v>295133.23907066177</v>
      </c>
      <c r="V26" s="408">
        <f t="shared" si="9"/>
        <v>682.22482843493992</v>
      </c>
      <c r="W26" s="405">
        <f t="shared" si="2"/>
        <v>201155.03606886405</v>
      </c>
      <c r="X26" s="408">
        <f t="shared" si="6"/>
        <v>2.8488914177080971</v>
      </c>
      <c r="Y26" s="912">
        <f t="shared" si="3"/>
        <v>1312.889886209173</v>
      </c>
      <c r="Z26" s="550"/>
      <c r="AA26" s="559">
        <f t="shared" si="4"/>
        <v>497601.16502573498</v>
      </c>
      <c r="AB26" s="550"/>
      <c r="AC26" s="400">
        <v>556.58711488181734</v>
      </c>
      <c r="AD26" s="400">
        <v>682.22482843493992</v>
      </c>
      <c r="AE26" s="400">
        <v>2.8488914177080971</v>
      </c>
      <c r="AF26" s="389"/>
      <c r="AG26" s="389"/>
      <c r="AH26" s="389"/>
      <c r="AI26" s="389"/>
      <c r="AJ26" s="400">
        <v>164110.56370721635</v>
      </c>
      <c r="AK26" s="400">
        <v>201155.03606886408</v>
      </c>
      <c r="AL26" s="400">
        <v>840</v>
      </c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  <c r="BJ26" s="389"/>
      <c r="BK26" s="389"/>
    </row>
    <row r="27" spans="1:63" s="396" customFormat="1" ht="20.25" customHeight="1">
      <c r="A27"/>
      <c r="B27"/>
      <c r="C27"/>
      <c r="D27"/>
      <c r="E27"/>
      <c r="F27"/>
      <c r="G27"/>
      <c r="H27"/>
      <c r="I27" s="1021">
        <v>24</v>
      </c>
      <c r="J27" s="1016">
        <v>557.13754828238416</v>
      </c>
      <c r="K27" s="1022">
        <v>164272.85983882815</v>
      </c>
      <c r="L27" s="1016">
        <v>835.70632242357624</v>
      </c>
      <c r="M27" s="1022">
        <v>385128.88618045457</v>
      </c>
      <c r="N27" s="1023">
        <f t="shared" si="7"/>
        <v>641.05787099734698</v>
      </c>
      <c r="O27" s="1022">
        <f t="shared" si="8"/>
        <v>295425.10927041736</v>
      </c>
      <c r="S27" s="407">
        <v>24</v>
      </c>
      <c r="T27" s="990">
        <f t="shared" si="5"/>
        <v>641.05787099734698</v>
      </c>
      <c r="U27" s="989">
        <v>295425.10927041736</v>
      </c>
      <c r="V27" s="408">
        <f t="shared" si="9"/>
        <v>682.89517571034037</v>
      </c>
      <c r="W27" s="405">
        <f t="shared" si="2"/>
        <v>201352.68899022017</v>
      </c>
      <c r="X27" s="408">
        <f t="shared" si="6"/>
        <v>2.8488914177080971</v>
      </c>
      <c r="Y27" s="912">
        <f t="shared" si="3"/>
        <v>1312.889886209173</v>
      </c>
      <c r="Z27" s="550"/>
      <c r="AA27" s="559">
        <f t="shared" si="4"/>
        <v>498090.68814684672</v>
      </c>
      <c r="AB27" s="550"/>
      <c r="AC27" s="400">
        <v>557.13754828238416</v>
      </c>
      <c r="AD27" s="400">
        <v>682.89517571034037</v>
      </c>
      <c r="AE27" s="400">
        <v>2.8488914177080971</v>
      </c>
      <c r="AF27" s="389"/>
      <c r="AG27" s="389"/>
      <c r="AH27" s="389"/>
      <c r="AI27" s="389"/>
      <c r="AJ27" s="400">
        <v>164272.85983882815</v>
      </c>
      <c r="AK27" s="400">
        <v>201352.68899022017</v>
      </c>
      <c r="AL27" s="400">
        <v>840</v>
      </c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  <c r="BJ27" s="389"/>
      <c r="BK27" s="389"/>
    </row>
    <row r="28" spans="1:63" ht="20.25" customHeight="1">
      <c r="A28"/>
      <c r="B28"/>
      <c r="C28"/>
      <c r="D28"/>
      <c r="E28"/>
      <c r="F28"/>
      <c r="G28"/>
      <c r="H28"/>
      <c r="I28" s="1021">
        <v>25</v>
      </c>
      <c r="J28" s="1016">
        <v>557.68798168295086</v>
      </c>
      <c r="K28" s="1022">
        <v>164435.15597043996</v>
      </c>
      <c r="L28" s="1016">
        <v>836.53197252442624</v>
      </c>
      <c r="M28" s="1022">
        <v>385509.38073360448</v>
      </c>
      <c r="N28" s="1023">
        <f t="shared" si="7"/>
        <v>641.69121489057568</v>
      </c>
      <c r="O28" s="1022">
        <f t="shared" si="8"/>
        <v>295716.97947017296</v>
      </c>
      <c r="S28" s="407">
        <v>25</v>
      </c>
      <c r="T28" s="990">
        <f t="shared" si="5"/>
        <v>641.69121489057568</v>
      </c>
      <c r="U28" s="989">
        <v>295716.97947017296</v>
      </c>
      <c r="V28" s="408">
        <f t="shared" si="9"/>
        <v>683.5655229857407</v>
      </c>
      <c r="W28" s="405">
        <f t="shared" si="2"/>
        <v>201550.34191157625</v>
      </c>
      <c r="X28" s="408">
        <f t="shared" si="6"/>
        <v>2.8488914177080971</v>
      </c>
      <c r="Y28" s="912">
        <f t="shared" si="3"/>
        <v>1312.889886209173</v>
      </c>
      <c r="Z28" s="550"/>
      <c r="AA28" s="559">
        <f t="shared" si="4"/>
        <v>498580.2112679584</v>
      </c>
      <c r="AB28" s="550"/>
      <c r="AC28" s="400">
        <v>557.68798168295086</v>
      </c>
      <c r="AD28" s="400">
        <v>683.5655229857407</v>
      </c>
      <c r="AE28" s="400">
        <v>2.8488914177080971</v>
      </c>
      <c r="AF28" s="396"/>
      <c r="AG28" s="396"/>
      <c r="AH28" s="396"/>
      <c r="AI28" s="396"/>
      <c r="AJ28" s="400">
        <v>164435.15597043996</v>
      </c>
      <c r="AK28" s="400">
        <v>201550.34191157625</v>
      </c>
      <c r="AL28" s="400">
        <v>840</v>
      </c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  <c r="BG28" s="396"/>
      <c r="BH28" s="396"/>
      <c r="BI28" s="396"/>
      <c r="BJ28" s="396"/>
      <c r="BK28" s="396"/>
    </row>
    <row r="29" spans="1:63" ht="20.25" customHeight="1">
      <c r="A29"/>
      <c r="B29"/>
      <c r="C29"/>
      <c r="D29"/>
      <c r="E29"/>
      <c r="F29"/>
      <c r="G29"/>
      <c r="H29"/>
      <c r="I29" s="1021">
        <v>26</v>
      </c>
      <c r="J29" s="1016">
        <v>558.48062244939399</v>
      </c>
      <c r="K29" s="1022">
        <v>164668.867315026</v>
      </c>
      <c r="L29" s="1016">
        <v>837.72093367409093</v>
      </c>
      <c r="M29" s="1022">
        <v>386057.30441324622</v>
      </c>
      <c r="N29" s="1023">
        <f t="shared" si="7"/>
        <v>642.60324927735917</v>
      </c>
      <c r="O29" s="1022">
        <f t="shared" si="8"/>
        <v>296137.28139697824</v>
      </c>
      <c r="S29" s="407">
        <v>26</v>
      </c>
      <c r="T29" s="990">
        <f t="shared" si="5"/>
        <v>642.60324927735917</v>
      </c>
      <c r="U29" s="989">
        <v>296137.28139697824</v>
      </c>
      <c r="V29" s="408">
        <f t="shared" si="9"/>
        <v>684.44375594813073</v>
      </c>
      <c r="W29" s="405">
        <f t="shared" si="2"/>
        <v>201809.29024629414</v>
      </c>
      <c r="X29" s="408">
        <f t="shared" si="6"/>
        <v>2.8488914177080971</v>
      </c>
      <c r="Y29" s="912">
        <f t="shared" si="3"/>
        <v>1312.889886209173</v>
      </c>
      <c r="Z29" s="550"/>
      <c r="AA29" s="559">
        <f t="shared" si="4"/>
        <v>499259.46152948157</v>
      </c>
      <c r="AB29" s="550"/>
      <c r="AC29" s="400">
        <v>558.48062244939399</v>
      </c>
      <c r="AD29" s="400">
        <v>684.44375594813073</v>
      </c>
      <c r="AE29" s="400">
        <v>2.8488914177080971</v>
      </c>
      <c r="AF29" s="396"/>
      <c r="AG29" s="396"/>
      <c r="AH29" s="396"/>
      <c r="AI29" s="396"/>
      <c r="AJ29" s="400">
        <v>164668.867315026</v>
      </c>
      <c r="AK29" s="400">
        <v>201809.29024629414</v>
      </c>
      <c r="AL29" s="400">
        <v>840</v>
      </c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  <c r="BG29" s="396"/>
      <c r="BH29" s="396"/>
      <c r="BI29" s="396"/>
      <c r="BJ29" s="396"/>
      <c r="BK29" s="396"/>
    </row>
    <row r="30" spans="1:63" ht="20.25" customHeight="1">
      <c r="A30"/>
      <c r="B30"/>
      <c r="C30"/>
      <c r="D30"/>
      <c r="E30"/>
      <c r="F30"/>
      <c r="G30"/>
      <c r="H30"/>
      <c r="I30" s="1021">
        <v>27</v>
      </c>
      <c r="J30" s="1016">
        <v>559.05783143841734</v>
      </c>
      <c r="K30" s="1022">
        <v>164839.0582699237</v>
      </c>
      <c r="L30" s="1016">
        <v>838.58674715762595</v>
      </c>
      <c r="M30" s="1022">
        <v>386456.30795504886</v>
      </c>
      <c r="N30" s="1023">
        <f t="shared" si="7"/>
        <v>643.26740190315968</v>
      </c>
      <c r="O30" s="1022">
        <f t="shared" si="8"/>
        <v>296443.34949305211</v>
      </c>
      <c r="S30" s="407">
        <v>27</v>
      </c>
      <c r="T30" s="990">
        <f t="shared" si="5"/>
        <v>643.26740190315968</v>
      </c>
      <c r="U30" s="989">
        <v>296443.34949305211</v>
      </c>
      <c r="V30" s="408">
        <f t="shared" si="9"/>
        <v>685.22843594008134</v>
      </c>
      <c r="W30" s="405">
        <f t="shared" si="2"/>
        <v>202040.65434432242</v>
      </c>
      <c r="X30" s="408">
        <f t="shared" si="6"/>
        <v>2.8488914177080971</v>
      </c>
      <c r="Y30" s="912">
        <f t="shared" si="3"/>
        <v>1312.889886209173</v>
      </c>
      <c r="Z30" s="550"/>
      <c r="AA30" s="559">
        <f t="shared" si="4"/>
        <v>499796.89372358366</v>
      </c>
      <c r="AB30" s="550"/>
      <c r="AC30" s="400">
        <v>559.05783143841734</v>
      </c>
      <c r="AD30" s="400">
        <v>685.22843594008134</v>
      </c>
      <c r="AE30" s="400">
        <v>2.8488914177080971</v>
      </c>
      <c r="AJ30" s="400">
        <v>164839.0582699237</v>
      </c>
      <c r="AK30" s="400">
        <v>202040.65434432245</v>
      </c>
      <c r="AL30" s="400">
        <v>840</v>
      </c>
    </row>
    <row r="31" spans="1:63" ht="20.25" customHeight="1">
      <c r="A31"/>
      <c r="B31"/>
      <c r="C31"/>
      <c r="D31"/>
      <c r="E31"/>
      <c r="F31"/>
      <c r="G31"/>
      <c r="H31"/>
      <c r="I31" s="1021">
        <v>28</v>
      </c>
      <c r="J31" s="1016">
        <v>559.64873498911084</v>
      </c>
      <c r="K31" s="1022">
        <v>165013.28708731467</v>
      </c>
      <c r="L31" s="1016">
        <v>839.47310248366625</v>
      </c>
      <c r="M31" s="1022">
        <v>386864.77804833243</v>
      </c>
      <c r="N31" s="1023">
        <f t="shared" si="7"/>
        <v>643.94731187034859</v>
      </c>
      <c r="O31" s="1022">
        <f t="shared" si="8"/>
        <v>296756.67920233146</v>
      </c>
      <c r="S31" s="407">
        <v>28</v>
      </c>
      <c r="T31" s="990">
        <f t="shared" si="5"/>
        <v>643.94731187034859</v>
      </c>
      <c r="U31" s="989">
        <v>296756.67920233146</v>
      </c>
      <c r="V31" s="408">
        <f t="shared" si="9"/>
        <v>685.94254275854712</v>
      </c>
      <c r="W31" s="405">
        <f t="shared" si="2"/>
        <v>202251.20983400615</v>
      </c>
      <c r="X31" s="408">
        <f t="shared" si="6"/>
        <v>2.8488914177080971</v>
      </c>
      <c r="Y31" s="912">
        <f t="shared" si="3"/>
        <v>1312.889886209173</v>
      </c>
      <c r="Z31" s="550"/>
      <c r="AA31" s="559">
        <f t="shared" si="4"/>
        <v>500320.77892254677</v>
      </c>
      <c r="AB31" s="550"/>
      <c r="AC31" s="400">
        <v>559.64873498911084</v>
      </c>
      <c r="AD31" s="400">
        <v>685.94254275854712</v>
      </c>
      <c r="AE31" s="400">
        <v>2.8488914177080971</v>
      </c>
      <c r="AJ31" s="400">
        <v>165013.28708731467</v>
      </c>
      <c r="AK31" s="400">
        <v>202251.20983400615</v>
      </c>
      <c r="AL31" s="400">
        <v>840</v>
      </c>
    </row>
    <row r="32" spans="1:63" ht="20.25" customHeight="1">
      <c r="A32"/>
      <c r="B32"/>
      <c r="C32"/>
      <c r="D32"/>
      <c r="E32"/>
      <c r="F32"/>
      <c r="G32"/>
      <c r="H32"/>
      <c r="I32" s="1021">
        <v>29</v>
      </c>
      <c r="J32" s="1016">
        <v>560.26641412826075</v>
      </c>
      <c r="K32" s="1022">
        <v>165195.41072799149</v>
      </c>
      <c r="L32" s="1016">
        <v>840.39962119239112</v>
      </c>
      <c r="M32" s="1022">
        <v>387291.7571302685</v>
      </c>
      <c r="N32" s="1023">
        <f t="shared" si="7"/>
        <v>644.65803057010896</v>
      </c>
      <c r="O32" s="1022">
        <f t="shared" si="8"/>
        <v>297084.20680792903</v>
      </c>
      <c r="S32" s="407">
        <v>29</v>
      </c>
      <c r="T32" s="990">
        <f t="shared" si="5"/>
        <v>644.65803057010896</v>
      </c>
      <c r="U32" s="989">
        <v>297084.20680792903</v>
      </c>
      <c r="V32" s="408">
        <f t="shared" si="9"/>
        <v>686.68668504751918</v>
      </c>
      <c r="W32" s="405">
        <f t="shared" si="2"/>
        <v>202470.62132819337</v>
      </c>
      <c r="X32" s="408">
        <f t="shared" si="6"/>
        <v>2.8488914177080971</v>
      </c>
      <c r="Y32" s="912">
        <f t="shared" si="3"/>
        <v>1312.889886209173</v>
      </c>
      <c r="Z32" s="550"/>
      <c r="AA32" s="559">
        <f t="shared" si="4"/>
        <v>500867.7180223316</v>
      </c>
      <c r="AB32" s="550"/>
      <c r="AC32" s="400">
        <v>560.26641412826075</v>
      </c>
      <c r="AD32" s="400">
        <v>686.68668504751918</v>
      </c>
      <c r="AE32" s="400">
        <v>2.8488914177080971</v>
      </c>
      <c r="AJ32" s="400">
        <v>165195.41072799149</v>
      </c>
      <c r="AK32" s="400">
        <v>202470.62132819337</v>
      </c>
      <c r="AL32" s="400">
        <v>840</v>
      </c>
    </row>
    <row r="33" spans="1:38" ht="20.25" customHeight="1" thickBot="1">
      <c r="A33"/>
      <c r="B33"/>
      <c r="C33"/>
      <c r="D33"/>
      <c r="E33"/>
      <c r="F33"/>
      <c r="G33"/>
      <c r="H33"/>
      <c r="I33" s="1021">
        <v>30</v>
      </c>
      <c r="J33" s="1016">
        <v>560.60202928629201</v>
      </c>
      <c r="K33" s="1022">
        <v>165294.36737161572</v>
      </c>
      <c r="L33" s="1016">
        <v>840.90304392943801</v>
      </c>
      <c r="M33" s="1022">
        <v>387523.75565988891</v>
      </c>
      <c r="N33" s="1023">
        <f t="shared" si="7"/>
        <v>645.04419865256045</v>
      </c>
      <c r="O33" s="1022">
        <f t="shared" si="8"/>
        <v>297262.16850704601</v>
      </c>
      <c r="S33" s="409">
        <v>30</v>
      </c>
      <c r="T33" s="990">
        <f t="shared" si="5"/>
        <v>645.04419865256045</v>
      </c>
      <c r="U33" s="991">
        <v>297262.16850704601</v>
      </c>
      <c r="V33" s="411">
        <f t="shared" si="9"/>
        <v>687.19775574371806</v>
      </c>
      <c r="W33" s="410">
        <f t="shared" si="2"/>
        <v>202621.31130610502</v>
      </c>
      <c r="X33" s="411">
        <f t="shared" si="6"/>
        <v>2.8488914177080971</v>
      </c>
      <c r="Y33" s="913">
        <f t="shared" si="3"/>
        <v>1312.889886209173</v>
      </c>
      <c r="Z33" s="550"/>
      <c r="AA33" s="560">
        <f t="shared" si="4"/>
        <v>501196.36969936022</v>
      </c>
      <c r="AB33" s="550"/>
      <c r="AC33" s="400">
        <v>560.60202928629201</v>
      </c>
      <c r="AD33" s="400">
        <v>687.19775574371806</v>
      </c>
      <c r="AE33" s="400">
        <v>2.8488914177080971</v>
      </c>
      <c r="AJ33" s="400">
        <v>165294.36737161572</v>
      </c>
      <c r="AK33" s="400">
        <v>202621.311306105</v>
      </c>
      <c r="AL33" s="400">
        <v>840</v>
      </c>
    </row>
    <row r="34" spans="1:38" ht="15">
      <c r="A34"/>
      <c r="B34"/>
      <c r="C34"/>
      <c r="D34"/>
      <c r="E34"/>
      <c r="F34"/>
      <c r="G34"/>
      <c r="H34"/>
      <c r="I34" s="1009" t="s">
        <v>121</v>
      </c>
      <c r="J34"/>
      <c r="K34" s="1030">
        <f>SUM(K4:K33)</f>
        <v>5150427.0084645916</v>
      </c>
      <c r="L34" s="1009"/>
      <c r="M34" s="1030">
        <f>SUM(M4:M33)</f>
        <v>12074899.15905666</v>
      </c>
      <c r="N34" s="1009"/>
      <c r="O34" s="1030">
        <f>SUM(O4:O33)</f>
        <v>9622284.0000355784</v>
      </c>
      <c r="U34" s="400"/>
      <c r="W34" s="400"/>
      <c r="Y34" s="400"/>
      <c r="Z34" s="400"/>
      <c r="AA34" s="400"/>
      <c r="AB34" s="400"/>
    </row>
    <row r="35" spans="1:38" ht="15">
      <c r="A35"/>
      <c r="B35"/>
      <c r="C35"/>
      <c r="D35"/>
      <c r="E35"/>
      <c r="F35"/>
      <c r="G35"/>
      <c r="H35"/>
      <c r="I35" s="1009" t="s">
        <v>528</v>
      </c>
      <c r="J35"/>
      <c r="K35"/>
      <c r="L35"/>
      <c r="M35" s="1030">
        <f>M34-K34</f>
        <v>6924472.1505920682</v>
      </c>
      <c r="N35"/>
      <c r="O35" s="1030">
        <f>O34-K34</f>
        <v>4471856.9915709868</v>
      </c>
    </row>
    <row r="36" spans="1:38" ht="22.5" customHeight="1">
      <c r="A36"/>
      <c r="B36"/>
      <c r="C36"/>
      <c r="D36"/>
      <c r="E36"/>
      <c r="F36"/>
      <c r="G36"/>
      <c r="H36"/>
      <c r="I36" s="1009" t="s">
        <v>529</v>
      </c>
      <c r="J36"/>
      <c r="K36"/>
      <c r="L36"/>
      <c r="M36" s="1027">
        <f>M35/K34</f>
        <v>1.3444462253735234</v>
      </c>
      <c r="N36"/>
      <c r="O36" s="1027">
        <f>O35/K34</f>
        <v>0.86824975564581486</v>
      </c>
      <c r="U36" s="401">
        <f>SUM(U4:U35)</f>
        <v>9622284.0000355784</v>
      </c>
      <c r="W36" s="401">
        <f>SUM(W4:W35)</f>
        <v>4954295.2409098325</v>
      </c>
      <c r="Y36" s="401">
        <f>SUM(Y4:Y35)</f>
        <v>39386.696586275204</v>
      </c>
      <c r="Z36" s="401"/>
      <c r="AA36" s="401"/>
      <c r="AB36" s="401"/>
    </row>
    <row r="37" spans="1:38" ht="30" customHeight="1">
      <c r="W37" s="401">
        <f>SUM(U36:Y36)</f>
        <v>14615965.937531685</v>
      </c>
    </row>
  </sheetData>
  <mergeCells count="8">
    <mergeCell ref="J2:K2"/>
    <mergeCell ref="L2:M2"/>
    <mergeCell ref="N2:O2"/>
    <mergeCell ref="X2:Y2"/>
    <mergeCell ref="S1:Y1"/>
    <mergeCell ref="T2:U2"/>
    <mergeCell ref="V2:W2"/>
    <mergeCell ref="S2:S3"/>
  </mergeCells>
  <printOptions horizontalCentered="1"/>
  <pageMargins left="0.98425196850393704" right="0.59055118110236227" top="1.9685039370078741" bottom="1.0629921259842521" header="0.39370078740157483" footer="0.39370078740157483"/>
  <pageSetup paperSize="9" scale="69" orientation="portrait" r:id="rId1"/>
  <headerFooter alignWithMargins="0"/>
  <ignoredErrors>
    <ignoredError sqref="X4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6F806-181B-465A-B90B-016016CDD8DB}">
  <sheetPr>
    <tabColor theme="9"/>
  </sheetPr>
  <dimension ref="A2:AJ66"/>
  <sheetViews>
    <sheetView showGridLines="0" zoomScale="70" zoomScaleNormal="70" workbookViewId="0">
      <selection activeCell="K9" sqref="K9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711</v>
      </c>
      <c r="D2" s="1238" t="s">
        <v>713</v>
      </c>
    </row>
    <row r="3" spans="1:33" ht="23.25">
      <c r="B3" s="1236" t="s">
        <v>712</v>
      </c>
      <c r="D3" s="1239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46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2">
        <f t="shared" si="0"/>
        <v>4073699.9550725189</v>
      </c>
      <c r="L9" s="1212">
        <f t="shared" si="0"/>
        <v>4168530.9301507464</v>
      </c>
      <c r="M9" s="1212">
        <f t="shared" si="0"/>
        <v>4364999.8344247555</v>
      </c>
      <c r="N9" s="1212">
        <f t="shared" si="0"/>
        <v>4663100.202262952</v>
      </c>
      <c r="O9" s="1212">
        <f t="shared" si="0"/>
        <v>4665542.6642718697</v>
      </c>
      <c r="P9" s="1212">
        <f t="shared" si="0"/>
        <v>4672249.2421313887</v>
      </c>
      <c r="Q9" s="1212">
        <f t="shared" si="0"/>
        <v>4678955.8199909087</v>
      </c>
      <c r="R9" s="1212">
        <f t="shared" si="0"/>
        <v>4685103.5163621325</v>
      </c>
      <c r="S9" s="1212">
        <f t="shared" si="0"/>
        <v>4690692.3312450647</v>
      </c>
      <c r="T9" s="1212">
        <f t="shared" si="0"/>
        <v>4696281.1461279979</v>
      </c>
      <c r="U9" s="1212">
        <f t="shared" si="0"/>
        <v>4701869.9610109283</v>
      </c>
      <c r="V9" s="1212">
        <f t="shared" si="0"/>
        <v>4706899.8944055689</v>
      </c>
      <c r="W9" s="1212">
        <f t="shared" si="0"/>
        <v>4713047.5907767965</v>
      </c>
      <c r="X9" s="1212">
        <f t="shared" si="0"/>
        <v>4719195.2871480193</v>
      </c>
      <c r="Y9" s="1212">
        <f t="shared" si="0"/>
        <v>4723666.3390543666</v>
      </c>
      <c r="Z9" s="1212">
        <f t="shared" si="0"/>
        <v>4728137.390960712</v>
      </c>
      <c r="AA9" s="1212">
        <f t="shared" si="0"/>
        <v>4732608.4428670583</v>
      </c>
      <c r="AB9" s="1212">
        <f t="shared" si="0"/>
        <v>4738197.2577499906</v>
      </c>
      <c r="AC9" s="1212">
        <f t="shared" si="0"/>
        <v>4743786.0726329209</v>
      </c>
      <c r="AD9" s="1212">
        <f t="shared" si="0"/>
        <v>4748816.0060275607</v>
      </c>
      <c r="AE9" s="1212">
        <f t="shared" si="0"/>
        <v>4754404.8209104948</v>
      </c>
      <c r="AF9" s="1212">
        <f t="shared" si="0"/>
        <v>4758316.9913285477</v>
      </c>
      <c r="AG9" s="1213">
        <f t="shared" ref="AG9:AG17" si="1">SUM(C9:AF9)</f>
        <v>126773298.44508675</v>
      </c>
    </row>
    <row r="10" spans="1:33" ht="20.25" customHeight="1">
      <c r="B10" s="469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14">
        <f>(1+$D$3)*'R1 DRE'!K5</f>
        <v>2236337.5618390017</v>
      </c>
      <c r="L10" s="1214">
        <f>(1+$D$3)*'R1 DRE'!L5</f>
        <v>2231422.6329661855</v>
      </c>
      <c r="M10" s="1214">
        <f>(1+$D$3)*'R1 DRE'!M5</f>
        <v>2230697.1871795147</v>
      </c>
      <c r="N10" s="1214">
        <f>(1+$D$3)*'R1 DRE'!N5</f>
        <v>2231802.0443904921</v>
      </c>
      <c r="O10" s="1214">
        <f>(1+$D$3)*'R1 DRE'!O5</f>
        <v>2230786.8367805546</v>
      </c>
      <c r="P10" s="1214">
        <f>(1+$D$3)*'R1 DRE'!P5</f>
        <v>2233993.5260524</v>
      </c>
      <c r="Q10" s="1214">
        <f>(1+$D$3)*'R1 DRE'!Q5</f>
        <v>2237200.2153242463</v>
      </c>
      <c r="R10" s="1214">
        <f>(1+$D$3)*'R1 DRE'!R5</f>
        <v>2240139.680490104</v>
      </c>
      <c r="S10" s="1214">
        <f>(1+$D$3)*'R1 DRE'!S5</f>
        <v>2242811.9215499754</v>
      </c>
      <c r="T10" s="1214">
        <f>(1+$D$3)*'R1 DRE'!T5</f>
        <v>2245484.1626098468</v>
      </c>
      <c r="U10" s="1214">
        <f>(1+$D$3)*'R1 DRE'!U5</f>
        <v>2248156.4036697173</v>
      </c>
      <c r="V10" s="1214">
        <f>(1+$D$3)*'R1 DRE'!V5</f>
        <v>2250561.4206236023</v>
      </c>
      <c r="W10" s="1214">
        <f>(1+$D$3)*'R1 DRE'!W5</f>
        <v>2253500.8857894614</v>
      </c>
      <c r="X10" s="1214">
        <f>(1+$D$3)*'R1 DRE'!X5</f>
        <v>2256440.3509553187</v>
      </c>
      <c r="Y10" s="1214">
        <f>(1+$D$3)*'R1 DRE'!Y5</f>
        <v>2258578.1438032161</v>
      </c>
      <c r="Z10" s="1214">
        <f>(1+$D$3)*'R1 DRE'!Z5</f>
        <v>2260715.9366511134</v>
      </c>
      <c r="AA10" s="1214">
        <f>(1+$D$3)*'R1 DRE'!AA5</f>
        <v>2262853.7294990104</v>
      </c>
      <c r="AB10" s="1214">
        <f>(1+$D$3)*'R1 DRE'!AB5</f>
        <v>2265525.9705588818</v>
      </c>
      <c r="AC10" s="1214">
        <f>(1+$D$3)*'R1 DRE'!AC5</f>
        <v>2268198.2116187527</v>
      </c>
      <c r="AD10" s="1214">
        <f>(1+$D$3)*'R1 DRE'!AD5</f>
        <v>2270603.2285726368</v>
      </c>
      <c r="AE10" s="1214">
        <f>(1+$D$3)*'R1 DRE'!AE5</f>
        <v>2273275.4696325082</v>
      </c>
      <c r="AF10" s="1214">
        <f>(1+$D$3)*'R1 DRE'!AF5</f>
        <v>2275146.0383744184</v>
      </c>
      <c r="AG10" s="1213">
        <f t="shared" si="1"/>
        <v>64892129.401891261</v>
      </c>
    </row>
    <row r="11" spans="1:33" ht="20.25" customHeight="1">
      <c r="B11" s="469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14">
        <f>(1+$D$3)*'R1 DRE'!K6</f>
        <v>1797028.7303120072</v>
      </c>
      <c r="L11" s="1214">
        <f>(1+$D$3)*'R1 DRE'!L6</f>
        <v>1895835.7137177221</v>
      </c>
      <c r="M11" s="1214">
        <f>(1+$D$3)*'R1 DRE'!M6</f>
        <v>2091084.8271024216</v>
      </c>
      <c r="N11" s="1214">
        <f>(1+$D$3)*'R1 DRE'!N6</f>
        <v>2385128.8489391641</v>
      </c>
      <c r="O11" s="1214">
        <f>(1+$D$3)*'R1 DRE'!O6</f>
        <v>2388562.3357658512</v>
      </c>
      <c r="P11" s="1214">
        <f>(1+$D$3)*'R1 DRE'!P6</f>
        <v>2391995.8225925392</v>
      </c>
      <c r="Q11" s="1214">
        <f>(1+$D$3)*'R1 DRE'!Q6</f>
        <v>2395429.3094192278</v>
      </c>
      <c r="R11" s="1214">
        <f>(1+$D$3)*'R1 DRE'!R6</f>
        <v>2398576.6723436909</v>
      </c>
      <c r="S11" s="1214">
        <f>(1+$D$3)*'R1 DRE'!S6</f>
        <v>2401437.9113659309</v>
      </c>
      <c r="T11" s="1214">
        <f>(1+$D$3)*'R1 DRE'!T6</f>
        <v>2404299.1503881705</v>
      </c>
      <c r="U11" s="1214">
        <f>(1+$D$3)*'R1 DRE'!U6</f>
        <v>2407160.3894104101</v>
      </c>
      <c r="V11" s="1214">
        <f>(1+$D$3)*'R1 DRE'!V6</f>
        <v>2409735.5045304266</v>
      </c>
      <c r="W11" s="1214">
        <f>(1+$D$3)*'R1 DRE'!W6</f>
        <v>2412882.8674548911</v>
      </c>
      <c r="X11" s="1214">
        <f>(1+$D$3)*'R1 DRE'!X6</f>
        <v>2416030.2303793547</v>
      </c>
      <c r="Y11" s="1214">
        <f>(1+$D$3)*'R1 DRE'!Y6</f>
        <v>2418319.2215971467</v>
      </c>
      <c r="Z11" s="1214">
        <f>(1+$D$3)*'R1 DRE'!Z6</f>
        <v>2420608.2128149383</v>
      </c>
      <c r="AA11" s="1214">
        <f>(1+$D$3)*'R1 DRE'!AA6</f>
        <v>2422897.2040327298</v>
      </c>
      <c r="AB11" s="1214">
        <f>(1+$D$3)*'R1 DRE'!AB6</f>
        <v>2425758.4430549708</v>
      </c>
      <c r="AC11" s="1214">
        <f>(1+$D$3)*'R1 DRE'!AC6</f>
        <v>2428619.6820772095</v>
      </c>
      <c r="AD11" s="1214">
        <f>(1+$D$3)*'R1 DRE'!AD6</f>
        <v>2431194.7971972255</v>
      </c>
      <c r="AE11" s="1214">
        <f>(1+$D$3)*'R1 DRE'!AE6</f>
        <v>2434056.036219466</v>
      </c>
      <c r="AF11" s="1214">
        <f>(1+$D$3)*'R1 DRE'!AF6</f>
        <v>2436058.903535034</v>
      </c>
      <c r="AG11" s="1213">
        <f t="shared" si="1"/>
        <v>60577191.249674059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14">
        <f>(1+$D$3)*'R1 DRE'!K7</f>
        <v>40333.662921510091</v>
      </c>
      <c r="L12" s="1214">
        <f>(1+$D$3)*'R1 DRE'!L7</f>
        <v>41272.583466839074</v>
      </c>
      <c r="M12" s="1214">
        <f>(1+$D$3)*'R1 DRE'!M7</f>
        <v>43217.820142819364</v>
      </c>
      <c r="N12" s="1214">
        <f>(1+$D$3)*'R1 DRE'!N7</f>
        <v>46169.308933296561</v>
      </c>
      <c r="O12" s="1214">
        <f>(1+$D$3)*'R1 DRE'!O7</f>
        <v>46193.491725464053</v>
      </c>
      <c r="P12" s="1214">
        <f>(1+$D$3)*'R1 DRE'!P7</f>
        <v>46259.893486449393</v>
      </c>
      <c r="Q12" s="1214">
        <f>(1+$D$3)*'R1 DRE'!Q7</f>
        <v>46326.29524743474</v>
      </c>
      <c r="R12" s="1214">
        <f>(1+$D$3)*'R1 DRE'!R7</f>
        <v>46387.163528337944</v>
      </c>
      <c r="S12" s="1214">
        <f>(1+$D$3)*'R1 DRE'!S7</f>
        <v>46442.498329159062</v>
      </c>
      <c r="T12" s="1214">
        <f>(1+$D$3)*'R1 DRE'!T7</f>
        <v>46497.833129980172</v>
      </c>
      <c r="U12" s="1214">
        <f>(1+$D$3)*'R1 DRE'!U7</f>
        <v>46553.167930801268</v>
      </c>
      <c r="V12" s="1214">
        <f>(1+$D$3)*'R1 DRE'!V7</f>
        <v>46602.969251540286</v>
      </c>
      <c r="W12" s="1214">
        <f>(1+$D$3)*'R1 DRE'!W7</f>
        <v>46663.837532443526</v>
      </c>
      <c r="X12" s="1214">
        <f>(1+$D$3)*'R1 DRE'!X7</f>
        <v>46724.705813346729</v>
      </c>
      <c r="Y12" s="1214">
        <f>(1+$D$3)*'R1 DRE'!Y7</f>
        <v>46768.973654003632</v>
      </c>
      <c r="Z12" s="1214">
        <f>(1+$D$3)*'R1 DRE'!Z7</f>
        <v>46813.24149466052</v>
      </c>
      <c r="AA12" s="1214">
        <f>(1+$D$3)*'R1 DRE'!AA7</f>
        <v>46857.509335317409</v>
      </c>
      <c r="AB12" s="1214">
        <f>(1+$D$3)*'R1 DRE'!AB7</f>
        <v>46912.844136138519</v>
      </c>
      <c r="AC12" s="1214">
        <f>(1+$D$3)*'R1 DRE'!AC7</f>
        <v>46968.178936959615</v>
      </c>
      <c r="AD12" s="1214">
        <f>(1+$D$3)*'R1 DRE'!AD7</f>
        <v>47017.980257698626</v>
      </c>
      <c r="AE12" s="1214">
        <f>(1+$D$3)*'R1 DRE'!AE7</f>
        <v>47073.315058519751</v>
      </c>
      <c r="AF12" s="1214">
        <f>(1+$D$3)*'R1 DRE'!AF7</f>
        <v>47112.049419094532</v>
      </c>
      <c r="AG12" s="1213">
        <f t="shared" si="1"/>
        <v>1303977.793521415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2">-SUM(D14:D15)</f>
        <v>-234617.19486967311</v>
      </c>
      <c r="E13" s="1212">
        <f t="shared" si="2"/>
        <v>-255067.11447188459</v>
      </c>
      <c r="F13" s="1212">
        <f t="shared" si="2"/>
        <v>-266470.53804765607</v>
      </c>
      <c r="G13" s="1212">
        <f t="shared" si="2"/>
        <v>-277240.35544356558</v>
      </c>
      <c r="H13" s="1212">
        <f t="shared" si="2"/>
        <v>-305292.86829691898</v>
      </c>
      <c r="I13" s="1212">
        <f t="shared" si="2"/>
        <v>-343021.62437981495</v>
      </c>
      <c r="J13" s="1212">
        <f t="shared" si="2"/>
        <v>-370742.7283114891</v>
      </c>
      <c r="K13" s="1212">
        <f t="shared" si="2"/>
        <v>-376817.245844208</v>
      </c>
      <c r="L13" s="1212">
        <f t="shared" si="2"/>
        <v>-385589.11103894399</v>
      </c>
      <c r="M13" s="1212">
        <f t="shared" si="2"/>
        <v>-403762.4846842899</v>
      </c>
      <c r="N13" s="1212">
        <f t="shared" si="2"/>
        <v>-431336.76870932308</v>
      </c>
      <c r="O13" s="1212">
        <f t="shared" si="2"/>
        <v>-431562.69644514797</v>
      </c>
      <c r="P13" s="1212">
        <f t="shared" si="2"/>
        <v>-432183.05489715346</v>
      </c>
      <c r="Q13" s="1212">
        <f t="shared" si="2"/>
        <v>-432803.41334915906</v>
      </c>
      <c r="R13" s="1212">
        <f t="shared" si="2"/>
        <v>-433372.0752634973</v>
      </c>
      <c r="S13" s="1212">
        <f t="shared" si="2"/>
        <v>-433889.04064016847</v>
      </c>
      <c r="T13" s="1212">
        <f t="shared" si="2"/>
        <v>-434406.00601683982</v>
      </c>
      <c r="U13" s="1212">
        <f t="shared" si="2"/>
        <v>-434922.97139351082</v>
      </c>
      <c r="V13" s="1212">
        <f t="shared" si="2"/>
        <v>-435388.24023251515</v>
      </c>
      <c r="W13" s="1212">
        <f t="shared" si="2"/>
        <v>-435956.90214685362</v>
      </c>
      <c r="X13" s="1212">
        <f t="shared" si="2"/>
        <v>-436525.56406119181</v>
      </c>
      <c r="Y13" s="1212">
        <f t="shared" si="2"/>
        <v>-436939.13636252889</v>
      </c>
      <c r="Z13" s="1212">
        <f t="shared" si="2"/>
        <v>-437352.70866386587</v>
      </c>
      <c r="AA13" s="1212">
        <f t="shared" si="2"/>
        <v>-437766.2809652029</v>
      </c>
      <c r="AB13" s="1212">
        <f t="shared" si="2"/>
        <v>-438283.24634187412</v>
      </c>
      <c r="AC13" s="1212">
        <f t="shared" si="2"/>
        <v>-438800.21171854518</v>
      </c>
      <c r="AD13" s="1212">
        <f t="shared" si="2"/>
        <v>-439265.48055754934</v>
      </c>
      <c r="AE13" s="1212">
        <f t="shared" si="2"/>
        <v>-439782.4459342208</v>
      </c>
      <c r="AF13" s="1212">
        <f t="shared" si="2"/>
        <v>-440144.32169789064</v>
      </c>
      <c r="AG13" s="1213">
        <f t="shared" si="1"/>
        <v>-11678723.795826206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3">0.076*G9</f>
        <v>227786.67041849715</v>
      </c>
      <c r="H14" s="1214">
        <f t="shared" si="3"/>
        <v>250835.22151963072</v>
      </c>
      <c r="I14" s="1214">
        <f t="shared" si="3"/>
        <v>281833.98327422631</v>
      </c>
      <c r="J14" s="1214">
        <f t="shared" si="3"/>
        <v>304610.24163970997</v>
      </c>
      <c r="K14" s="1214">
        <f t="shared" si="3"/>
        <v>309601.19658551144</v>
      </c>
      <c r="L14" s="1214">
        <f t="shared" si="3"/>
        <v>316808.3506914567</v>
      </c>
      <c r="M14" s="1214">
        <f t="shared" si="3"/>
        <v>331739.98741628142</v>
      </c>
      <c r="N14" s="1214">
        <f t="shared" si="3"/>
        <v>354395.61537198437</v>
      </c>
      <c r="O14" s="1214">
        <f t="shared" si="3"/>
        <v>354581.2424846621</v>
      </c>
      <c r="P14" s="1214">
        <f t="shared" si="3"/>
        <v>355090.94240198552</v>
      </c>
      <c r="Q14" s="1214">
        <f t="shared" si="3"/>
        <v>355600.64231930906</v>
      </c>
      <c r="R14" s="1214">
        <f t="shared" si="3"/>
        <v>356067.86724352208</v>
      </c>
      <c r="S14" s="1214">
        <f t="shared" si="3"/>
        <v>356492.61717462493</v>
      </c>
      <c r="T14" s="1214">
        <f t="shared" si="3"/>
        <v>356917.36710572784</v>
      </c>
      <c r="U14" s="1214">
        <f t="shared" si="3"/>
        <v>357342.11703683052</v>
      </c>
      <c r="V14" s="1214">
        <f t="shared" si="3"/>
        <v>357724.39197482326</v>
      </c>
      <c r="W14" s="1214">
        <f t="shared" si="3"/>
        <v>358191.61689903651</v>
      </c>
      <c r="X14" s="1214">
        <f t="shared" si="3"/>
        <v>358658.84182324947</v>
      </c>
      <c r="Y14" s="1214">
        <f t="shared" si="3"/>
        <v>358998.64176813187</v>
      </c>
      <c r="Z14" s="1214">
        <f t="shared" si="3"/>
        <v>359338.44171301409</v>
      </c>
      <c r="AA14" s="1214">
        <f t="shared" si="3"/>
        <v>359678.24165789643</v>
      </c>
      <c r="AB14" s="1214">
        <f t="shared" si="3"/>
        <v>360102.99158899928</v>
      </c>
      <c r="AC14" s="1214">
        <f t="shared" si="3"/>
        <v>360527.74152010196</v>
      </c>
      <c r="AD14" s="1214">
        <f t="shared" si="3"/>
        <v>360910.01645809459</v>
      </c>
      <c r="AE14" s="1214">
        <f t="shared" si="3"/>
        <v>361334.76638919761</v>
      </c>
      <c r="AF14" s="1214">
        <f t="shared" si="3"/>
        <v>361632.09134096961</v>
      </c>
      <c r="AG14" s="1213">
        <f t="shared" si="1"/>
        <v>9595500.0624899883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4">0.0165*G9</f>
        <v>49453.685025068458</v>
      </c>
      <c r="H15" s="1214">
        <f t="shared" si="4"/>
        <v>54457.646777288253</v>
      </c>
      <c r="I15" s="1214">
        <f t="shared" si="4"/>
        <v>61187.641105588613</v>
      </c>
      <c r="J15" s="1214">
        <f t="shared" si="4"/>
        <v>66132.486671779145</v>
      </c>
      <c r="K15" s="1214">
        <f t="shared" si="4"/>
        <v>67216.04925869657</v>
      </c>
      <c r="L15" s="1214">
        <f t="shared" si="4"/>
        <v>68780.760347487318</v>
      </c>
      <c r="M15" s="1214">
        <f t="shared" si="4"/>
        <v>72022.497268008476</v>
      </c>
      <c r="N15" s="1214">
        <f t="shared" si="4"/>
        <v>76941.153337338706</v>
      </c>
      <c r="O15" s="1214">
        <f t="shared" si="4"/>
        <v>76981.453960485858</v>
      </c>
      <c r="P15" s="1214">
        <f t="shared" si="4"/>
        <v>77092.112495167923</v>
      </c>
      <c r="Q15" s="1214">
        <f t="shared" si="4"/>
        <v>77202.771029850002</v>
      </c>
      <c r="R15" s="1214">
        <f t="shared" si="4"/>
        <v>77304.208019975194</v>
      </c>
      <c r="S15" s="1214">
        <f t="shared" si="4"/>
        <v>77396.423465543572</v>
      </c>
      <c r="T15" s="1214">
        <f t="shared" si="4"/>
        <v>77488.638911111964</v>
      </c>
      <c r="U15" s="1214">
        <f t="shared" si="4"/>
        <v>77580.854356680313</v>
      </c>
      <c r="V15" s="1214">
        <f t="shared" si="4"/>
        <v>77663.84825769189</v>
      </c>
      <c r="W15" s="1214">
        <f t="shared" si="4"/>
        <v>77765.285247817141</v>
      </c>
      <c r="X15" s="1214">
        <f t="shared" si="4"/>
        <v>77866.722237942318</v>
      </c>
      <c r="Y15" s="1214">
        <f t="shared" si="4"/>
        <v>77940.494594397052</v>
      </c>
      <c r="Z15" s="1214">
        <f t="shared" si="4"/>
        <v>78014.266950851757</v>
      </c>
      <c r="AA15" s="1214">
        <f t="shared" si="4"/>
        <v>78088.039307306462</v>
      </c>
      <c r="AB15" s="1214">
        <f t="shared" si="4"/>
        <v>78180.254752874855</v>
      </c>
      <c r="AC15" s="1214">
        <f t="shared" si="4"/>
        <v>78272.470198443203</v>
      </c>
      <c r="AD15" s="1214">
        <f t="shared" si="4"/>
        <v>78355.464099454752</v>
      </c>
      <c r="AE15" s="1214">
        <f t="shared" si="4"/>
        <v>78447.679545023173</v>
      </c>
      <c r="AF15" s="1214">
        <f t="shared" si="4"/>
        <v>78512.230356921034</v>
      </c>
      <c r="AG15" s="1213">
        <f t="shared" si="1"/>
        <v>2083223.7333362137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1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5">D9+D13+D16</f>
        <v>2348736.4306745757</v>
      </c>
      <c r="E17" s="1212">
        <f t="shared" si="5"/>
        <v>2607846.6711710477</v>
      </c>
      <c r="F17" s="1212">
        <f t="shared" si="5"/>
        <v>2673176.6493209945</v>
      </c>
      <c r="G17" s="1212">
        <f t="shared" si="5"/>
        <v>2744549.5840927921</v>
      </c>
      <c r="H17" s="1212">
        <f t="shared" si="5"/>
        <v>3009978.9826078052</v>
      </c>
      <c r="I17" s="1212">
        <f t="shared" si="5"/>
        <v>3344926.3386004027</v>
      </c>
      <c r="J17" s="1212">
        <f t="shared" si="5"/>
        <v>3622302.386444245</v>
      </c>
      <c r="K17" s="1212">
        <f t="shared" si="5"/>
        <v>3693599.1862376514</v>
      </c>
      <c r="L17" s="1212">
        <f t="shared" si="5"/>
        <v>3778200.2703578915</v>
      </c>
      <c r="M17" s="1212">
        <f t="shared" si="5"/>
        <v>3951413.904526765</v>
      </c>
      <c r="N17" s="1212">
        <f t="shared" si="5"/>
        <v>4216858.4151617186</v>
      </c>
      <c r="O17" s="1212">
        <f t="shared" si="5"/>
        <v>4233857.8447262766</v>
      </c>
      <c r="P17" s="1212">
        <f t="shared" si="5"/>
        <v>4239730.858341259</v>
      </c>
      <c r="Q17" s="1212">
        <f t="shared" si="5"/>
        <v>4245817.0777487736</v>
      </c>
      <c r="R17" s="1212">
        <f t="shared" si="5"/>
        <v>4251424.0562800746</v>
      </c>
      <c r="S17" s="1212">
        <f t="shared" si="5"/>
        <v>4256523.8498607492</v>
      </c>
      <c r="T17" s="1212">
        <f t="shared" si="5"/>
        <v>4261595.699367011</v>
      </c>
      <c r="U17" s="1212">
        <f t="shared" si="5"/>
        <v>4266667.5488732709</v>
      </c>
      <c r="V17" s="1212">
        <f t="shared" si="5"/>
        <v>4271260.1575033218</v>
      </c>
      <c r="W17" s="1212">
        <f t="shared" si="5"/>
        <v>4276783.3038113816</v>
      </c>
      <c r="X17" s="1212">
        <f t="shared" si="5"/>
        <v>4282362.3382682661</v>
      </c>
      <c r="Y17" s="1212">
        <f t="shared" si="5"/>
        <v>4286503.6500965208</v>
      </c>
      <c r="Z17" s="1212">
        <f t="shared" si="5"/>
        <v>4290561.1297015287</v>
      </c>
      <c r="AA17" s="1212">
        <f t="shared" si="5"/>
        <v>4294618.6093065385</v>
      </c>
      <c r="AB17" s="1212">
        <f t="shared" si="5"/>
        <v>4299634.57066397</v>
      </c>
      <c r="AC17" s="1212">
        <f t="shared" si="5"/>
        <v>4304706.4201702299</v>
      </c>
      <c r="AD17" s="1212">
        <f t="shared" si="5"/>
        <v>4309299.0288002789</v>
      </c>
      <c r="AE17" s="1212">
        <f t="shared" si="5"/>
        <v>4314342.9342321269</v>
      </c>
      <c r="AF17" s="1212">
        <f t="shared" si="5"/>
        <v>4317977.0611097543</v>
      </c>
      <c r="AG17" s="1213">
        <f t="shared" si="1"/>
        <v>114878326.17727935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6">D19+D20</f>
        <v>-369565.70052795502</v>
      </c>
      <c r="E18" s="1212">
        <f t="shared" si="6"/>
        <v>-372990.80023137957</v>
      </c>
      <c r="F18" s="1212">
        <f t="shared" si="6"/>
        <v>-365825.26800000004</v>
      </c>
      <c r="G18" s="1212">
        <f t="shared" si="6"/>
        <v>-364530.62316929037</v>
      </c>
      <c r="H18" s="1212">
        <f t="shared" si="6"/>
        <v>-386664.99739602057</v>
      </c>
      <c r="I18" s="1212">
        <f t="shared" si="6"/>
        <v>-368051.52738592168</v>
      </c>
      <c r="J18" s="1212">
        <f t="shared" si="6"/>
        <v>-369563.79094887548</v>
      </c>
      <c r="K18" s="1212">
        <f t="shared" si="6"/>
        <v>-374710.74257447</v>
      </c>
      <c r="L18" s="1212">
        <f t="shared" si="6"/>
        <v>-362395.04255699547</v>
      </c>
      <c r="M18" s="1212">
        <f t="shared" si="6"/>
        <v>-362481.33999999997</v>
      </c>
      <c r="N18" s="1212">
        <f t="shared" si="6"/>
        <v>-362490.34070234851</v>
      </c>
      <c r="O18" s="1212">
        <f t="shared" si="6"/>
        <v>-362536.99326174881</v>
      </c>
      <c r="P18" s="1212">
        <f t="shared" si="6"/>
        <v>-362583.70954566193</v>
      </c>
      <c r="Q18" s="1212">
        <f t="shared" si="6"/>
        <v>-362630.4975196523</v>
      </c>
      <c r="R18" s="1212">
        <f t="shared" si="6"/>
        <v>-362696.54000000004</v>
      </c>
      <c r="S18" s="1212">
        <f t="shared" si="6"/>
        <v>-362712.66594447545</v>
      </c>
      <c r="T18" s="1212">
        <f t="shared" si="6"/>
        <v>-362751.99800359353</v>
      </c>
      <c r="U18" s="1212">
        <f t="shared" si="6"/>
        <v>-362789.80886980717</v>
      </c>
      <c r="V18" s="1212">
        <f t="shared" si="6"/>
        <v>-362825.60956597811</v>
      </c>
      <c r="W18" s="1212">
        <f t="shared" si="6"/>
        <v>-362857.98</v>
      </c>
      <c r="X18" s="1212">
        <f t="shared" si="6"/>
        <v>-362911.24421609647</v>
      </c>
      <c r="Y18" s="1212">
        <f t="shared" si="6"/>
        <v>-362943.6906476072</v>
      </c>
      <c r="Z18" s="1212">
        <f t="shared" si="6"/>
        <v>-362978.11100334622</v>
      </c>
      <c r="AA18" s="1212">
        <f t="shared" si="6"/>
        <v>-363012.92385767959</v>
      </c>
      <c r="AB18" s="1212">
        <f t="shared" si="6"/>
        <v>-363097.00400000002</v>
      </c>
      <c r="AC18" s="1212">
        <f t="shared" si="6"/>
        <v>-363097.00762754027</v>
      </c>
      <c r="AD18" s="1212">
        <f t="shared" si="6"/>
        <v>-363135.18987865513</v>
      </c>
      <c r="AE18" s="1212">
        <f t="shared" si="6"/>
        <v>-363180.18092086643</v>
      </c>
      <c r="AF18" s="1212">
        <f t="shared" si="6"/>
        <v>-363220.56991323736</v>
      </c>
      <c r="AG18" s="1213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14">
        <f>-TRANSPOSE('16 R1 OPEX'!$H$5:$H$34)</f>
        <v>-222919.5</v>
      </c>
      <c r="L19" s="1214">
        <f>-TRANSPOSE('16 R1 OPEX'!$H$5:$H$34)</f>
        <v>-222919.5</v>
      </c>
      <c r="M19" s="1214">
        <f>-TRANSPOSE('16 R1 OPEX'!$H$5:$H$34)</f>
        <v>-222919.5</v>
      </c>
      <c r="N19" s="1214">
        <f>-TRANSPOSE('16 R1 OPEX'!$H$5:$H$34)</f>
        <v>-222919.5</v>
      </c>
      <c r="O19" s="1214">
        <f>-TRANSPOSE('16 R1 OPEX'!$H$5:$H$34)</f>
        <v>-222919.5</v>
      </c>
      <c r="P19" s="1214">
        <f>-TRANSPOSE('16 R1 OPEX'!$H$5:$H$34)</f>
        <v>-222919.5</v>
      </c>
      <c r="Q19" s="1214">
        <f>-TRANSPOSE('16 R1 OPEX'!$H$5:$H$34)</f>
        <v>-222919.5</v>
      </c>
      <c r="R19" s="1214">
        <f>-TRANSPOSE('16 R1 OPEX'!$H$5:$H$34)</f>
        <v>-222919.5</v>
      </c>
      <c r="S19" s="1214">
        <f>-TRANSPOSE('16 R1 OPEX'!$H$5:$H$34)</f>
        <v>-222919.5</v>
      </c>
      <c r="T19" s="1214">
        <f>-TRANSPOSE('16 R1 OPEX'!$H$5:$H$34)</f>
        <v>-222919.5</v>
      </c>
      <c r="U19" s="1214">
        <f>-TRANSPOSE('16 R1 OPEX'!$H$5:$H$34)</f>
        <v>-222919.5</v>
      </c>
      <c r="V19" s="1214">
        <f>-TRANSPOSE('16 R1 OPEX'!$H$5:$H$34)</f>
        <v>-222919.5</v>
      </c>
      <c r="W19" s="1214">
        <f>-TRANSPOSE('16 R1 OPEX'!$H$5:$H$34)</f>
        <v>-222919.5</v>
      </c>
      <c r="X19" s="1214">
        <f>-TRANSPOSE('16 R1 OPEX'!$H$5:$H$34)</f>
        <v>-222919.5</v>
      </c>
      <c r="Y19" s="1214">
        <f>-TRANSPOSE('16 R1 OPEX'!$H$5:$H$34)</f>
        <v>-222919.5</v>
      </c>
      <c r="Z19" s="1214">
        <f>-TRANSPOSE('16 R1 OPEX'!$H$5:$H$34)</f>
        <v>-222919.5</v>
      </c>
      <c r="AA19" s="1214">
        <f>-TRANSPOSE('16 R1 OPEX'!$H$5:$H$34)</f>
        <v>-222919.5</v>
      </c>
      <c r="AB19" s="1214">
        <f>-TRANSPOSE('16 R1 OPEX'!$H$5:$H$34)</f>
        <v>-222919.5</v>
      </c>
      <c r="AC19" s="1214">
        <f>-TRANSPOSE('16 R1 OPEX'!$H$5:$H$34)</f>
        <v>-222919.5</v>
      </c>
      <c r="AD19" s="1214">
        <f>-TRANSPOSE('16 R1 OPEX'!$H$5:$H$34)</f>
        <v>-222919.5</v>
      </c>
      <c r="AE19" s="1214">
        <f>-TRANSPOSE('16 R1 OPEX'!$H$5:$H$34)</f>
        <v>-222919.5</v>
      </c>
      <c r="AF19" s="1214">
        <f>-TRANSPOSE('16 R1 OPEX'!$H$5:$H$34)</f>
        <v>-222919.5</v>
      </c>
      <c r="AG19" s="1215">
        <f t="shared" si="7"/>
        <v>-6687585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14">
        <f>-'16 R1 OPEX'!I13</f>
        <v>-151791.24257447</v>
      </c>
      <c r="L20" s="1214">
        <f>-'16 R1 OPEX'!I14</f>
        <v>-139475.54255699547</v>
      </c>
      <c r="M20" s="1214">
        <f>-'16 R1 OPEX'!I15</f>
        <v>-139561.84</v>
      </c>
      <c r="N20" s="1214">
        <f>-'16 R1 OPEX'!I16</f>
        <v>-139570.84070234848</v>
      </c>
      <c r="O20" s="1214">
        <f>-'16 R1 OPEX'!I17</f>
        <v>-139617.49326174878</v>
      </c>
      <c r="P20" s="1214">
        <f>-'16 R1 OPEX'!I18</f>
        <v>-139664.20954566196</v>
      </c>
      <c r="Q20" s="1214">
        <f>-'16 R1 OPEX'!I19</f>
        <v>-139710.9975196523</v>
      </c>
      <c r="R20" s="1214">
        <f>-'16 R1 OPEX'!I20</f>
        <v>-139777.04</v>
      </c>
      <c r="S20" s="1214">
        <f>-'16 R1 OPEX'!I21</f>
        <v>-139793.16594447548</v>
      </c>
      <c r="T20" s="1214">
        <f>-'16 R1 OPEX'!I22</f>
        <v>-139832.49800359353</v>
      </c>
      <c r="U20" s="1214">
        <f>-'16 R1 OPEX'!I23</f>
        <v>-139870.30886980714</v>
      </c>
      <c r="V20" s="1214">
        <f>-'16 R1 OPEX'!I24</f>
        <v>-139906.10956597811</v>
      </c>
      <c r="W20" s="1214">
        <f>-'16 R1 OPEX'!I25</f>
        <v>-139938.48000000001</v>
      </c>
      <c r="X20" s="1214">
        <f>-'16 R1 OPEX'!I26</f>
        <v>-139991.74421609644</v>
      </c>
      <c r="Y20" s="1214">
        <f>-'16 R1 OPEX'!I27</f>
        <v>-140024.19064760717</v>
      </c>
      <c r="Z20" s="1214">
        <f>-'16 R1 OPEX'!I28</f>
        <v>-140058.61100334622</v>
      </c>
      <c r="AA20" s="1214">
        <f>-'16 R1 OPEX'!I29</f>
        <v>-140093.42385767962</v>
      </c>
      <c r="AB20" s="1214">
        <f>-'16 R1 OPEX'!I30</f>
        <v>-140177.50400000002</v>
      </c>
      <c r="AC20" s="1214">
        <f>-'16 R1 OPEX'!I31</f>
        <v>-140177.5076275403</v>
      </c>
      <c r="AD20" s="1214">
        <f>-'16 R1 OPEX'!I32</f>
        <v>-140215.68987865516</v>
      </c>
      <c r="AE20" s="1214">
        <f>-'16 R1 OPEX'!I33</f>
        <v>-140260.68092086641</v>
      </c>
      <c r="AF20" s="1214">
        <f>-'16 R1 OPEX'!I34</f>
        <v>-140301.06991323733</v>
      </c>
      <c r="AG20" s="1215">
        <f t="shared" si="7"/>
        <v>-4365715.761531245</v>
      </c>
    </row>
    <row r="21" spans="1:36" ht="20.25" customHeight="1">
      <c r="B21" s="468" t="s">
        <v>214</v>
      </c>
      <c r="C21" s="1212">
        <f>C22+C23+C24+C25</f>
        <v>-1057726.1211375801</v>
      </c>
      <c r="D21" s="1212">
        <f t="shared" ref="D21:AF21" si="8">D22+D23+D24+D25</f>
        <v>-1230333.4491819092</v>
      </c>
      <c r="E21" s="1212">
        <f t="shared" si="8"/>
        <v>-1446955.7106549616</v>
      </c>
      <c r="F21" s="1212">
        <f t="shared" si="8"/>
        <v>-1394736.70628292</v>
      </c>
      <c r="G21" s="1212">
        <f t="shared" si="8"/>
        <v>-1374152.6783216291</v>
      </c>
      <c r="H21" s="1212">
        <f t="shared" si="8"/>
        <v>-1373869.312645494</v>
      </c>
      <c r="I21" s="1212">
        <f t="shared" si="8"/>
        <v>-1367996.6573958332</v>
      </c>
      <c r="J21" s="1212">
        <f t="shared" si="8"/>
        <v>-1417386.1931357863</v>
      </c>
      <c r="K21" s="1212">
        <f t="shared" si="8"/>
        <v>-1440466.9621045997</v>
      </c>
      <c r="L21" s="1212">
        <f t="shared" si="8"/>
        <v>-1461241.8706254982</v>
      </c>
      <c r="M21" s="1212">
        <f t="shared" si="8"/>
        <v>-1462366.0195070179</v>
      </c>
      <c r="N21" s="1212">
        <f t="shared" si="8"/>
        <v>-1463592.6379848279</v>
      </c>
      <c r="O21" s="1212">
        <f t="shared" si="8"/>
        <v>-1464386.9323148429</v>
      </c>
      <c r="P21" s="1212">
        <f t="shared" si="8"/>
        <v>-1465181.2266448578</v>
      </c>
      <c r="Q21" s="1212">
        <f t="shared" si="8"/>
        <v>-1465975.5209748731</v>
      </c>
      <c r="R21" s="1212">
        <f t="shared" si="8"/>
        <v>-1466629.1931138074</v>
      </c>
      <c r="S21" s="1212">
        <f t="shared" si="8"/>
        <v>-1467276.8495547709</v>
      </c>
      <c r="T21" s="1212">
        <f t="shared" si="8"/>
        <v>-1467923.4302346562</v>
      </c>
      <c r="U21" s="1212">
        <f t="shared" si="8"/>
        <v>-1468670.0109145411</v>
      </c>
      <c r="V21" s="1212">
        <f t="shared" si="8"/>
        <v>-1469316.591594426</v>
      </c>
      <c r="W21" s="1212">
        <f t="shared" si="8"/>
        <v>-1470093.4360885399</v>
      </c>
      <c r="X21" s="1212">
        <f t="shared" si="8"/>
        <v>-1470677.1451495844</v>
      </c>
      <c r="Y21" s="1212">
        <f t="shared" si="8"/>
        <v>-1471229.2994638837</v>
      </c>
      <c r="Z21" s="1212">
        <f t="shared" si="8"/>
        <v>-1471781.4537781829</v>
      </c>
      <c r="AA21" s="1212">
        <f t="shared" si="8"/>
        <v>-1472333.6080924817</v>
      </c>
      <c r="AB21" s="1212">
        <f t="shared" si="8"/>
        <v>-1473098.6656280612</v>
      </c>
      <c r="AC21" s="1212">
        <f t="shared" si="8"/>
        <v>-1473705.9057253376</v>
      </c>
      <c r="AD21" s="1212">
        <f t="shared" si="8"/>
        <v>-1474296.7549024269</v>
      </c>
      <c r="AE21" s="1212">
        <f t="shared" si="8"/>
        <v>-1474913.5715805516</v>
      </c>
      <c r="AF21" s="1212">
        <f t="shared" si="8"/>
        <v>-1475285.5865488043</v>
      </c>
      <c r="AG21" s="1213">
        <f t="shared" si="7"/>
        <v>-42953599.501282685</v>
      </c>
    </row>
    <row r="22" spans="1:36" s="1127" customFormat="1" ht="20.25" customHeight="1">
      <c r="B22" s="1223" t="s">
        <v>215</v>
      </c>
      <c r="C22" s="1211">
        <f t="array" ref="C22:AF22">-TRANSPOSE('E1 9 R2 EE'!P4:P33)</f>
        <v>-550943.08806485729</v>
      </c>
      <c r="D22" s="1211">
        <v>-520726.94953219243</v>
      </c>
      <c r="E22" s="1211">
        <v>-477275.84931978828</v>
      </c>
      <c r="F22" s="1211">
        <v>-344403.68855712708</v>
      </c>
      <c r="G22" s="1211">
        <v>-455487.66739033093</v>
      </c>
      <c r="H22" s="1211">
        <v>-454207.58910337416</v>
      </c>
      <c r="I22" s="1211">
        <v>-448131.92873404676</v>
      </c>
      <c r="J22" s="1211">
        <v>-477332.3326502862</v>
      </c>
      <c r="K22" s="1211">
        <v>-484991.4912323436</v>
      </c>
      <c r="L22" s="1211">
        <v>-490984.8454241883</v>
      </c>
      <c r="M22" s="1211">
        <v>-491753.60923834378</v>
      </c>
      <c r="N22" s="1211">
        <v>-492467.43145287182</v>
      </c>
      <c r="O22" s="1211">
        <v>-493173.85906057863</v>
      </c>
      <c r="P22" s="1211">
        <v>-493880.28666828526</v>
      </c>
      <c r="Q22" s="1211">
        <v>-494586.71427599201</v>
      </c>
      <c r="R22" s="1211">
        <v>-495167.3296953052</v>
      </c>
      <c r="S22" s="1211">
        <v>-495743.28896263463</v>
      </c>
      <c r="T22" s="1211">
        <v>-496318.32996725256</v>
      </c>
      <c r="U22" s="1211">
        <v>-496893.37097187043</v>
      </c>
      <c r="V22" s="1211">
        <v>-497468.41197648842</v>
      </c>
      <c r="W22" s="1211">
        <v>-498159.94642223662</v>
      </c>
      <c r="X22" s="1211">
        <v>-498677.94812676474</v>
      </c>
      <c r="Y22" s="1211">
        <v>-499169.01490318938</v>
      </c>
      <c r="Z22" s="1211">
        <v>-499660.08167961391</v>
      </c>
      <c r="AA22" s="1211">
        <v>-500151.14845603844</v>
      </c>
      <c r="AB22" s="1211">
        <v>-500832.62162796105</v>
      </c>
      <c r="AC22" s="1211">
        <v>-501371.67256780365</v>
      </c>
      <c r="AD22" s="1211">
        <v>-501897.21491803054</v>
      </c>
      <c r="AE22" s="1211">
        <v>-502445.88625950681</v>
      </c>
      <c r="AF22" s="1211">
        <v>-502775.47914780863</v>
      </c>
      <c r="AG22" s="1217">
        <f t="shared" si="7"/>
        <v>-14657079.076387111</v>
      </c>
      <c r="AI22" s="1224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-'16 R1 OPEX'!E9</f>
        <v>-14599.065768930037</v>
      </c>
      <c r="H23" s="1214">
        <f>-'16 R1 OPEX'!E10</f>
        <v>-15057.798117373999</v>
      </c>
      <c r="I23" s="1214">
        <f>-'16 R1 OPEX'!E11</f>
        <v>-15064.87973247327</v>
      </c>
      <c r="J23" s="1214">
        <f>-'16 R1 OPEX'!E12</f>
        <v>-15072.495622356846</v>
      </c>
      <c r="K23" s="1214">
        <f>-'16 R1 OPEX'!E13</f>
        <v>-15192.826253067265</v>
      </c>
      <c r="L23" s="1214">
        <f>-'16 R1 OPEX'!E14</f>
        <v>-15347.122255394672</v>
      </c>
      <c r="M23" s="1214">
        <f>-'16 R1 OPEX'!E15</f>
        <v>-15631.795172996442</v>
      </c>
      <c r="N23" s="1214">
        <f>-'16 R1 OPEX'!E16</f>
        <v>-16078.51764681211</v>
      </c>
      <c r="O23" s="1214">
        <f>-'16 R1 OPEX'!E17</f>
        <v>-16101.57888608165</v>
      </c>
      <c r="P23" s="1214">
        <f>-'16 R1 OPEX'!E18</f>
        <v>-16124.640125351203</v>
      </c>
      <c r="Q23" s="1214">
        <f>-'16 R1 OPEX'!E19</f>
        <v>-16147.701364620751</v>
      </c>
      <c r="R23" s="1214">
        <f>-'16 R1 OPEX'!E20</f>
        <v>-16166.143434356836</v>
      </c>
      <c r="S23" s="1214">
        <f>-'16 R1 OPEX'!E21</f>
        <v>-16184.911737817845</v>
      </c>
      <c r="T23" s="1214">
        <f>-'16 R1 OPEX'!E22</f>
        <v>-16203.680041278865</v>
      </c>
      <c r="U23" s="1214">
        <f>-'16 R1 OPEX'!E23</f>
        <v>-16222.448344739874</v>
      </c>
      <c r="V23" s="1214">
        <f>-'16 R1 OPEX'!E24</f>
        <v>-16241.216648200887</v>
      </c>
      <c r="W23" s="1214">
        <f>-'16 R1 OPEX'!E25</f>
        <v>-16264.319313534354</v>
      </c>
      <c r="X23" s="1214">
        <f>-'16 R1 OPEX'!E26</f>
        <v>-16280.34814305808</v>
      </c>
      <c r="Y23" s="1214">
        <f>-'16 R1 OPEX'!E27</f>
        <v>-16296.376972581807</v>
      </c>
      <c r="Z23" s="1214">
        <f>-'16 R1 OPEX'!E28</f>
        <v>-16312.405802105539</v>
      </c>
      <c r="AA23" s="1214">
        <f>-'16 R1 OPEX'!E29</f>
        <v>-16328.434631629261</v>
      </c>
      <c r="AB23" s="1214">
        <f>-'16 R1 OPEX'!E30</f>
        <v>-16351.537299443749</v>
      </c>
      <c r="AC23" s="1214">
        <f>-'16 R1 OPEX'!E31</f>
        <v>-16368.34292048484</v>
      </c>
      <c r="AD23" s="1214">
        <f>-'16 R1 OPEX'!E32</f>
        <v>-16385.557657312653</v>
      </c>
      <c r="AE23" s="1214">
        <f>-'16 R1 OPEX'!E33</f>
        <v>-16403.549179438916</v>
      </c>
      <c r="AF23" s="1214">
        <f>-'16 R1 OPEX'!E34</f>
        <v>-16413.322066103116</v>
      </c>
      <c r="AG23" s="1215">
        <f t="shared" si="7"/>
        <v>-477854.6330623313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14">
        <f>-'16 R1 OPEX'!C13</f>
        <v>-553251.9</v>
      </c>
      <c r="L24" s="1214">
        <f>-'16 R1 OPEX'!C14</f>
        <v>-553251.9</v>
      </c>
      <c r="M24" s="1214">
        <f>-'16 R1 OPEX'!C15</f>
        <v>-553251.9</v>
      </c>
      <c r="N24" s="1214">
        <f>-'16 R1 OPEX'!C16</f>
        <v>-553251.9</v>
      </c>
      <c r="O24" s="1214">
        <f>-'16 R1 OPEX'!C17</f>
        <v>-553251.9</v>
      </c>
      <c r="P24" s="1214">
        <f>-'16 R1 OPEX'!C18</f>
        <v>-553251.9</v>
      </c>
      <c r="Q24" s="1214">
        <f>-'16 R1 OPEX'!C19</f>
        <v>-553251.9</v>
      </c>
      <c r="R24" s="1214">
        <f>-'16 R1 OPEX'!C20</f>
        <v>-553251.9</v>
      </c>
      <c r="S24" s="1214">
        <f>-'16 R1 OPEX'!C21</f>
        <v>-553251.9</v>
      </c>
      <c r="T24" s="1214">
        <f>-'16 R1 OPEX'!C22</f>
        <v>-553251.9</v>
      </c>
      <c r="U24" s="1214">
        <f>-'16 R1 OPEX'!C23</f>
        <v>-553251.9</v>
      </c>
      <c r="V24" s="1214">
        <f>-'16 R1 OPEX'!C24</f>
        <v>-553251.9</v>
      </c>
      <c r="W24" s="1214">
        <f>-'16 R1 OPEX'!C25</f>
        <v>-553251.9</v>
      </c>
      <c r="X24" s="1214">
        <f>-'16 R1 OPEX'!C26</f>
        <v>-553251.9</v>
      </c>
      <c r="Y24" s="1214">
        <f>-'16 R1 OPEX'!C27</f>
        <v>-553251.9</v>
      </c>
      <c r="Z24" s="1214">
        <f>-'16 R1 OPEX'!C28</f>
        <v>-553251.9</v>
      </c>
      <c r="AA24" s="1214">
        <f>-'16 R1 OPEX'!C29</f>
        <v>-553251.9</v>
      </c>
      <c r="AB24" s="1214">
        <f>-'16 R1 OPEX'!C30</f>
        <v>-553251.9</v>
      </c>
      <c r="AC24" s="1214">
        <f>-'16 R1 OPEX'!C31</f>
        <v>-553251.9</v>
      </c>
      <c r="AD24" s="1214">
        <f>-'16 R1 OPEX'!C32</f>
        <v>-553251.9</v>
      </c>
      <c r="AE24" s="1214">
        <f>-'16 R1 OPEX'!C33</f>
        <v>-553251.9</v>
      </c>
      <c r="AF24" s="1214">
        <f>-'16 R1 OPEX'!C34</f>
        <v>-553251.9</v>
      </c>
      <c r="AG24" s="1215">
        <f t="shared" si="7"/>
        <v>-16472445.540000008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14">
        <f>-'16 R1 OPEX'!F13</f>
        <v>-387030.74461918877</v>
      </c>
      <c r="L25" s="1214">
        <f>-'16 R1 OPEX'!F14</f>
        <v>-401658.00294591533</v>
      </c>
      <c r="M25" s="1214">
        <f>-'16 R1 OPEX'!F15</f>
        <v>-401728.7150956777</v>
      </c>
      <c r="N25" s="1214">
        <f>-'16 R1 OPEX'!F16</f>
        <v>-401794.78888514388</v>
      </c>
      <c r="O25" s="1214">
        <f>-'16 R1 OPEX'!F17</f>
        <v>-401859.59436818259</v>
      </c>
      <c r="P25" s="1214">
        <f>-'16 R1 OPEX'!F18</f>
        <v>-401924.39985122136</v>
      </c>
      <c r="Q25" s="1214">
        <f>-'16 R1 OPEX'!F19</f>
        <v>-401989.20533426024</v>
      </c>
      <c r="R25" s="1214">
        <f>-'16 R1 OPEX'!F20</f>
        <v>-402043.81998414529</v>
      </c>
      <c r="S25" s="1214">
        <f>-'16 R1 OPEX'!F21</f>
        <v>-402096.74885431846</v>
      </c>
      <c r="T25" s="1214">
        <f>-'16 R1 OPEX'!F22</f>
        <v>-402149.52022612467</v>
      </c>
      <c r="U25" s="1214">
        <f>-'16 R1 OPEX'!F23</f>
        <v>-402302.29159793071</v>
      </c>
      <c r="V25" s="1214">
        <f>-'16 R1 OPEX'!F24</f>
        <v>-402355.06296973687</v>
      </c>
      <c r="W25" s="1214">
        <f>-'16 R1 OPEX'!F25</f>
        <v>-402417.270352769</v>
      </c>
      <c r="X25" s="1214">
        <f>-'16 R1 OPEX'!F26</f>
        <v>-402466.94887976174</v>
      </c>
      <c r="Y25" s="1214">
        <f>-'16 R1 OPEX'!F27</f>
        <v>-402512.00758811249</v>
      </c>
      <c r="Z25" s="1214">
        <f>-'16 R1 OPEX'!F28</f>
        <v>-402557.06629646337</v>
      </c>
      <c r="AA25" s="1214">
        <f>-'16 R1 OPEX'!F29</f>
        <v>-402602.12500481395</v>
      </c>
      <c r="AB25" s="1214">
        <f>-'16 R1 OPEX'!F30</f>
        <v>-402662.60670065647</v>
      </c>
      <c r="AC25" s="1214">
        <f>-'16 R1 OPEX'!F31</f>
        <v>-402713.99023704906</v>
      </c>
      <c r="AD25" s="1214">
        <f>-'16 R1 OPEX'!F32</f>
        <v>-402762.08232708368</v>
      </c>
      <c r="AE25" s="1214">
        <f>-'16 R1 OPEX'!F33</f>
        <v>-402812.23614160577</v>
      </c>
      <c r="AF25" s="1214">
        <f>-'16 R1 OPEX'!F34</f>
        <v>-402844.88533489278</v>
      </c>
      <c r="AG25" s="1215">
        <f t="shared" si="7"/>
        <v>-11346220.251833245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9">-D17*0.01</f>
        <v>-23487.364306745756</v>
      </c>
      <c r="E26" s="1212">
        <f t="shared" si="9"/>
        <v>-26078.466711710476</v>
      </c>
      <c r="F26" s="1212">
        <f t="shared" si="9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0">-I17*0.005</f>
        <v>-16724.631693002015</v>
      </c>
      <c r="J26" s="1212">
        <f t="shared" si="10"/>
        <v>-18111.511932221227</v>
      </c>
      <c r="K26" s="1212">
        <f t="shared" si="10"/>
        <v>-18467.995931188256</v>
      </c>
      <c r="L26" s="1212">
        <f t="shared" si="10"/>
        <v>-18891.001351789459</v>
      </c>
      <c r="M26" s="1212">
        <f t="shared" si="10"/>
        <v>-19757.069522633825</v>
      </c>
      <c r="N26" s="1212">
        <f t="shared" si="10"/>
        <v>-21084.292075808593</v>
      </c>
      <c r="O26" s="1212">
        <f t="shared" si="10"/>
        <v>-21169.289223631382</v>
      </c>
      <c r="P26" s="1212">
        <f t="shared" si="10"/>
        <v>-21198.654291706294</v>
      </c>
      <c r="Q26" s="1212">
        <f t="shared" si="10"/>
        <v>-21229.085388743868</v>
      </c>
      <c r="R26" s="1212">
        <f t="shared" si="10"/>
        <v>-21257.120281400374</v>
      </c>
      <c r="S26" s="1212">
        <f t="shared" si="10"/>
        <v>-21282.619249303745</v>
      </c>
      <c r="T26" s="1212">
        <f t="shared" si="10"/>
        <v>-21307.978496835054</v>
      </c>
      <c r="U26" s="1212">
        <f t="shared" si="10"/>
        <v>-21333.337744366356</v>
      </c>
      <c r="V26" s="1212">
        <f t="shared" si="10"/>
        <v>-21356.300787516608</v>
      </c>
      <c r="W26" s="1212">
        <f t="shared" si="10"/>
        <v>-21383.916519056907</v>
      </c>
      <c r="X26" s="1212">
        <f t="shared" si="10"/>
        <v>-21411.811691341332</v>
      </c>
      <c r="Y26" s="1212">
        <f t="shared" si="10"/>
        <v>-21432.518250482604</v>
      </c>
      <c r="Z26" s="1212">
        <f t="shared" si="10"/>
        <v>-21452.805648507645</v>
      </c>
      <c r="AA26" s="1212">
        <f t="shared" si="10"/>
        <v>-21473.093046532693</v>
      </c>
      <c r="AB26" s="1212">
        <f t="shared" si="10"/>
        <v>-21498.172853319851</v>
      </c>
      <c r="AC26" s="1212">
        <f t="shared" si="10"/>
        <v>-21523.532100851149</v>
      </c>
      <c r="AD26" s="1212">
        <f t="shared" si="10"/>
        <v>-21546.495144001394</v>
      </c>
      <c r="AE26" s="1212">
        <f t="shared" si="10"/>
        <v>-21571.714671160636</v>
      </c>
      <c r="AF26" s="1212">
        <f t="shared" si="10"/>
        <v>-21589.885305548771</v>
      </c>
      <c r="AG26" s="1213">
        <f>SUM(C26:AF26)</f>
        <v>-628817.15969857248</v>
      </c>
      <c r="AI26" s="1218"/>
    </row>
    <row r="27" spans="1:36" s="89" customFormat="1" ht="20.25" customHeight="1">
      <c r="B27" s="468" t="s">
        <v>220</v>
      </c>
      <c r="C27" s="1212">
        <f>C17+C18+C21+C26</f>
        <v>344445.52263026108</v>
      </c>
      <c r="D27" s="1212">
        <f t="shared" ref="D27:AF27" si="11">D17+D18+D21+D26</f>
        <v>725349.91665796575</v>
      </c>
      <c r="E27" s="1212">
        <f t="shared" si="11"/>
        <v>761821.69357299618</v>
      </c>
      <c r="F27" s="1212">
        <f t="shared" si="11"/>
        <v>885882.90854486439</v>
      </c>
      <c r="G27" s="1212">
        <f t="shared" si="11"/>
        <v>985282.16072117677</v>
      </c>
      <c r="H27" s="1212">
        <f t="shared" si="11"/>
        <v>1234394.7776532515</v>
      </c>
      <c r="I27" s="1212">
        <f t="shared" si="11"/>
        <v>1592153.5221256458</v>
      </c>
      <c r="J27" s="1212">
        <f t="shared" si="11"/>
        <v>1817240.8904273617</v>
      </c>
      <c r="K27" s="1212">
        <f t="shared" si="11"/>
        <v>1859953.4856273932</v>
      </c>
      <c r="L27" s="1212">
        <f t="shared" si="11"/>
        <v>1935672.3558236081</v>
      </c>
      <c r="M27" s="1212">
        <f t="shared" si="11"/>
        <v>2106809.4754971135</v>
      </c>
      <c r="N27" s="1212">
        <f t="shared" si="11"/>
        <v>2369691.1443987335</v>
      </c>
      <c r="O27" s="1212">
        <f t="shared" si="11"/>
        <v>2385764.6299260533</v>
      </c>
      <c r="P27" s="1212">
        <f t="shared" si="11"/>
        <v>2390767.2678590333</v>
      </c>
      <c r="Q27" s="1212">
        <f t="shared" si="11"/>
        <v>2395981.9738655044</v>
      </c>
      <c r="R27" s="1212">
        <f t="shared" si="11"/>
        <v>2400841.2028848669</v>
      </c>
      <c r="S27" s="1212">
        <f t="shared" si="11"/>
        <v>2405251.7151121991</v>
      </c>
      <c r="T27" s="1212">
        <f t="shared" si="11"/>
        <v>2409612.292631926</v>
      </c>
      <c r="U27" s="1212">
        <f t="shared" si="11"/>
        <v>2413874.3913445566</v>
      </c>
      <c r="V27" s="1212">
        <f t="shared" si="11"/>
        <v>2417761.6555554015</v>
      </c>
      <c r="W27" s="1212">
        <f t="shared" si="11"/>
        <v>2422447.9712037845</v>
      </c>
      <c r="X27" s="1212">
        <f t="shared" si="11"/>
        <v>2427362.1372112436</v>
      </c>
      <c r="Y27" s="1212">
        <f t="shared" si="11"/>
        <v>2430898.1417345474</v>
      </c>
      <c r="Z27" s="1212">
        <f t="shared" si="11"/>
        <v>2434348.7592714923</v>
      </c>
      <c r="AA27" s="1212">
        <f t="shared" si="11"/>
        <v>2437798.9843098447</v>
      </c>
      <c r="AB27" s="1212">
        <f t="shared" si="11"/>
        <v>2441940.7281825887</v>
      </c>
      <c r="AC27" s="1212">
        <f t="shared" si="11"/>
        <v>2446379.9747165008</v>
      </c>
      <c r="AD27" s="1212">
        <f t="shared" si="11"/>
        <v>2450320.5888751959</v>
      </c>
      <c r="AE27" s="1212">
        <f t="shared" si="11"/>
        <v>2454677.4670595485</v>
      </c>
      <c r="AF27" s="1212">
        <f t="shared" si="11"/>
        <v>2457881.019342164</v>
      </c>
      <c r="AG27" s="1213">
        <f t="shared" ref="AG27:AG33" si="12">SUM(C27:AF27)</f>
        <v>60242608.754766822</v>
      </c>
    </row>
    <row r="28" spans="1:36" s="89" customFormat="1" ht="20.25" customHeight="1">
      <c r="B28" s="468" t="s">
        <v>221</v>
      </c>
      <c r="C28" s="1212"/>
      <c r="D28" s="1212">
        <f>-'R1 DEPR'!AH11</f>
        <v>-19422.835502517231</v>
      </c>
      <c r="E28" s="1212">
        <f>-'R1 DEPR'!AH12</f>
        <v>-31767.091368703179</v>
      </c>
      <c r="F28" s="1212">
        <f>-'R1 DEPR'!AH13</f>
        <v>-42964.776963557146</v>
      </c>
      <c r="G28" s="1212">
        <f>-'R1 DEPR'!AH14</f>
        <v>-96570.054420457061</v>
      </c>
      <c r="H28" s="1212">
        <f>-'R1 DEPR'!AH15</f>
        <v>-304965.65942868049</v>
      </c>
      <c r="I28" s="1212">
        <f>-'R1 DEPR'!AH16</f>
        <v>-335294.75656698272</v>
      </c>
      <c r="J28" s="1212">
        <f>-'R1 DEPR'!AH17</f>
        <v>-409777.60554813145</v>
      </c>
      <c r="K28" s="1212">
        <f>-'R1 DEPR'!AH18</f>
        <v>-463947.68852428254</v>
      </c>
      <c r="L28" s="1212">
        <f>-'R1 DEPR'!AH19</f>
        <v>-555574.63704043371</v>
      </c>
      <c r="M28" s="1212">
        <f>-'R1 DEPR'!AH20</f>
        <v>-605563.54056842171</v>
      </c>
      <c r="N28" s="1212">
        <f>-'R1 DEPR'!AH21</f>
        <v>-745221.7237064041</v>
      </c>
      <c r="O28" s="1212">
        <f>-'R1 DEPR'!AH22</f>
        <v>-875944.51290035935</v>
      </c>
      <c r="P28" s="1212">
        <f>-'R1 DEPR'!AH23</f>
        <v>-879967.26312107325</v>
      </c>
      <c r="Q28" s="1212">
        <f>-'R1 DEPR'!AH24</f>
        <v>-884241.43523058179</v>
      </c>
      <c r="R28" s="1212">
        <f>-'R1 DEPR'!AH25</f>
        <v>-888800.5521473909</v>
      </c>
      <c r="S28" s="1212">
        <f>-'R1 DEPR'!AH26</f>
        <v>-893307.60598682927</v>
      </c>
      <c r="T28" s="1212">
        <f>-'R1 DEPR'!AH27</f>
        <v>-898161.35627545521</v>
      </c>
      <c r="U28" s="1212">
        <f>-'R1 DEPR'!AH28</f>
        <v>-903419.58575479989</v>
      </c>
      <c r="V28" s="1212">
        <f>-'R1 DEPR'!AH29</f>
        <v>-909155.83609590319</v>
      </c>
      <c r="W28" s="1212">
        <f>-'R1 DEPR'!AH30</f>
        <v>-915465.71147111687</v>
      </c>
      <c r="X28" s="1212">
        <f>-'R1 DEPR'!AH31</f>
        <v>-923109.46188802097</v>
      </c>
      <c r="Y28" s="1212">
        <f>-'R1 DEPR'!AH32</f>
        <v>-930539.30610703805</v>
      </c>
      <c r="Z28" s="1212">
        <f>-'R1 DEPR'!AH33</f>
        <v>-939030.55664305761</v>
      </c>
      <c r="AA28" s="1212">
        <f>-'R1 DEPR'!AH34</f>
        <v>-948937.01560174709</v>
      </c>
      <c r="AB28" s="1212">
        <f>-'R1 DEPR'!AH35</f>
        <v>-960824.76635217445</v>
      </c>
      <c r="AC28" s="1212">
        <f>-'R1 DEPR'!AH36</f>
        <v>-978023.20479020861</v>
      </c>
      <c r="AD28" s="1212">
        <f>-'R1 DEPR'!AH37</f>
        <v>-998107.45604092081</v>
      </c>
      <c r="AE28" s="1212">
        <f>-'R1 DEPR'!AH38</f>
        <v>-1028640.8329169891</v>
      </c>
      <c r="AF28" s="1212">
        <f>-'R1 DEPR'!AH39</f>
        <v>-1150372.8346658584</v>
      </c>
      <c r="AG28" s="1213">
        <f t="shared" si="12"/>
        <v>-20517119.663628098</v>
      </c>
    </row>
    <row r="29" spans="1:36" ht="20.25" customHeight="1">
      <c r="B29" s="468" t="s">
        <v>222</v>
      </c>
      <c r="C29" s="1212">
        <f>C27+C28</f>
        <v>344445.52263026108</v>
      </c>
      <c r="D29" s="1212">
        <f t="shared" ref="D29:AF29" si="13">D27+D28</f>
        <v>705927.08115544857</v>
      </c>
      <c r="E29" s="1212">
        <f t="shared" si="13"/>
        <v>730054.60220429301</v>
      </c>
      <c r="F29" s="1212">
        <f t="shared" si="13"/>
        <v>842918.13158130727</v>
      </c>
      <c r="G29" s="1212">
        <f t="shared" si="13"/>
        <v>888712.10630071966</v>
      </c>
      <c r="H29" s="1212">
        <f t="shared" si="13"/>
        <v>929429.11822457099</v>
      </c>
      <c r="I29" s="1212">
        <f t="shared" si="13"/>
        <v>1256858.7655586631</v>
      </c>
      <c r="J29" s="1212">
        <f t="shared" si="13"/>
        <v>1407463.2848792302</v>
      </c>
      <c r="K29" s="1212">
        <f t="shared" si="13"/>
        <v>1396005.7971031107</v>
      </c>
      <c r="L29" s="1212">
        <f t="shared" si="13"/>
        <v>1380097.7187831744</v>
      </c>
      <c r="M29" s="1212">
        <f t="shared" si="13"/>
        <v>1501245.9349286919</v>
      </c>
      <c r="N29" s="1212">
        <f t="shared" si="13"/>
        <v>1624469.4206923293</v>
      </c>
      <c r="O29" s="1212">
        <f t="shared" si="13"/>
        <v>1509820.1170256939</v>
      </c>
      <c r="P29" s="1212">
        <f t="shared" si="13"/>
        <v>1510800.0047379602</v>
      </c>
      <c r="Q29" s="1212">
        <f t="shared" si="13"/>
        <v>1511740.5386349226</v>
      </c>
      <c r="R29" s="1212">
        <f t="shared" si="13"/>
        <v>1512040.6507374761</v>
      </c>
      <c r="S29" s="1212">
        <f t="shared" si="13"/>
        <v>1511944.1091253697</v>
      </c>
      <c r="T29" s="1212">
        <f t="shared" si="13"/>
        <v>1511450.9363564709</v>
      </c>
      <c r="U29" s="1212">
        <f t="shared" si="13"/>
        <v>1510454.8055897567</v>
      </c>
      <c r="V29" s="1212">
        <f t="shared" si="13"/>
        <v>1508605.8194594984</v>
      </c>
      <c r="W29" s="1212">
        <f t="shared" si="13"/>
        <v>1506982.2597326676</v>
      </c>
      <c r="X29" s="1212">
        <f t="shared" si="13"/>
        <v>1504252.6753232228</v>
      </c>
      <c r="Y29" s="1212">
        <f t="shared" si="13"/>
        <v>1500358.8356275093</v>
      </c>
      <c r="Z29" s="1212">
        <f t="shared" si="13"/>
        <v>1495318.2026284346</v>
      </c>
      <c r="AA29" s="1212">
        <f t="shared" si="13"/>
        <v>1488861.9687080975</v>
      </c>
      <c r="AB29" s="1212">
        <f t="shared" si="13"/>
        <v>1481115.9618304144</v>
      </c>
      <c r="AC29" s="1212">
        <f t="shared" si="13"/>
        <v>1468356.7699262924</v>
      </c>
      <c r="AD29" s="1212">
        <f t="shared" si="13"/>
        <v>1452213.1328342753</v>
      </c>
      <c r="AE29" s="1212">
        <f t="shared" si="13"/>
        <v>1426036.6341425595</v>
      </c>
      <c r="AF29" s="1212">
        <f t="shared" si="13"/>
        <v>1307508.1846763056</v>
      </c>
      <c r="AG29" s="1213">
        <f t="shared" si="12"/>
        <v>39725489.091138728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4">D31+D32</f>
        <v>-216015.2075928525</v>
      </c>
      <c r="E30" s="1212">
        <f t="shared" si="14"/>
        <v>-224218.56474945962</v>
      </c>
      <c r="F30" s="1212">
        <f t="shared" si="14"/>
        <v>-262592.16473764449</v>
      </c>
      <c r="G30" s="1212">
        <f t="shared" si="14"/>
        <v>-278162.11614224466</v>
      </c>
      <c r="H30" s="1212">
        <f t="shared" si="14"/>
        <v>-292005.90019635414</v>
      </c>
      <c r="I30" s="1212">
        <f t="shared" si="14"/>
        <v>-403331.98028994544</v>
      </c>
      <c r="J30" s="1212">
        <f t="shared" si="14"/>
        <v>-454537.51685893827</v>
      </c>
      <c r="K30" s="1212">
        <f t="shared" si="14"/>
        <v>-450641.97101505764</v>
      </c>
      <c r="L30" s="1212">
        <f t="shared" si="14"/>
        <v>-445233.2243862793</v>
      </c>
      <c r="M30" s="1212">
        <f t="shared" si="14"/>
        <v>-486423.6178757553</v>
      </c>
      <c r="N30" s="1212">
        <f t="shared" si="14"/>
        <v>-528319.60303539201</v>
      </c>
      <c r="O30" s="1212">
        <f t="shared" si="14"/>
        <v>-489338.8397887359</v>
      </c>
      <c r="P30" s="1212">
        <f t="shared" si="14"/>
        <v>-489672.00161090645</v>
      </c>
      <c r="Q30" s="1212">
        <f t="shared" si="14"/>
        <v>-489991.78313587367</v>
      </c>
      <c r="R30" s="1212">
        <f t="shared" si="14"/>
        <v>-490093.82125074184</v>
      </c>
      <c r="S30" s="1212">
        <f t="shared" si="14"/>
        <v>-490060.99710262567</v>
      </c>
      <c r="T30" s="1212">
        <f t="shared" si="14"/>
        <v>-489893.3183612001</v>
      </c>
      <c r="U30" s="1212">
        <f t="shared" si="14"/>
        <v>-489554.63390051725</v>
      </c>
      <c r="V30" s="1212">
        <f t="shared" si="14"/>
        <v>-488925.97861622949</v>
      </c>
      <c r="W30" s="1212">
        <f t="shared" si="14"/>
        <v>-488373.968309107</v>
      </c>
      <c r="X30" s="1212">
        <f t="shared" si="14"/>
        <v>-487445.90960989572</v>
      </c>
      <c r="Y30" s="1212">
        <f t="shared" si="14"/>
        <v>-486122.00411335315</v>
      </c>
      <c r="Z30" s="1212">
        <f t="shared" si="14"/>
        <v>-484408.18889366777</v>
      </c>
      <c r="AA30" s="1212">
        <f t="shared" si="14"/>
        <v>-482213.06936075317</v>
      </c>
      <c r="AB30" s="1212">
        <f t="shared" si="14"/>
        <v>-479579.42702234088</v>
      </c>
      <c r="AC30" s="1212">
        <f t="shared" si="14"/>
        <v>-475241.30177493941</v>
      </c>
      <c r="AD30" s="1212">
        <f t="shared" si="14"/>
        <v>-469752.4651636536</v>
      </c>
      <c r="AE30" s="1212">
        <f t="shared" si="14"/>
        <v>-460852.45560847025</v>
      </c>
      <c r="AF30" s="1212">
        <f t="shared" si="14"/>
        <v>-420552.78278994391</v>
      </c>
      <c r="AG30" s="1213">
        <f t="shared" si="12"/>
        <v>-12693554.813292881</v>
      </c>
    </row>
    <row r="31" spans="1:36" s="89" customFormat="1" ht="20.25" customHeight="1">
      <c r="B31" s="477" t="s">
        <v>224</v>
      </c>
      <c r="C31" s="1214"/>
      <c r="D31" s="1214">
        <f t="shared" ref="D31:AF31" si="15">-((D29*0.15)+((D29-240000)*0.1))</f>
        <v>-152481.77028886214</v>
      </c>
      <c r="E31" s="1214">
        <f t="shared" si="15"/>
        <v>-158513.65055107325</v>
      </c>
      <c r="F31" s="1214">
        <f t="shared" si="15"/>
        <v>-186729.53289532682</v>
      </c>
      <c r="G31" s="1214">
        <f t="shared" si="15"/>
        <v>-198178.02657517992</v>
      </c>
      <c r="H31" s="1214">
        <f t="shared" si="15"/>
        <v>-208357.27955614275</v>
      </c>
      <c r="I31" s="1214">
        <f t="shared" si="15"/>
        <v>-290214.69138966576</v>
      </c>
      <c r="J31" s="1214">
        <f t="shared" si="15"/>
        <v>-327865.82121980755</v>
      </c>
      <c r="K31" s="1214">
        <f t="shared" si="15"/>
        <v>-325001.44927577768</v>
      </c>
      <c r="L31" s="1214">
        <f t="shared" si="15"/>
        <v>-321024.4296957936</v>
      </c>
      <c r="M31" s="1214">
        <f t="shared" si="15"/>
        <v>-351311.48373217299</v>
      </c>
      <c r="N31" s="1214">
        <f t="shared" si="15"/>
        <v>-382117.35517308232</v>
      </c>
      <c r="O31" s="1214">
        <f t="shared" si="15"/>
        <v>-353455.02925642347</v>
      </c>
      <c r="P31" s="1214">
        <f t="shared" si="15"/>
        <v>-353700.00118449004</v>
      </c>
      <c r="Q31" s="1214">
        <f t="shared" si="15"/>
        <v>-353935.13465873065</v>
      </c>
      <c r="R31" s="1214">
        <f t="shared" si="15"/>
        <v>-354010.16268436902</v>
      </c>
      <c r="S31" s="1214">
        <f t="shared" si="15"/>
        <v>-353986.02728134242</v>
      </c>
      <c r="T31" s="1214">
        <f t="shared" si="15"/>
        <v>-353862.73408911773</v>
      </c>
      <c r="U31" s="1214">
        <f t="shared" si="15"/>
        <v>-353613.70139743917</v>
      </c>
      <c r="V31" s="1214">
        <f t="shared" si="15"/>
        <v>-353151.4548648746</v>
      </c>
      <c r="W31" s="1214">
        <f t="shared" si="15"/>
        <v>-352745.5649331669</v>
      </c>
      <c r="X31" s="1214">
        <f t="shared" si="15"/>
        <v>-352063.16883080569</v>
      </c>
      <c r="Y31" s="1214">
        <f t="shared" si="15"/>
        <v>-351089.70890687732</v>
      </c>
      <c r="Z31" s="1214">
        <f t="shared" si="15"/>
        <v>-349829.55065710866</v>
      </c>
      <c r="AA31" s="1214">
        <f t="shared" si="15"/>
        <v>-348215.49217702437</v>
      </c>
      <c r="AB31" s="1214">
        <f t="shared" si="15"/>
        <v>-346278.99045760359</v>
      </c>
      <c r="AC31" s="1214">
        <f t="shared" si="15"/>
        <v>-343089.19248157309</v>
      </c>
      <c r="AD31" s="1214">
        <f t="shared" si="15"/>
        <v>-339053.28320856881</v>
      </c>
      <c r="AE31" s="1214">
        <f t="shared" si="15"/>
        <v>-332509.15853563987</v>
      </c>
      <c r="AF31" s="1214">
        <f t="shared" si="15"/>
        <v>-302877.04616907641</v>
      </c>
      <c r="AG31" s="1213">
        <f t="shared" si="12"/>
        <v>-9149260.8921271153</v>
      </c>
    </row>
    <row r="32" spans="1:36" s="89" customFormat="1" ht="20.25" customHeight="1">
      <c r="B32" s="477" t="s">
        <v>225</v>
      </c>
      <c r="C32" s="1214"/>
      <c r="D32" s="1214">
        <f t="shared" ref="D32:AF32" si="16">-(D29*0.09)</f>
        <v>-63533.437303990366</v>
      </c>
      <c r="E32" s="1214">
        <f t="shared" si="16"/>
        <v>-65704.914198386366</v>
      </c>
      <c r="F32" s="1214">
        <f t="shared" si="16"/>
        <v>-75862.631842317656</v>
      </c>
      <c r="G32" s="1214">
        <f t="shared" si="16"/>
        <v>-79984.089567064773</v>
      </c>
      <c r="H32" s="1214">
        <f t="shared" si="16"/>
        <v>-83648.620640211389</v>
      </c>
      <c r="I32" s="1214">
        <f t="shared" si="16"/>
        <v>-113117.28890027967</v>
      </c>
      <c r="J32" s="1214">
        <f t="shared" si="16"/>
        <v>-126671.69563913072</v>
      </c>
      <c r="K32" s="1214">
        <f t="shared" si="16"/>
        <v>-125640.52173927995</v>
      </c>
      <c r="L32" s="1214">
        <f t="shared" si="16"/>
        <v>-124208.79469048569</v>
      </c>
      <c r="M32" s="1214">
        <f t="shared" si="16"/>
        <v>-135112.13414358228</v>
      </c>
      <c r="N32" s="1214">
        <f t="shared" si="16"/>
        <v>-146202.24786230962</v>
      </c>
      <c r="O32" s="1214">
        <f t="shared" si="16"/>
        <v>-135883.81053231243</v>
      </c>
      <c r="P32" s="1214">
        <f t="shared" si="16"/>
        <v>-135972.0004264164</v>
      </c>
      <c r="Q32" s="1214">
        <f t="shared" si="16"/>
        <v>-136056.64847714303</v>
      </c>
      <c r="R32" s="1214">
        <f t="shared" si="16"/>
        <v>-136083.65856637285</v>
      </c>
      <c r="S32" s="1214">
        <f t="shared" si="16"/>
        <v>-136074.96982128327</v>
      </c>
      <c r="T32" s="1214">
        <f t="shared" si="16"/>
        <v>-136030.58427208237</v>
      </c>
      <c r="U32" s="1214">
        <f t="shared" si="16"/>
        <v>-135940.9325030781</v>
      </c>
      <c r="V32" s="1214">
        <f t="shared" si="16"/>
        <v>-135774.52375135486</v>
      </c>
      <c r="W32" s="1214">
        <f t="shared" si="16"/>
        <v>-135628.40337594008</v>
      </c>
      <c r="X32" s="1214">
        <f t="shared" si="16"/>
        <v>-135382.74077909003</v>
      </c>
      <c r="Y32" s="1214">
        <f t="shared" si="16"/>
        <v>-135032.29520647583</v>
      </c>
      <c r="Z32" s="1214">
        <f t="shared" si="16"/>
        <v>-134578.63823655911</v>
      </c>
      <c r="AA32" s="1214">
        <f t="shared" si="16"/>
        <v>-133997.57718372878</v>
      </c>
      <c r="AB32" s="1214">
        <f t="shared" si="16"/>
        <v>-133300.43656473729</v>
      </c>
      <c r="AC32" s="1214">
        <f t="shared" si="16"/>
        <v>-132152.10929336632</v>
      </c>
      <c r="AD32" s="1214">
        <f t="shared" si="16"/>
        <v>-130699.18195508477</v>
      </c>
      <c r="AE32" s="1214">
        <f t="shared" si="16"/>
        <v>-128343.29707283035</v>
      </c>
      <c r="AF32" s="1214">
        <f t="shared" si="16"/>
        <v>-117675.73662086751</v>
      </c>
      <c r="AG32" s="1213">
        <f t="shared" si="12"/>
        <v>-3544293.9211657625</v>
      </c>
    </row>
    <row r="33" spans="2:34" s="89" customFormat="1" ht="20.25" customHeight="1" thickBot="1">
      <c r="B33" s="471" t="s">
        <v>226</v>
      </c>
      <c r="C33" s="1219">
        <f>C29+C30</f>
        <v>344445.52263026108</v>
      </c>
      <c r="D33" s="1219">
        <f t="shared" ref="D33:AF33" si="17">D29+D30</f>
        <v>489911.87356259604</v>
      </c>
      <c r="E33" s="1219">
        <f t="shared" si="17"/>
        <v>505836.03745483339</v>
      </c>
      <c r="F33" s="1219">
        <f t="shared" si="17"/>
        <v>580325.96684366278</v>
      </c>
      <c r="G33" s="1219">
        <f t="shared" si="17"/>
        <v>610549.990158475</v>
      </c>
      <c r="H33" s="1219">
        <f t="shared" si="17"/>
        <v>637423.21802821686</v>
      </c>
      <c r="I33" s="1219">
        <f t="shared" si="17"/>
        <v>853526.78526871768</v>
      </c>
      <c r="J33" s="1219">
        <f t="shared" si="17"/>
        <v>952925.76802029193</v>
      </c>
      <c r="K33" s="1219">
        <f t="shared" si="17"/>
        <v>945363.82608805306</v>
      </c>
      <c r="L33" s="1219">
        <f t="shared" si="17"/>
        <v>934864.49439689517</v>
      </c>
      <c r="M33" s="1219">
        <f t="shared" si="17"/>
        <v>1014822.3170529366</v>
      </c>
      <c r="N33" s="1219">
        <f t="shared" si="17"/>
        <v>1096149.8176569373</v>
      </c>
      <c r="O33" s="1219">
        <f t="shared" si="17"/>
        <v>1020481.277236958</v>
      </c>
      <c r="P33" s="1219">
        <f t="shared" si="17"/>
        <v>1021128.0031270537</v>
      </c>
      <c r="Q33" s="1219">
        <f t="shared" si="17"/>
        <v>1021748.7554990489</v>
      </c>
      <c r="R33" s="1219">
        <f t="shared" si="17"/>
        <v>1021946.8294867342</v>
      </c>
      <c r="S33" s="1219">
        <f t="shared" si="17"/>
        <v>1021883.112022744</v>
      </c>
      <c r="T33" s="1219">
        <f t="shared" si="17"/>
        <v>1021557.6179952708</v>
      </c>
      <c r="U33" s="1219">
        <f t="shared" si="17"/>
        <v>1020900.1716892394</v>
      </c>
      <c r="V33" s="1219">
        <f t="shared" si="17"/>
        <v>1019679.8408432689</v>
      </c>
      <c r="W33" s="1219">
        <f t="shared" si="17"/>
        <v>1018608.2914235606</v>
      </c>
      <c r="X33" s="1219">
        <f t="shared" si="17"/>
        <v>1016806.7657133271</v>
      </c>
      <c r="Y33" s="1219">
        <f t="shared" si="17"/>
        <v>1014236.8315141562</v>
      </c>
      <c r="Z33" s="1219">
        <f t="shared" si="17"/>
        <v>1010910.0137347669</v>
      </c>
      <c r="AA33" s="1219">
        <f t="shared" si="17"/>
        <v>1006648.8993473443</v>
      </c>
      <c r="AB33" s="1219">
        <f t="shared" si="17"/>
        <v>1001536.5348080734</v>
      </c>
      <c r="AC33" s="1219">
        <f t="shared" si="17"/>
        <v>993115.46815135295</v>
      </c>
      <c r="AD33" s="1219">
        <f t="shared" si="17"/>
        <v>982460.66767062165</v>
      </c>
      <c r="AE33" s="1219">
        <f t="shared" si="17"/>
        <v>965184.17853408924</v>
      </c>
      <c r="AF33" s="1219">
        <f t="shared" si="17"/>
        <v>886955.40188636165</v>
      </c>
      <c r="AG33" s="1220">
        <f t="shared" si="12"/>
        <v>27031934.277845848</v>
      </c>
      <c r="AH33" s="136"/>
    </row>
    <row r="35" spans="2:34" s="135" customFormat="1">
      <c r="C35" s="135">
        <f>C29*0.15</f>
        <v>51666.828394539159</v>
      </c>
      <c r="D35" s="135">
        <f t="shared" ref="D35:AF35" si="18">D29*0.15</f>
        <v>105889.06217331729</v>
      </c>
      <c r="E35" s="135">
        <f t="shared" si="18"/>
        <v>109508.19033064395</v>
      </c>
      <c r="F35" s="135">
        <f t="shared" si="18"/>
        <v>126437.71973719608</v>
      </c>
      <c r="G35" s="135">
        <f t="shared" si="18"/>
        <v>133306.81594510796</v>
      </c>
      <c r="H35" s="135">
        <f t="shared" si="18"/>
        <v>139414.36773368565</v>
      </c>
      <c r="I35" s="135">
        <f t="shared" si="18"/>
        <v>188528.81483379946</v>
      </c>
      <c r="J35" s="135">
        <f t="shared" si="18"/>
        <v>211119.49273188453</v>
      </c>
      <c r="K35" s="135">
        <f t="shared" si="18"/>
        <v>209400.86956546659</v>
      </c>
      <c r="L35" s="135">
        <f t="shared" si="18"/>
        <v>207014.65781747617</v>
      </c>
      <c r="M35" s="135">
        <f t="shared" si="18"/>
        <v>225186.89023930379</v>
      </c>
      <c r="N35" s="135">
        <f t="shared" si="18"/>
        <v>243670.41310384939</v>
      </c>
      <c r="O35" s="135">
        <f t="shared" si="18"/>
        <v>226473.01755385406</v>
      </c>
      <c r="P35" s="135">
        <f t="shared" si="18"/>
        <v>226620.00071069403</v>
      </c>
      <c r="Q35" s="135">
        <f t="shared" si="18"/>
        <v>226761.08079523838</v>
      </c>
      <c r="R35" s="135">
        <f t="shared" si="18"/>
        <v>226806.09761062139</v>
      </c>
      <c r="S35" s="135">
        <f t="shared" si="18"/>
        <v>226791.61636880544</v>
      </c>
      <c r="T35" s="135">
        <f t="shared" si="18"/>
        <v>226717.64045347064</v>
      </c>
      <c r="U35" s="135">
        <f t="shared" si="18"/>
        <v>226568.22083846349</v>
      </c>
      <c r="V35" s="135">
        <f t="shared" si="18"/>
        <v>226290.87291892475</v>
      </c>
      <c r="W35" s="135">
        <f t="shared" si="18"/>
        <v>226047.33895990014</v>
      </c>
      <c r="X35" s="135">
        <f t="shared" si="18"/>
        <v>225637.9012984834</v>
      </c>
      <c r="Y35" s="135">
        <f t="shared" si="18"/>
        <v>225053.82534412638</v>
      </c>
      <c r="Z35" s="135">
        <f t="shared" si="18"/>
        <v>224297.73039426518</v>
      </c>
      <c r="AA35" s="135">
        <f t="shared" si="18"/>
        <v>223329.29530621463</v>
      </c>
      <c r="AB35" s="135">
        <f t="shared" si="18"/>
        <v>222167.39427456216</v>
      </c>
      <c r="AC35" s="135">
        <f t="shared" si="18"/>
        <v>220253.51548894384</v>
      </c>
      <c r="AD35" s="135">
        <f t="shared" si="18"/>
        <v>217831.96992514128</v>
      </c>
      <c r="AE35" s="135">
        <f t="shared" si="18"/>
        <v>213905.49512138392</v>
      </c>
      <c r="AF35" s="135">
        <f t="shared" si="18"/>
        <v>196126.22770144584</v>
      </c>
    </row>
    <row r="36" spans="2:34" s="135" customFormat="1">
      <c r="C36" s="135">
        <f>(C29-240000)*0.1</f>
        <v>10444.552263026109</v>
      </c>
      <c r="D36" s="135">
        <f t="shared" ref="D36:AF36" si="19">(D29-240000)*0.1</f>
        <v>46592.708115544861</v>
      </c>
      <c r="E36" s="135">
        <f t="shared" si="19"/>
        <v>49005.460220429304</v>
      </c>
      <c r="F36" s="135">
        <f t="shared" si="19"/>
        <v>60291.813158130732</v>
      </c>
      <c r="G36" s="135">
        <f t="shared" si="19"/>
        <v>64871.210630071968</v>
      </c>
      <c r="H36" s="135">
        <f t="shared" si="19"/>
        <v>68942.911822457099</v>
      </c>
      <c r="I36" s="135">
        <f t="shared" si="19"/>
        <v>101685.87655586631</v>
      </c>
      <c r="J36" s="135">
        <f t="shared" si="19"/>
        <v>116746.32848792302</v>
      </c>
      <c r="K36" s="135">
        <f t="shared" si="19"/>
        <v>115600.57971031108</v>
      </c>
      <c r="L36" s="135">
        <f t="shared" si="19"/>
        <v>114009.77187831745</v>
      </c>
      <c r="M36" s="135">
        <f t="shared" si="19"/>
        <v>126124.5934928692</v>
      </c>
      <c r="N36" s="135">
        <f t="shared" si="19"/>
        <v>138446.94206923293</v>
      </c>
      <c r="O36" s="135">
        <f t="shared" si="19"/>
        <v>126982.01170256939</v>
      </c>
      <c r="P36" s="135">
        <f t="shared" si="19"/>
        <v>127080.00047379603</v>
      </c>
      <c r="Q36" s="135">
        <f t="shared" si="19"/>
        <v>127174.05386349227</v>
      </c>
      <c r="R36" s="135">
        <f t="shared" si="19"/>
        <v>127204.06507374761</v>
      </c>
      <c r="S36" s="135">
        <f t="shared" si="19"/>
        <v>127194.41091253697</v>
      </c>
      <c r="T36" s="135">
        <f t="shared" si="19"/>
        <v>127145.09363564709</v>
      </c>
      <c r="U36" s="135">
        <f t="shared" si="19"/>
        <v>127045.48055897567</v>
      </c>
      <c r="V36" s="135">
        <f t="shared" si="19"/>
        <v>126860.58194594985</v>
      </c>
      <c r="W36" s="135">
        <f t="shared" si="19"/>
        <v>126698.22597326676</v>
      </c>
      <c r="X36" s="135">
        <f t="shared" si="19"/>
        <v>126425.26753232228</v>
      </c>
      <c r="Y36" s="135">
        <f t="shared" si="19"/>
        <v>126035.88356275094</v>
      </c>
      <c r="Z36" s="135">
        <f t="shared" si="19"/>
        <v>125531.82026284347</v>
      </c>
      <c r="AA36" s="135">
        <f t="shared" si="19"/>
        <v>124886.19687080976</v>
      </c>
      <c r="AB36" s="135">
        <f t="shared" si="19"/>
        <v>124111.59618304145</v>
      </c>
      <c r="AC36" s="135">
        <f t="shared" si="19"/>
        <v>122835.67699262925</v>
      </c>
      <c r="AD36" s="135">
        <f t="shared" si="19"/>
        <v>121221.31328342753</v>
      </c>
      <c r="AE36" s="135">
        <f t="shared" si="19"/>
        <v>118603.66341425595</v>
      </c>
      <c r="AF36" s="135">
        <f t="shared" si="19"/>
        <v>106750.81846763057</v>
      </c>
    </row>
    <row r="37" spans="2:34" s="135" customFormat="1">
      <c r="C37" s="135">
        <f>C35+C36</f>
        <v>62111.380657565271</v>
      </c>
      <c r="D37" s="135">
        <f t="shared" ref="D37:AF37" si="20">D35+D36</f>
        <v>152481.77028886214</v>
      </c>
      <c r="E37" s="135">
        <f t="shared" si="20"/>
        <v>158513.65055107325</v>
      </c>
      <c r="F37" s="135">
        <f t="shared" si="20"/>
        <v>186729.53289532682</v>
      </c>
      <c r="G37" s="135">
        <f t="shared" si="20"/>
        <v>198178.02657517992</v>
      </c>
      <c r="H37" s="135">
        <f t="shared" si="20"/>
        <v>208357.27955614275</v>
      </c>
      <c r="I37" s="135">
        <f t="shared" si="20"/>
        <v>290214.69138966576</v>
      </c>
      <c r="J37" s="135">
        <f t="shared" si="20"/>
        <v>327865.82121980755</v>
      </c>
      <c r="K37" s="135">
        <f t="shared" si="20"/>
        <v>325001.44927577768</v>
      </c>
      <c r="L37" s="135">
        <f t="shared" si="20"/>
        <v>321024.4296957936</v>
      </c>
      <c r="M37" s="135">
        <f t="shared" si="20"/>
        <v>351311.48373217299</v>
      </c>
      <c r="N37" s="135">
        <f t="shared" si="20"/>
        <v>382117.35517308232</v>
      </c>
      <c r="O37" s="135">
        <f t="shared" si="20"/>
        <v>353455.02925642347</v>
      </c>
      <c r="P37" s="135">
        <f t="shared" si="20"/>
        <v>353700.00118449004</v>
      </c>
      <c r="Q37" s="135">
        <f t="shared" si="20"/>
        <v>353935.13465873065</v>
      </c>
      <c r="R37" s="135">
        <f t="shared" si="20"/>
        <v>354010.16268436902</v>
      </c>
      <c r="S37" s="135">
        <f t="shared" si="20"/>
        <v>353986.02728134242</v>
      </c>
      <c r="T37" s="135">
        <f t="shared" si="20"/>
        <v>353862.73408911773</v>
      </c>
      <c r="U37" s="135">
        <f t="shared" si="20"/>
        <v>353613.70139743917</v>
      </c>
      <c r="V37" s="135">
        <f t="shared" si="20"/>
        <v>353151.4548648746</v>
      </c>
      <c r="W37" s="135">
        <f t="shared" si="20"/>
        <v>352745.5649331669</v>
      </c>
      <c r="X37" s="135">
        <f t="shared" si="20"/>
        <v>352063.16883080569</v>
      </c>
      <c r="Y37" s="135">
        <f t="shared" si="20"/>
        <v>351089.70890687732</v>
      </c>
      <c r="Z37" s="135">
        <f t="shared" si="20"/>
        <v>349829.55065710866</v>
      </c>
      <c r="AA37" s="135">
        <f t="shared" si="20"/>
        <v>348215.49217702437</v>
      </c>
      <c r="AB37" s="135">
        <f t="shared" si="20"/>
        <v>346278.99045760359</v>
      </c>
      <c r="AC37" s="135">
        <f t="shared" si="20"/>
        <v>343089.19248157309</v>
      </c>
      <c r="AD37" s="135">
        <f t="shared" si="20"/>
        <v>339053.28320856881</v>
      </c>
      <c r="AE37" s="135">
        <f t="shared" si="20"/>
        <v>332509.15853563987</v>
      </c>
      <c r="AF37" s="135">
        <f t="shared" si="20"/>
        <v>302877.04616907641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344445.52263026108</v>
      </c>
      <c r="D45" s="1227">
        <f t="shared" ref="D45:AF45" si="22">D27</f>
        <v>725349.91665796575</v>
      </c>
      <c r="E45" s="1227">
        <f t="shared" si="22"/>
        <v>761821.69357299618</v>
      </c>
      <c r="F45" s="1227">
        <f t="shared" si="22"/>
        <v>885882.90854486439</v>
      </c>
      <c r="G45" s="1227">
        <f t="shared" si="22"/>
        <v>985282.16072117677</v>
      </c>
      <c r="H45" s="1227">
        <f t="shared" si="22"/>
        <v>1234394.7776532515</v>
      </c>
      <c r="I45" s="1227">
        <f t="shared" si="22"/>
        <v>1592153.5221256458</v>
      </c>
      <c r="J45" s="1227">
        <f t="shared" si="22"/>
        <v>1817240.8904273617</v>
      </c>
      <c r="K45" s="1227">
        <f t="shared" si="22"/>
        <v>1859953.4856273932</v>
      </c>
      <c r="L45" s="1227">
        <f t="shared" si="22"/>
        <v>1935672.3558236081</v>
      </c>
      <c r="M45" s="1227">
        <f t="shared" si="22"/>
        <v>2106809.4754971135</v>
      </c>
      <c r="N45" s="1227">
        <f t="shared" si="22"/>
        <v>2369691.1443987335</v>
      </c>
      <c r="O45" s="1227">
        <f t="shared" si="22"/>
        <v>2385764.6299260533</v>
      </c>
      <c r="P45" s="1227">
        <f t="shared" si="22"/>
        <v>2390767.2678590333</v>
      </c>
      <c r="Q45" s="1227">
        <f t="shared" si="22"/>
        <v>2395981.9738655044</v>
      </c>
      <c r="R45" s="1227">
        <f t="shared" si="22"/>
        <v>2400841.2028848669</v>
      </c>
      <c r="S45" s="1227">
        <f t="shared" si="22"/>
        <v>2405251.7151121991</v>
      </c>
      <c r="T45" s="1227">
        <f t="shared" si="22"/>
        <v>2409612.292631926</v>
      </c>
      <c r="U45" s="1227">
        <f t="shared" si="22"/>
        <v>2413874.3913445566</v>
      </c>
      <c r="V45" s="1227">
        <f t="shared" si="22"/>
        <v>2417761.6555554015</v>
      </c>
      <c r="W45" s="1227">
        <f t="shared" si="22"/>
        <v>2422447.9712037845</v>
      </c>
      <c r="X45" s="1227">
        <f t="shared" si="22"/>
        <v>2427362.1372112436</v>
      </c>
      <c r="Y45" s="1227">
        <f t="shared" si="22"/>
        <v>2430898.1417345474</v>
      </c>
      <c r="Z45" s="1227">
        <f t="shared" si="22"/>
        <v>2434348.7592714923</v>
      </c>
      <c r="AA45" s="1227">
        <f t="shared" si="22"/>
        <v>2437798.9843098447</v>
      </c>
      <c r="AB45" s="1227">
        <f t="shared" si="22"/>
        <v>2441940.7281825887</v>
      </c>
      <c r="AC45" s="1227">
        <f t="shared" si="22"/>
        <v>2446379.9747165008</v>
      </c>
      <c r="AD45" s="1227">
        <f t="shared" si="22"/>
        <v>2450320.5888751959</v>
      </c>
      <c r="AE45" s="1227">
        <f t="shared" si="22"/>
        <v>2454677.4670595485</v>
      </c>
      <c r="AF45" s="1227">
        <f t="shared" si="22"/>
        <v>2457881.019342164</v>
      </c>
      <c r="AG45" s="1229">
        <f>SUM(C45:AF45)</f>
        <v>60242608.754766822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5" si="23">SUM(C46:AF46)</f>
        <v>0</v>
      </c>
    </row>
    <row r="47" spans="2:34" s="205" customFormat="1" ht="21" customHeight="1">
      <c r="B47" s="468" t="s">
        <v>229</v>
      </c>
      <c r="C47" s="1212">
        <f>C48+C52</f>
        <v>-563262.22957299976</v>
      </c>
      <c r="D47" s="1212">
        <f t="shared" ref="D47:AF47" si="24">D48+D52</f>
        <v>-561654.37184605899</v>
      </c>
      <c r="E47" s="1212">
        <f t="shared" si="24"/>
        <v>-526556.07581051672</v>
      </c>
      <c r="F47" s="1212">
        <f t="shared" si="24"/>
        <v>-1656329.3786170422</v>
      </c>
      <c r="G47" s="1212">
        <f t="shared" si="24"/>
        <v>-5488052.2413478307</v>
      </c>
      <c r="H47" s="1212">
        <f t="shared" si="24"/>
        <v>-1019904.231515607</v>
      </c>
      <c r="I47" s="1212">
        <f t="shared" si="24"/>
        <v>-2116437.506856367</v>
      </c>
      <c r="J47" s="1212">
        <f t="shared" si="24"/>
        <v>-1646279.3423342626</v>
      </c>
      <c r="K47" s="1212">
        <f t="shared" si="24"/>
        <v>-2374807.8898542328</v>
      </c>
      <c r="L47" s="1212">
        <f t="shared" si="24"/>
        <v>-1445011.2949460398</v>
      </c>
      <c r="M47" s="1212">
        <f t="shared" si="24"/>
        <v>-3139929.0974974209</v>
      </c>
      <c r="N47" s="1212">
        <f t="shared" si="24"/>
        <v>-2881329.8085265867</v>
      </c>
      <c r="O47" s="1212">
        <f t="shared" si="24"/>
        <v>-557725.59354087245</v>
      </c>
      <c r="P47" s="1212">
        <f t="shared" si="24"/>
        <v>-558058.75536304305</v>
      </c>
      <c r="Q47" s="1212">
        <f t="shared" si="24"/>
        <v>-558378.53688801022</v>
      </c>
      <c r="R47" s="1212">
        <f t="shared" si="24"/>
        <v>-553192.57500287844</v>
      </c>
      <c r="S47" s="1212">
        <f t="shared" si="24"/>
        <v>-553159.75085476227</v>
      </c>
      <c r="T47" s="1212">
        <f t="shared" si="24"/>
        <v>-552992.07211333665</v>
      </c>
      <c r="U47" s="1212">
        <f t="shared" si="24"/>
        <v>-552653.38765265385</v>
      </c>
      <c r="V47" s="1212">
        <f t="shared" si="24"/>
        <v>-552024.73236836609</v>
      </c>
      <c r="W47" s="1212">
        <f t="shared" si="24"/>
        <v>-557167.72206124361</v>
      </c>
      <c r="X47" s="1212">
        <f t="shared" si="24"/>
        <v>-546884.66336203227</v>
      </c>
      <c r="Y47" s="1212">
        <f t="shared" si="24"/>
        <v>-545560.75786548969</v>
      </c>
      <c r="Z47" s="1212">
        <f t="shared" si="24"/>
        <v>-543846.94264580437</v>
      </c>
      <c r="AA47" s="1212">
        <f t="shared" si="24"/>
        <v>-541651.82311288978</v>
      </c>
      <c r="AB47" s="1212">
        <f t="shared" si="24"/>
        <v>-548373.18077447743</v>
      </c>
      <c r="AC47" s="1212">
        <f t="shared" si="24"/>
        <v>-535494.05552707601</v>
      </c>
      <c r="AD47" s="1212">
        <f t="shared" si="24"/>
        <v>-530819.2189157902</v>
      </c>
      <c r="AE47" s="1212">
        <f t="shared" si="24"/>
        <v>-523137.20936060685</v>
      </c>
      <c r="AF47" s="1228">
        <f t="shared" si="24"/>
        <v>-480000.03078667686</v>
      </c>
      <c r="AG47" s="1231">
        <f t="shared" si="23"/>
        <v>-33210674.476920974</v>
      </c>
    </row>
    <row r="48" spans="2:34" s="206" customFormat="1" ht="21" customHeight="1">
      <c r="B48" s="468" t="s">
        <v>230</v>
      </c>
      <c r="C48" s="1212">
        <f>C49+C50+C51</f>
        <v>-563262.22957299976</v>
      </c>
      <c r="D48" s="1212">
        <f t="shared" ref="D48:AF48" si="25">D49+D50+D51</f>
        <v>-345639.16425320646</v>
      </c>
      <c r="E48" s="1212">
        <f t="shared" si="25"/>
        <v>-302337.51106105704</v>
      </c>
      <c r="F48" s="1212">
        <f t="shared" si="25"/>
        <v>-1393737.2138793978</v>
      </c>
      <c r="G48" s="1212">
        <f t="shared" si="25"/>
        <v>-5209890.1252055857</v>
      </c>
      <c r="H48" s="1212">
        <f t="shared" si="25"/>
        <v>-727898.33131925284</v>
      </c>
      <c r="I48" s="1212">
        <f t="shared" si="25"/>
        <v>-1713105.5265664214</v>
      </c>
      <c r="J48" s="1212">
        <f t="shared" si="25"/>
        <v>-1191741.8254753242</v>
      </c>
      <c r="K48" s="1212">
        <f t="shared" si="25"/>
        <v>-1924165.9188391753</v>
      </c>
      <c r="L48" s="1212">
        <f t="shared" si="25"/>
        <v>-999778.07055976056</v>
      </c>
      <c r="M48" s="1212">
        <f t="shared" si="25"/>
        <v>-2653505.4796216656</v>
      </c>
      <c r="N48" s="1212">
        <f t="shared" si="25"/>
        <v>-2353010.2054911945</v>
      </c>
      <c r="O48" s="1212">
        <f t="shared" si="25"/>
        <v>-68386.753752136574</v>
      </c>
      <c r="P48" s="1212">
        <f t="shared" si="25"/>
        <v>-68386.753752136574</v>
      </c>
      <c r="Q48" s="1212">
        <f t="shared" si="25"/>
        <v>-68386.753752136574</v>
      </c>
      <c r="R48" s="1212">
        <f t="shared" si="25"/>
        <v>-63098.753752136574</v>
      </c>
      <c r="S48" s="1212">
        <f t="shared" si="25"/>
        <v>-63098.753752136574</v>
      </c>
      <c r="T48" s="1212">
        <f t="shared" si="25"/>
        <v>-63098.753752136574</v>
      </c>
      <c r="U48" s="1212">
        <f t="shared" si="25"/>
        <v>-63098.753752136574</v>
      </c>
      <c r="V48" s="1212">
        <f t="shared" si="25"/>
        <v>-63098.753752136574</v>
      </c>
      <c r="W48" s="1212">
        <f t="shared" si="25"/>
        <v>-68793.753752136574</v>
      </c>
      <c r="X48" s="1212">
        <f t="shared" si="25"/>
        <v>-59438.753752136574</v>
      </c>
      <c r="Y48" s="1212">
        <f t="shared" si="25"/>
        <v>-59438.753752136574</v>
      </c>
      <c r="Z48" s="1212">
        <f t="shared" si="25"/>
        <v>-59438.753752136574</v>
      </c>
      <c r="AA48" s="1212">
        <f t="shared" si="25"/>
        <v>-59438.753752136574</v>
      </c>
      <c r="AB48" s="1212">
        <f t="shared" si="25"/>
        <v>-68793.753752136574</v>
      </c>
      <c r="AC48" s="1212">
        <f t="shared" si="25"/>
        <v>-60252.753752136574</v>
      </c>
      <c r="AD48" s="1212">
        <f t="shared" si="25"/>
        <v>-61066.753752136574</v>
      </c>
      <c r="AE48" s="1212">
        <f t="shared" si="25"/>
        <v>-62284.753752136574</v>
      </c>
      <c r="AF48" s="1228">
        <f t="shared" si="25"/>
        <v>-59447.247996732927</v>
      </c>
      <c r="AG48" s="1231">
        <f t="shared" si="23"/>
        <v>-20517119.663628064</v>
      </c>
      <c r="AH48" s="207"/>
    </row>
    <row r="49" spans="2:34" s="206" customFormat="1" ht="21" customHeight="1">
      <c r="B49" s="470" t="s">
        <v>231</v>
      </c>
      <c r="C49" s="1214">
        <f t="array" ref="C49:AF49">-TRANSPOSE('18 R1 Invest Total'!C4:C33)</f>
        <v>-408428.3754822117</v>
      </c>
      <c r="D49" s="1214">
        <v>-329783.01199834509</v>
      </c>
      <c r="E49" s="1214">
        <v>-226602.31678867349</v>
      </c>
      <c r="F49" s="1214">
        <v>-1359859.3479073208</v>
      </c>
      <c r="G49" s="1214">
        <v>-423362.0777800596</v>
      </c>
      <c r="H49" s="1214">
        <v>-99278.617780059591</v>
      </c>
      <c r="I49" s="1214">
        <v>-14581.887780059598</v>
      </c>
      <c r="J49" s="1214">
        <v>-14581.887780059598</v>
      </c>
      <c r="K49" s="1214">
        <v>-14581.887780059598</v>
      </c>
      <c r="L49" s="1214">
        <v>-15189.887780059598</v>
      </c>
      <c r="M49" s="1214">
        <v>-14785.887780059598</v>
      </c>
      <c r="N49" s="1214">
        <v>-14275.887780059598</v>
      </c>
      <c r="O49" s="1214">
        <v>-14275.887780059598</v>
      </c>
      <c r="P49" s="1214">
        <v>-14275.887780059598</v>
      </c>
      <c r="Q49" s="1214">
        <v>-14275.887780059598</v>
      </c>
      <c r="R49" s="1214">
        <v>-12851.887780059598</v>
      </c>
      <c r="S49" s="1214">
        <v>-12851.887780059598</v>
      </c>
      <c r="T49" s="1214">
        <v>-12851.887780059598</v>
      </c>
      <c r="U49" s="1214">
        <v>-12851.887780059598</v>
      </c>
      <c r="V49" s="1214">
        <v>-12851.887780059598</v>
      </c>
      <c r="W49" s="1214">
        <v>-14377.887780059598</v>
      </c>
      <c r="X49" s="1214">
        <v>-11835.887780059598</v>
      </c>
      <c r="Y49" s="1214">
        <v>-11835.887780059598</v>
      </c>
      <c r="Z49" s="1214">
        <v>-11835.887780059598</v>
      </c>
      <c r="AA49" s="1214">
        <v>-11835.887780059598</v>
      </c>
      <c r="AB49" s="1214">
        <v>-14377.887780059598</v>
      </c>
      <c r="AC49" s="1214">
        <v>-12039.887780059598</v>
      </c>
      <c r="AD49" s="1214">
        <v>-12243.887780059598</v>
      </c>
      <c r="AE49" s="1214">
        <v>-12647.887780059598</v>
      </c>
      <c r="AF49" s="1230">
        <v>-9773.2620246559418</v>
      </c>
      <c r="AG49" s="1231">
        <f t="shared" si="23"/>
        <v>-3165202.4287026967</v>
      </c>
    </row>
    <row r="50" spans="2:34" s="206" customFormat="1" ht="21" customHeight="1">
      <c r="B50" s="470" t="s">
        <v>232</v>
      </c>
      <c r="C50" s="1214">
        <f t="array" ref="C50:AF50">-TRANSPOSE('18 R1 Invest Total'!D4:D33)</f>
        <v>-37879.125589369905</v>
      </c>
      <c r="D50" s="1214">
        <v>-571.94869673148537</v>
      </c>
      <c r="E50" s="1214">
        <v>-9420.8028316306008</v>
      </c>
      <c r="F50" s="1214">
        <v>-816</v>
      </c>
      <c r="G50" s="1214">
        <v>-4753466.1814534497</v>
      </c>
      <c r="H50" s="1214">
        <v>-595557.84756711626</v>
      </c>
      <c r="I50" s="1214">
        <v>-1665461.7728142848</v>
      </c>
      <c r="J50" s="1214">
        <v>-1144098.0717231876</v>
      </c>
      <c r="K50" s="1214">
        <v>-1876522.1650870387</v>
      </c>
      <c r="L50" s="1214">
        <v>-951526.31680762395</v>
      </c>
      <c r="M50" s="1214">
        <v>-2605657.7258695289</v>
      </c>
      <c r="N50" s="1214">
        <v>-2305672.4517390579</v>
      </c>
      <c r="O50" s="1214">
        <v>-21049</v>
      </c>
      <c r="P50" s="1214">
        <v>-21049</v>
      </c>
      <c r="Q50" s="1214">
        <v>-21049</v>
      </c>
      <c r="R50" s="1214">
        <v>-17185</v>
      </c>
      <c r="S50" s="1214">
        <v>-17185</v>
      </c>
      <c r="T50" s="1214">
        <v>-17185</v>
      </c>
      <c r="U50" s="1214">
        <v>-17185</v>
      </c>
      <c r="V50" s="1214">
        <v>-17185</v>
      </c>
      <c r="W50" s="1214">
        <v>-21354</v>
      </c>
      <c r="X50" s="1214">
        <v>-14541</v>
      </c>
      <c r="Y50" s="1214">
        <v>-14541</v>
      </c>
      <c r="Z50" s="1214">
        <v>-14541</v>
      </c>
      <c r="AA50" s="1214">
        <v>-14541</v>
      </c>
      <c r="AB50" s="1214">
        <v>-21354</v>
      </c>
      <c r="AC50" s="1214">
        <v>-15151</v>
      </c>
      <c r="AD50" s="1214">
        <v>-15761</v>
      </c>
      <c r="AE50" s="1214">
        <v>-16575</v>
      </c>
      <c r="AF50" s="1230">
        <v>-16612.120000000003</v>
      </c>
      <c r="AG50" s="1231">
        <f t="shared" si="23"/>
        <v>-16260693.530179018</v>
      </c>
    </row>
    <row r="51" spans="2:34" s="206" customFormat="1" ht="21" customHeight="1">
      <c r="B51" s="470" t="s">
        <v>233</v>
      </c>
      <c r="C51" s="1214">
        <f t="array" ref="C51:AF51">-TRANSPOSE('18 R1 Invest Total'!E4:E33)</f>
        <v>-116954.72850141811</v>
      </c>
      <c r="D51" s="1214">
        <v>-15284.203558129915</v>
      </c>
      <c r="E51" s="1214">
        <v>-66314.391440752952</v>
      </c>
      <c r="F51" s="1214">
        <v>-33061.865972076979</v>
      </c>
      <c r="G51" s="1214">
        <v>-33061.865972076979</v>
      </c>
      <c r="H51" s="1214">
        <v>-33061.865972076979</v>
      </c>
      <c r="I51" s="1214">
        <v>-33061.865972076979</v>
      </c>
      <c r="J51" s="1214">
        <v>-33061.865972076979</v>
      </c>
      <c r="K51" s="1214">
        <v>-33061.865972076979</v>
      </c>
      <c r="L51" s="1214">
        <v>-33061.865972076979</v>
      </c>
      <c r="M51" s="1214">
        <v>-33061.865972076979</v>
      </c>
      <c r="N51" s="1214">
        <v>-33061.865972076979</v>
      </c>
      <c r="O51" s="1214">
        <v>-33061.865972076979</v>
      </c>
      <c r="P51" s="1214">
        <v>-33061.865972076979</v>
      </c>
      <c r="Q51" s="1214">
        <v>-33061.865972076979</v>
      </c>
      <c r="R51" s="1214">
        <v>-33061.865972076979</v>
      </c>
      <c r="S51" s="1214">
        <v>-33061.865972076979</v>
      </c>
      <c r="T51" s="1214">
        <v>-33061.865972076979</v>
      </c>
      <c r="U51" s="1214">
        <v>-33061.865972076979</v>
      </c>
      <c r="V51" s="1214">
        <v>-33061.865972076979</v>
      </c>
      <c r="W51" s="1214">
        <v>-33061.865972076979</v>
      </c>
      <c r="X51" s="1214">
        <v>-33061.865972076979</v>
      </c>
      <c r="Y51" s="1214">
        <v>-33061.865972076979</v>
      </c>
      <c r="Z51" s="1214">
        <v>-33061.865972076979</v>
      </c>
      <c r="AA51" s="1214">
        <v>-33061.865972076979</v>
      </c>
      <c r="AB51" s="1214">
        <v>-33061.865972076979</v>
      </c>
      <c r="AC51" s="1214">
        <v>-33061.865972076979</v>
      </c>
      <c r="AD51" s="1214">
        <v>-33061.865972076979</v>
      </c>
      <c r="AE51" s="1214">
        <v>-33061.865972076979</v>
      </c>
      <c r="AF51" s="1230">
        <v>-33061.865972076979</v>
      </c>
      <c r="AG51" s="1231">
        <f t="shared" si="23"/>
        <v>-1091223.70474638</v>
      </c>
    </row>
    <row r="52" spans="2:34" s="206" customFormat="1" ht="21" customHeight="1">
      <c r="B52" s="468" t="s">
        <v>234</v>
      </c>
      <c r="C52" s="1212">
        <f>C53+C54</f>
        <v>0</v>
      </c>
      <c r="D52" s="1212">
        <f t="shared" ref="D52:AF52" si="26">D53+D54</f>
        <v>-216015.2075928525</v>
      </c>
      <c r="E52" s="1212">
        <f t="shared" si="26"/>
        <v>-224218.56474945962</v>
      </c>
      <c r="F52" s="1212">
        <f t="shared" si="26"/>
        <v>-262592.16473764449</v>
      </c>
      <c r="G52" s="1212">
        <f t="shared" si="26"/>
        <v>-278162.11614224466</v>
      </c>
      <c r="H52" s="1212">
        <f t="shared" si="26"/>
        <v>-292005.90019635414</v>
      </c>
      <c r="I52" s="1212">
        <f t="shared" si="26"/>
        <v>-403331.98028994544</v>
      </c>
      <c r="J52" s="1212">
        <f t="shared" si="26"/>
        <v>-454537.51685893827</v>
      </c>
      <c r="K52" s="1212">
        <f t="shared" si="26"/>
        <v>-450641.97101505764</v>
      </c>
      <c r="L52" s="1212">
        <f t="shared" si="26"/>
        <v>-445233.2243862793</v>
      </c>
      <c r="M52" s="1212">
        <f t="shared" si="26"/>
        <v>-486423.6178757553</v>
      </c>
      <c r="N52" s="1212">
        <f t="shared" si="26"/>
        <v>-528319.60303539201</v>
      </c>
      <c r="O52" s="1212">
        <f t="shared" si="26"/>
        <v>-489338.8397887359</v>
      </c>
      <c r="P52" s="1212">
        <f t="shared" si="26"/>
        <v>-489672.00161090645</v>
      </c>
      <c r="Q52" s="1212">
        <f t="shared" si="26"/>
        <v>-489991.78313587367</v>
      </c>
      <c r="R52" s="1212">
        <f t="shared" si="26"/>
        <v>-490093.82125074184</v>
      </c>
      <c r="S52" s="1212">
        <f t="shared" si="26"/>
        <v>-490060.99710262567</v>
      </c>
      <c r="T52" s="1212">
        <f t="shared" si="26"/>
        <v>-489893.3183612001</v>
      </c>
      <c r="U52" s="1212">
        <f t="shared" si="26"/>
        <v>-489554.63390051725</v>
      </c>
      <c r="V52" s="1212">
        <f t="shared" si="26"/>
        <v>-488925.97861622949</v>
      </c>
      <c r="W52" s="1212">
        <f t="shared" si="26"/>
        <v>-488373.968309107</v>
      </c>
      <c r="X52" s="1212">
        <f t="shared" si="26"/>
        <v>-487445.90960989572</v>
      </c>
      <c r="Y52" s="1212">
        <f t="shared" si="26"/>
        <v>-486122.00411335315</v>
      </c>
      <c r="Z52" s="1212">
        <f t="shared" si="26"/>
        <v>-484408.18889366777</v>
      </c>
      <c r="AA52" s="1212">
        <f t="shared" si="26"/>
        <v>-482213.06936075317</v>
      </c>
      <c r="AB52" s="1212">
        <f t="shared" si="26"/>
        <v>-479579.42702234088</v>
      </c>
      <c r="AC52" s="1212">
        <f t="shared" si="26"/>
        <v>-475241.30177493941</v>
      </c>
      <c r="AD52" s="1212">
        <f t="shared" si="26"/>
        <v>-469752.4651636536</v>
      </c>
      <c r="AE52" s="1212">
        <f t="shared" si="26"/>
        <v>-460852.45560847025</v>
      </c>
      <c r="AF52" s="1228">
        <f t="shared" si="26"/>
        <v>-420552.78278994391</v>
      </c>
      <c r="AG52" s="1231">
        <f t="shared" si="23"/>
        <v>-12693554.813292881</v>
      </c>
    </row>
    <row r="53" spans="2:34" s="206" customFormat="1" ht="21" customHeight="1">
      <c r="B53" s="469" t="s">
        <v>235</v>
      </c>
      <c r="C53" s="1214">
        <f>C31</f>
        <v>0</v>
      </c>
      <c r="D53" s="1214">
        <f t="shared" ref="D53:AF53" si="27">D31</f>
        <v>-152481.77028886214</v>
      </c>
      <c r="E53" s="1214">
        <f t="shared" si="27"/>
        <v>-158513.65055107325</v>
      </c>
      <c r="F53" s="1214">
        <f t="shared" si="27"/>
        <v>-186729.53289532682</v>
      </c>
      <c r="G53" s="1214">
        <f t="shared" si="27"/>
        <v>-198178.02657517992</v>
      </c>
      <c r="H53" s="1214">
        <f t="shared" si="27"/>
        <v>-208357.27955614275</v>
      </c>
      <c r="I53" s="1214">
        <f t="shared" si="27"/>
        <v>-290214.69138966576</v>
      </c>
      <c r="J53" s="1214">
        <f t="shared" si="27"/>
        <v>-327865.82121980755</v>
      </c>
      <c r="K53" s="1214">
        <f t="shared" si="27"/>
        <v>-325001.44927577768</v>
      </c>
      <c r="L53" s="1214">
        <f t="shared" si="27"/>
        <v>-321024.4296957936</v>
      </c>
      <c r="M53" s="1214">
        <f t="shared" si="27"/>
        <v>-351311.48373217299</v>
      </c>
      <c r="N53" s="1214">
        <f t="shared" si="27"/>
        <v>-382117.35517308232</v>
      </c>
      <c r="O53" s="1214">
        <f t="shared" si="27"/>
        <v>-353455.02925642347</v>
      </c>
      <c r="P53" s="1214">
        <f t="shared" si="27"/>
        <v>-353700.00118449004</v>
      </c>
      <c r="Q53" s="1214">
        <f t="shared" si="27"/>
        <v>-353935.13465873065</v>
      </c>
      <c r="R53" s="1214">
        <f t="shared" si="27"/>
        <v>-354010.16268436902</v>
      </c>
      <c r="S53" s="1214">
        <f t="shared" si="27"/>
        <v>-353986.02728134242</v>
      </c>
      <c r="T53" s="1214">
        <f t="shared" si="27"/>
        <v>-353862.73408911773</v>
      </c>
      <c r="U53" s="1214">
        <f t="shared" si="27"/>
        <v>-353613.70139743917</v>
      </c>
      <c r="V53" s="1214">
        <f t="shared" si="27"/>
        <v>-353151.4548648746</v>
      </c>
      <c r="W53" s="1214">
        <f t="shared" si="27"/>
        <v>-352745.5649331669</v>
      </c>
      <c r="X53" s="1214">
        <f t="shared" si="27"/>
        <v>-352063.16883080569</v>
      </c>
      <c r="Y53" s="1214">
        <f t="shared" si="27"/>
        <v>-351089.70890687732</v>
      </c>
      <c r="Z53" s="1214">
        <f t="shared" si="27"/>
        <v>-349829.55065710866</v>
      </c>
      <c r="AA53" s="1214">
        <f t="shared" si="27"/>
        <v>-348215.49217702437</v>
      </c>
      <c r="AB53" s="1214">
        <f t="shared" si="27"/>
        <v>-346278.99045760359</v>
      </c>
      <c r="AC53" s="1214">
        <f t="shared" si="27"/>
        <v>-343089.19248157309</v>
      </c>
      <c r="AD53" s="1214">
        <f t="shared" si="27"/>
        <v>-339053.28320856881</v>
      </c>
      <c r="AE53" s="1214">
        <f t="shared" si="27"/>
        <v>-332509.15853563987</v>
      </c>
      <c r="AF53" s="1214">
        <f t="shared" si="27"/>
        <v>-302877.04616907641</v>
      </c>
      <c r="AG53" s="1231">
        <f t="shared" si="23"/>
        <v>-9149260.8921271153</v>
      </c>
    </row>
    <row r="54" spans="2:34" s="206" customFormat="1" ht="21" customHeight="1" thickBot="1">
      <c r="B54" s="476" t="s">
        <v>236</v>
      </c>
      <c r="C54" s="1214">
        <f>C32</f>
        <v>0</v>
      </c>
      <c r="D54" s="1214">
        <f t="shared" ref="D54:AF54" si="28">D32</f>
        <v>-63533.437303990366</v>
      </c>
      <c r="E54" s="1214">
        <f t="shared" si="28"/>
        <v>-65704.914198386366</v>
      </c>
      <c r="F54" s="1214">
        <f t="shared" si="28"/>
        <v>-75862.631842317656</v>
      </c>
      <c r="G54" s="1214">
        <f t="shared" si="28"/>
        <v>-79984.089567064773</v>
      </c>
      <c r="H54" s="1214">
        <f t="shared" si="28"/>
        <v>-83648.620640211389</v>
      </c>
      <c r="I54" s="1214">
        <f t="shared" si="28"/>
        <v>-113117.28890027967</v>
      </c>
      <c r="J54" s="1214">
        <f t="shared" si="28"/>
        <v>-126671.69563913072</v>
      </c>
      <c r="K54" s="1214">
        <f t="shared" si="28"/>
        <v>-125640.52173927995</v>
      </c>
      <c r="L54" s="1214">
        <f t="shared" si="28"/>
        <v>-124208.79469048569</v>
      </c>
      <c r="M54" s="1214">
        <f t="shared" si="28"/>
        <v>-135112.13414358228</v>
      </c>
      <c r="N54" s="1214">
        <f t="shared" si="28"/>
        <v>-146202.24786230962</v>
      </c>
      <c r="O54" s="1214">
        <f t="shared" si="28"/>
        <v>-135883.81053231243</v>
      </c>
      <c r="P54" s="1214">
        <f t="shared" si="28"/>
        <v>-135972.0004264164</v>
      </c>
      <c r="Q54" s="1214">
        <f t="shared" si="28"/>
        <v>-136056.64847714303</v>
      </c>
      <c r="R54" s="1214">
        <f t="shared" si="28"/>
        <v>-136083.65856637285</v>
      </c>
      <c r="S54" s="1214">
        <f t="shared" si="28"/>
        <v>-136074.96982128327</v>
      </c>
      <c r="T54" s="1214">
        <f t="shared" si="28"/>
        <v>-136030.58427208237</v>
      </c>
      <c r="U54" s="1214">
        <f t="shared" si="28"/>
        <v>-135940.9325030781</v>
      </c>
      <c r="V54" s="1214">
        <f t="shared" si="28"/>
        <v>-135774.52375135486</v>
      </c>
      <c r="W54" s="1214">
        <f t="shared" si="28"/>
        <v>-135628.40337594008</v>
      </c>
      <c r="X54" s="1214">
        <f t="shared" si="28"/>
        <v>-135382.74077909003</v>
      </c>
      <c r="Y54" s="1214">
        <f t="shared" si="28"/>
        <v>-135032.29520647583</v>
      </c>
      <c r="Z54" s="1214">
        <f t="shared" si="28"/>
        <v>-134578.63823655911</v>
      </c>
      <c r="AA54" s="1214">
        <f t="shared" si="28"/>
        <v>-133997.57718372878</v>
      </c>
      <c r="AB54" s="1214">
        <f t="shared" si="28"/>
        <v>-133300.43656473729</v>
      </c>
      <c r="AC54" s="1214">
        <f t="shared" si="28"/>
        <v>-132152.10929336632</v>
      </c>
      <c r="AD54" s="1214">
        <f t="shared" si="28"/>
        <v>-130699.18195508477</v>
      </c>
      <c r="AE54" s="1214">
        <f t="shared" si="28"/>
        <v>-128343.29707283035</v>
      </c>
      <c r="AF54" s="1214">
        <f t="shared" si="28"/>
        <v>-117675.73662086751</v>
      </c>
      <c r="AG54" s="1232">
        <f t="shared" si="23"/>
        <v>-3544293.9211657625</v>
      </c>
    </row>
    <row r="55" spans="2:34" s="206" customFormat="1" ht="21" customHeight="1" thickBot="1">
      <c r="B55" s="472" t="s">
        <v>237</v>
      </c>
      <c r="C55" s="1233">
        <f>C45+C47</f>
        <v>-218816.70694273867</v>
      </c>
      <c r="D55" s="1233">
        <f t="shared" ref="D55:AF55" si="29">D45+D47</f>
        <v>163695.54481190676</v>
      </c>
      <c r="E55" s="1233">
        <f t="shared" si="29"/>
        <v>235265.61776247947</v>
      </c>
      <c r="F55" s="1233">
        <f t="shared" si="29"/>
        <v>-770446.47007217782</v>
      </c>
      <c r="G55" s="1233">
        <f t="shared" si="29"/>
        <v>-4502770.0806266535</v>
      </c>
      <c r="H55" s="1233">
        <f t="shared" si="29"/>
        <v>214490.54613764456</v>
      </c>
      <c r="I55" s="1233">
        <f t="shared" si="29"/>
        <v>-524283.98473072122</v>
      </c>
      <c r="J55" s="1233">
        <f t="shared" si="29"/>
        <v>170961.54809309915</v>
      </c>
      <c r="K55" s="1233">
        <f t="shared" si="29"/>
        <v>-514854.40422683954</v>
      </c>
      <c r="L55" s="1233">
        <f t="shared" si="29"/>
        <v>490661.06087756832</v>
      </c>
      <c r="M55" s="1233">
        <f t="shared" si="29"/>
        <v>-1033119.6220003073</v>
      </c>
      <c r="N55" s="1233">
        <f t="shared" si="29"/>
        <v>-511638.66412785323</v>
      </c>
      <c r="O55" s="1233">
        <f t="shared" si="29"/>
        <v>1828039.0363851809</v>
      </c>
      <c r="P55" s="1233">
        <f t="shared" si="29"/>
        <v>1832708.5124959904</v>
      </c>
      <c r="Q55" s="1233">
        <f t="shared" si="29"/>
        <v>1837603.436977494</v>
      </c>
      <c r="R55" s="1233">
        <f t="shared" si="29"/>
        <v>1847648.6278819884</v>
      </c>
      <c r="S55" s="1233">
        <f t="shared" si="29"/>
        <v>1852091.9642574368</v>
      </c>
      <c r="T55" s="1233">
        <f t="shared" si="29"/>
        <v>1856620.2205185895</v>
      </c>
      <c r="U55" s="1233">
        <f t="shared" si="29"/>
        <v>1861221.0036919028</v>
      </c>
      <c r="V55" s="1233">
        <f t="shared" si="29"/>
        <v>1865736.9231870354</v>
      </c>
      <c r="W55" s="1233">
        <f t="shared" si="29"/>
        <v>1865280.2491425409</v>
      </c>
      <c r="X55" s="1233">
        <f t="shared" si="29"/>
        <v>1880477.4738492114</v>
      </c>
      <c r="Y55" s="1233">
        <f t="shared" si="29"/>
        <v>1885337.3838690578</v>
      </c>
      <c r="Z55" s="1233">
        <f t="shared" si="29"/>
        <v>1890501.8166256878</v>
      </c>
      <c r="AA55" s="1233">
        <f t="shared" si="29"/>
        <v>1896147.161196955</v>
      </c>
      <c r="AB55" s="1233">
        <f t="shared" si="29"/>
        <v>1893567.5474081114</v>
      </c>
      <c r="AC55" s="1233">
        <f t="shared" si="29"/>
        <v>1910885.9191894247</v>
      </c>
      <c r="AD55" s="1233">
        <f t="shared" si="29"/>
        <v>1919501.3699594056</v>
      </c>
      <c r="AE55" s="1233">
        <f t="shared" si="29"/>
        <v>1931540.2576989415</v>
      </c>
      <c r="AF55" s="1234">
        <f t="shared" si="29"/>
        <v>1977880.9885554872</v>
      </c>
      <c r="AG55" s="1235">
        <f t="shared" si="23"/>
        <v>27031934.277845848</v>
      </c>
      <c r="AH55" s="207"/>
    </row>
    <row r="56" spans="2:34" s="206" customFormat="1" ht="21" customHeight="1" thickBot="1">
      <c r="B56" s="472" t="s">
        <v>238</v>
      </c>
      <c r="C56" s="886">
        <f>IRR(C55:AF55)</f>
        <v>0.12012842658716449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714</v>
      </c>
      <c r="C58" s="886">
        <v>0.1203</v>
      </c>
    </row>
    <row r="59" spans="2:34" ht="15" thickBot="1"/>
    <row r="60" spans="2:34" ht="15.75" thickBot="1">
      <c r="B60" s="472" t="s">
        <v>659</v>
      </c>
      <c r="C60" s="886">
        <f>C56-C58</f>
        <v>-1.7157341283551009E-4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30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5">
    <tabColor rgb="FF00B050"/>
  </sheetPr>
  <dimension ref="B1:L77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7.85546875" style="2" customWidth="1"/>
    <col min="3" max="6" width="19.140625" style="2" customWidth="1"/>
    <col min="7" max="7" width="2.7109375" style="2" customWidth="1"/>
    <col min="8" max="8" width="11.5703125" style="2" customWidth="1"/>
    <col min="9" max="9" width="12.5703125" style="6" hidden="1" customWidth="1"/>
    <col min="10" max="13" width="0" style="2" hidden="1" customWidth="1"/>
    <col min="14" max="16384" width="11.5703125" style="2"/>
  </cols>
  <sheetData>
    <row r="1" spans="2:12" s="1" customFormat="1" ht="30" customHeight="1">
      <c r="B1" s="1572" t="s">
        <v>51</v>
      </c>
      <c r="C1" s="1572"/>
      <c r="D1" s="1572"/>
      <c r="E1" s="1572"/>
      <c r="F1" s="1572"/>
      <c r="I1" s="139"/>
    </row>
    <row r="2" spans="2:12" ht="20.25" customHeight="1" thickBot="1">
      <c r="B2" s="89" t="s">
        <v>349</v>
      </c>
      <c r="C2" s="41"/>
      <c r="D2" s="41"/>
      <c r="E2" s="41"/>
      <c r="F2" s="134"/>
    </row>
    <row r="3" spans="2:12" ht="48" customHeight="1" thickBot="1">
      <c r="B3" s="413" t="s">
        <v>1</v>
      </c>
      <c r="C3" s="414" t="s">
        <v>17</v>
      </c>
      <c r="D3" s="49" t="s">
        <v>5</v>
      </c>
      <c r="E3" s="49" t="s">
        <v>6</v>
      </c>
      <c r="F3" s="49" t="s">
        <v>7</v>
      </c>
      <c r="I3" s="151" t="s">
        <v>90</v>
      </c>
      <c r="J3" s="152" t="s">
        <v>98</v>
      </c>
      <c r="L3" s="152" t="s">
        <v>99</v>
      </c>
    </row>
    <row r="4" spans="2:12" s="3" customFormat="1" ht="20.25" customHeight="1">
      <c r="B4" s="93">
        <v>1</v>
      </c>
      <c r="C4" s="104">
        <f>C77</f>
        <v>46.694513614308455</v>
      </c>
      <c r="D4" s="105">
        <v>0.45</v>
      </c>
      <c r="E4" s="95">
        <f>J4/C4</f>
        <v>24698.821052788357</v>
      </c>
      <c r="F4" s="106">
        <f>E4*D4</f>
        <v>11114.469473754762</v>
      </c>
      <c r="I4" s="140">
        <v>11630.383969398332</v>
      </c>
      <c r="J4" s="143">
        <f>'3 Vol'!C4</f>
        <v>1153299.4359067942</v>
      </c>
      <c r="K4" s="150"/>
      <c r="L4" s="138">
        <v>11630.383969398332</v>
      </c>
    </row>
    <row r="5" spans="2:12" ht="20.25" customHeight="1">
      <c r="B5" s="98">
        <v>2</v>
      </c>
      <c r="C5" s="104">
        <f>C4</f>
        <v>46.694513614308455</v>
      </c>
      <c r="D5" s="107">
        <f>D4</f>
        <v>0.45</v>
      </c>
      <c r="E5" s="95">
        <f>J5/C5</f>
        <v>23299.225835489491</v>
      </c>
      <c r="F5" s="106">
        <f t="shared" ref="F5:F33" si="0">E5*D5</f>
        <v>10484.651625970271</v>
      </c>
      <c r="I5" s="11">
        <v>10993.273725959009</v>
      </c>
      <c r="J5" s="143">
        <f>'3 Vol'!C5</f>
        <v>1087946.0179781113</v>
      </c>
      <c r="L5" s="8">
        <v>10993.273725959009</v>
      </c>
    </row>
    <row r="6" spans="2:12" ht="20.25" customHeight="1">
      <c r="B6" s="98">
        <v>3</v>
      </c>
      <c r="C6" s="104">
        <f t="shared" ref="C6:C33" si="1">C5</f>
        <v>46.694513614308455</v>
      </c>
      <c r="D6" s="107">
        <f t="shared" ref="D6:D33" si="2">D5</f>
        <v>0.45</v>
      </c>
      <c r="E6" s="95">
        <f t="shared" ref="E6:E33" si="3">J6/C6</f>
        <v>21357.486844643736</v>
      </c>
      <c r="F6" s="106">
        <f t="shared" si="0"/>
        <v>9610.869080089682</v>
      </c>
      <c r="I6" s="11">
        <v>10077.103017908254</v>
      </c>
      <c r="J6" s="143">
        <f>'3 Vol'!C6</f>
        <v>997277.46023463074</v>
      </c>
      <c r="L6" s="8">
        <v>10077.103017908254</v>
      </c>
    </row>
    <row r="7" spans="2:12" ht="20.25" customHeight="1">
      <c r="B7" s="98">
        <v>4</v>
      </c>
      <c r="C7" s="104">
        <f t="shared" si="1"/>
        <v>46.694513614308455</v>
      </c>
      <c r="D7" s="107">
        <f t="shared" si="2"/>
        <v>0.45</v>
      </c>
      <c r="E7" s="95">
        <f t="shared" si="3"/>
        <v>20075.071743773242</v>
      </c>
      <c r="F7" s="106">
        <f t="shared" si="0"/>
        <v>9033.7822846979598</v>
      </c>
      <c r="I7" s="11">
        <v>9472.0211008645292</v>
      </c>
      <c r="J7" s="143">
        <f>'3 Vol'!C7</f>
        <v>937395.71084783855</v>
      </c>
      <c r="L7" s="8">
        <v>9472.0211008645292</v>
      </c>
    </row>
    <row r="8" spans="2:12" s="3" customFormat="1" ht="20.25" customHeight="1">
      <c r="B8" s="98">
        <v>5</v>
      </c>
      <c r="C8" s="104">
        <f t="shared" si="1"/>
        <v>46.694513614308455</v>
      </c>
      <c r="D8" s="107">
        <f t="shared" si="2"/>
        <v>0.45</v>
      </c>
      <c r="E8" s="95">
        <f t="shared" si="3"/>
        <v>18974.131724507748</v>
      </c>
      <c r="F8" s="106">
        <f t="shared" si="0"/>
        <v>8538.3592760284864</v>
      </c>
      <c r="I8" s="140">
        <v>8952.564571574494</v>
      </c>
      <c r="J8" s="143">
        <f>'3 Vol'!C8</f>
        <v>885987.85212970909</v>
      </c>
      <c r="L8" s="138">
        <v>8952.564571574494</v>
      </c>
    </row>
    <row r="9" spans="2:12" ht="20.25" customHeight="1">
      <c r="B9" s="98">
        <v>6</v>
      </c>
      <c r="C9" s="104">
        <f t="shared" si="1"/>
        <v>46.694513614308455</v>
      </c>
      <c r="D9" s="107">
        <f t="shared" si="2"/>
        <v>0.45</v>
      </c>
      <c r="E9" s="95">
        <f t="shared" si="3"/>
        <v>18772.703772314813</v>
      </c>
      <c r="F9" s="106">
        <f t="shared" si="0"/>
        <v>8447.7166975416658</v>
      </c>
      <c r="I9" s="11">
        <v>8857.5248208912999</v>
      </c>
      <c r="J9" s="143">
        <f>'3 Vol'!C9</f>
        <v>876582.27187373373</v>
      </c>
      <c r="L9" s="8">
        <v>8857.5248208912999</v>
      </c>
    </row>
    <row r="10" spans="2:12" ht="20.25" customHeight="1">
      <c r="B10" s="98">
        <v>7</v>
      </c>
      <c r="C10" s="104">
        <f t="shared" si="1"/>
        <v>46.694513614308455</v>
      </c>
      <c r="D10" s="107">
        <f t="shared" si="2"/>
        <v>0.45</v>
      </c>
      <c r="E10" s="95">
        <f t="shared" si="3"/>
        <v>18293.135326047148</v>
      </c>
      <c r="F10" s="106">
        <f t="shared" si="0"/>
        <v>8231.910896721216</v>
      </c>
      <c r="I10" s="11">
        <v>8631.2500408888263</v>
      </c>
      <c r="J10" s="143">
        <f>'3 Vol'!C10</f>
        <v>854189.05653049541</v>
      </c>
      <c r="L10" s="8">
        <v>8631.2500408888263</v>
      </c>
    </row>
    <row r="11" spans="2:12" ht="20.25" customHeight="1">
      <c r="B11" s="98">
        <v>8</v>
      </c>
      <c r="C11" s="104">
        <f t="shared" si="1"/>
        <v>46.694513614308455</v>
      </c>
      <c r="D11" s="107">
        <f t="shared" si="2"/>
        <v>0.45</v>
      </c>
      <c r="E11" s="95">
        <f t="shared" si="3"/>
        <v>18076.658088644148</v>
      </c>
      <c r="F11" s="106">
        <f t="shared" si="0"/>
        <v>8134.4961398898668</v>
      </c>
      <c r="I11" s="11">
        <v>8416.8844598338492</v>
      </c>
      <c r="J11" s="143">
        <f>'3 Vol'!C11</f>
        <v>844080.75722139317</v>
      </c>
      <c r="L11" s="8">
        <v>8416.8844598338492</v>
      </c>
    </row>
    <row r="12" spans="2:12" s="3" customFormat="1" ht="20.25" customHeight="1">
      <c r="B12" s="98">
        <v>9</v>
      </c>
      <c r="C12" s="104">
        <f t="shared" si="1"/>
        <v>46.694513614308455</v>
      </c>
      <c r="D12" s="107">
        <f t="shared" si="2"/>
        <v>0.45</v>
      </c>
      <c r="E12" s="95">
        <f t="shared" si="3"/>
        <v>18104.089322255113</v>
      </c>
      <c r="F12" s="106">
        <f t="shared" si="0"/>
        <v>8146.8401950148009</v>
      </c>
      <c r="I12" s="140">
        <v>8213.5119854996447</v>
      </c>
      <c r="J12" s="143">
        <f>'3 Vol'!C12</f>
        <v>845361.64533269766</v>
      </c>
      <c r="L12" s="138">
        <v>8213.5119854996447</v>
      </c>
    </row>
    <row r="13" spans="2:12" s="3" customFormat="1" ht="20.25" customHeight="1">
      <c r="B13" s="98">
        <v>10</v>
      </c>
      <c r="C13" s="104">
        <f t="shared" si="1"/>
        <v>46.694513614308455</v>
      </c>
      <c r="D13" s="107">
        <f t="shared" si="2"/>
        <v>0.45</v>
      </c>
      <c r="E13" s="95">
        <f t="shared" si="3"/>
        <v>18132.854068939894</v>
      </c>
      <c r="F13" s="106">
        <f t="shared" si="0"/>
        <v>8159.7843310229528</v>
      </c>
      <c r="I13" s="140">
        <v>8020.8980018886668</v>
      </c>
      <c r="J13" s="143">
        <f>'3 Vol'!C13</f>
        <v>846704.80118838232</v>
      </c>
      <c r="L13" s="138">
        <v>8020.8980018886668</v>
      </c>
    </row>
    <row r="14" spans="2:12" ht="20.25" customHeight="1">
      <c r="B14" s="98">
        <v>11</v>
      </c>
      <c r="C14" s="104">
        <f t="shared" si="1"/>
        <v>46.694513614308455</v>
      </c>
      <c r="D14" s="107">
        <f t="shared" si="2"/>
        <v>0.45</v>
      </c>
      <c r="E14" s="95">
        <f t="shared" si="3"/>
        <v>18161.167572499304</v>
      </c>
      <c r="F14" s="106">
        <f t="shared" si="0"/>
        <v>8172.5254076246865</v>
      </c>
      <c r="I14" s="11">
        <v>8033.4222147490727</v>
      </c>
      <c r="J14" s="143">
        <f>'3 Vol'!C14</f>
        <v>848026.88646580593</v>
      </c>
      <c r="L14" s="8">
        <v>8033.4222147490727</v>
      </c>
    </row>
    <row r="15" spans="2:12" ht="20.25" customHeight="1">
      <c r="B15" s="98">
        <v>12</v>
      </c>
      <c r="C15" s="104">
        <f t="shared" si="1"/>
        <v>46.694513614308455</v>
      </c>
      <c r="D15" s="107">
        <f t="shared" si="2"/>
        <v>0.45</v>
      </c>
      <c r="E15" s="95">
        <f t="shared" si="3"/>
        <v>18187.265293036446</v>
      </c>
      <c r="F15" s="106">
        <f t="shared" si="0"/>
        <v>8184.2693818664011</v>
      </c>
      <c r="I15" s="11">
        <v>8044.9662967625491</v>
      </c>
      <c r="J15" s="143">
        <f>'3 Vol'!C15</f>
        <v>849245.50683272991</v>
      </c>
      <c r="L15" s="8">
        <v>8044.9662967625491</v>
      </c>
    </row>
    <row r="16" spans="2:12" ht="20.25" customHeight="1">
      <c r="B16" s="98">
        <v>13</v>
      </c>
      <c r="C16" s="104">
        <f t="shared" si="1"/>
        <v>46.694513614308455</v>
      </c>
      <c r="D16" s="107">
        <f t="shared" si="2"/>
        <v>0.45</v>
      </c>
      <c r="E16" s="95">
        <f t="shared" si="3"/>
        <v>18213.36301357358</v>
      </c>
      <c r="F16" s="106">
        <f t="shared" si="0"/>
        <v>8196.0133561081111</v>
      </c>
      <c r="I16" s="11">
        <v>8056.5103787760245</v>
      </c>
      <c r="J16" s="143">
        <f>'3 Vol'!C16</f>
        <v>850464.12719965365</v>
      </c>
      <c r="L16" s="8">
        <v>8056.5103787760245</v>
      </c>
    </row>
    <row r="17" spans="2:12" ht="20.25" customHeight="1">
      <c r="B17" s="98">
        <v>14</v>
      </c>
      <c r="C17" s="104">
        <f t="shared" si="1"/>
        <v>46.694513614308455</v>
      </c>
      <c r="D17" s="107">
        <f t="shared" si="2"/>
        <v>0.45</v>
      </c>
      <c r="E17" s="95">
        <f t="shared" si="3"/>
        <v>18239.460734110726</v>
      </c>
      <c r="F17" s="106">
        <f t="shared" si="0"/>
        <v>8207.7573303498266</v>
      </c>
      <c r="I17" s="11">
        <v>8068.054460789499</v>
      </c>
      <c r="J17" s="143">
        <f>'3 Vol'!C17</f>
        <v>851682.74756657786</v>
      </c>
      <c r="L17" s="8">
        <v>8068.054460789499</v>
      </c>
    </row>
    <row r="18" spans="2:12" ht="20.25" customHeight="1">
      <c r="B18" s="98">
        <v>15</v>
      </c>
      <c r="C18" s="104">
        <f t="shared" si="1"/>
        <v>46.694513614308455</v>
      </c>
      <c r="D18" s="107">
        <f t="shared" si="2"/>
        <v>0.45</v>
      </c>
      <c r="E18" s="95">
        <f t="shared" si="3"/>
        <v>18265.558454647868</v>
      </c>
      <c r="F18" s="106">
        <f t="shared" si="0"/>
        <v>8219.5013045915402</v>
      </c>
      <c r="I18" s="11">
        <v>8079.5985428029744</v>
      </c>
      <c r="J18" s="143">
        <f>'3 Vol'!C18</f>
        <v>852901.36793350184</v>
      </c>
      <c r="L18" s="8">
        <v>8079.5985428029744</v>
      </c>
    </row>
    <row r="19" spans="2:12" ht="20.25" customHeight="1">
      <c r="B19" s="98">
        <v>16</v>
      </c>
      <c r="C19" s="104">
        <f t="shared" si="1"/>
        <v>46.694513614308455</v>
      </c>
      <c r="D19" s="107">
        <f t="shared" si="2"/>
        <v>0.45</v>
      </c>
      <c r="E19" s="95">
        <f t="shared" si="3"/>
        <v>18286.382771796681</v>
      </c>
      <c r="F19" s="106">
        <f t="shared" si="0"/>
        <v>8228.8722473085072</v>
      </c>
      <c r="I19" s="11">
        <v>8088.8099842657757</v>
      </c>
      <c r="J19" s="143">
        <f>'3 Vol'!C19</f>
        <v>853873.7492941157</v>
      </c>
      <c r="L19" s="8">
        <v>8088.8099842657757</v>
      </c>
    </row>
    <row r="20" spans="2:12" ht="20.25" customHeight="1">
      <c r="B20" s="98">
        <v>17</v>
      </c>
      <c r="C20" s="104">
        <f t="shared" si="1"/>
        <v>46.694513614308455</v>
      </c>
      <c r="D20" s="107">
        <f t="shared" si="2"/>
        <v>0.45</v>
      </c>
      <c r="E20" s="95">
        <f t="shared" si="3"/>
        <v>18307.617899466233</v>
      </c>
      <c r="F20" s="106">
        <f t="shared" si="0"/>
        <v>8238.4280547598046</v>
      </c>
      <c r="I20" s="11">
        <v>8098.2031439110833</v>
      </c>
      <c r="J20" s="143">
        <f>'3 Vol'!C20</f>
        <v>854865.31325218326</v>
      </c>
      <c r="L20" s="8">
        <v>8098.2031439110833</v>
      </c>
    </row>
    <row r="21" spans="2:12" ht="20.25" customHeight="1">
      <c r="B21" s="98">
        <v>18</v>
      </c>
      <c r="C21" s="104">
        <f t="shared" si="1"/>
        <v>46.694513614308455</v>
      </c>
      <c r="D21" s="107">
        <f t="shared" si="2"/>
        <v>0.45</v>
      </c>
      <c r="E21" s="95">
        <f t="shared" si="3"/>
        <v>18328.853027135792</v>
      </c>
      <c r="F21" s="106">
        <f t="shared" si="0"/>
        <v>8247.9838622111074</v>
      </c>
      <c r="I21" s="11">
        <v>8107.5963035563891</v>
      </c>
      <c r="J21" s="143">
        <f>'3 Vol'!C21</f>
        <v>855856.87721025094</v>
      </c>
      <c r="L21" s="8">
        <v>8107.5963035563891</v>
      </c>
    </row>
    <row r="22" spans="2:12" ht="20.25" customHeight="1">
      <c r="B22" s="98">
        <v>19</v>
      </c>
      <c r="C22" s="104">
        <f t="shared" si="1"/>
        <v>46.694513614308455</v>
      </c>
      <c r="D22" s="107">
        <f t="shared" si="2"/>
        <v>0.45</v>
      </c>
      <c r="E22" s="95">
        <f t="shared" si="3"/>
        <v>18350.088154805344</v>
      </c>
      <c r="F22" s="106">
        <f t="shared" si="0"/>
        <v>8257.5396696624048</v>
      </c>
      <c r="I22" s="11">
        <v>8116.9894632016913</v>
      </c>
      <c r="J22" s="143">
        <f>'3 Vol'!C22</f>
        <v>856848.44116831839</v>
      </c>
      <c r="L22" s="8">
        <v>8116.9894632016913</v>
      </c>
    </row>
    <row r="23" spans="2:12" ht="20.25" customHeight="1">
      <c r="B23" s="98">
        <v>20</v>
      </c>
      <c r="C23" s="104">
        <f t="shared" si="1"/>
        <v>46.694513614308455</v>
      </c>
      <c r="D23" s="107">
        <f t="shared" si="2"/>
        <v>0.45</v>
      </c>
      <c r="E23" s="95">
        <f t="shared" si="3"/>
        <v>18371.323282474896</v>
      </c>
      <c r="F23" s="106">
        <f t="shared" si="0"/>
        <v>8267.095477113704</v>
      </c>
      <c r="I23" s="11">
        <v>8126.382622846997</v>
      </c>
      <c r="J23" s="143">
        <f>'3 Vol'!C23</f>
        <v>857840.00512638595</v>
      </c>
      <c r="L23" s="8">
        <v>8126.382622846997</v>
      </c>
    </row>
    <row r="24" spans="2:12" ht="20.25" customHeight="1">
      <c r="B24" s="98">
        <v>21</v>
      </c>
      <c r="C24" s="104">
        <f t="shared" si="1"/>
        <v>46.694513614308455</v>
      </c>
      <c r="D24" s="107">
        <f t="shared" si="2"/>
        <v>0.45</v>
      </c>
      <c r="E24" s="95">
        <f t="shared" si="3"/>
        <v>18397.441219314358</v>
      </c>
      <c r="F24" s="106">
        <f t="shared" si="0"/>
        <v>8278.8485486914615</v>
      </c>
      <c r="I24" s="11">
        <v>8137.9356473522766</v>
      </c>
      <c r="J24" s="143">
        <f>'3 Vol'!C24</f>
        <v>859059.56948371383</v>
      </c>
      <c r="L24" s="8">
        <v>8137.9356473522766</v>
      </c>
    </row>
    <row r="25" spans="2:12" ht="20.25" customHeight="1">
      <c r="B25" s="98">
        <v>22</v>
      </c>
      <c r="C25" s="104">
        <f t="shared" si="1"/>
        <v>46.694513614308455</v>
      </c>
      <c r="D25" s="107">
        <f t="shared" si="2"/>
        <v>0.45</v>
      </c>
      <c r="E25" s="95">
        <f t="shared" si="3"/>
        <v>18415.578294013209</v>
      </c>
      <c r="F25" s="106">
        <f t="shared" si="0"/>
        <v>8287.0102323059436</v>
      </c>
      <c r="I25" s="11">
        <v>8145.9584123102368</v>
      </c>
      <c r="J25" s="143">
        <f>'3 Vol'!C25</f>
        <v>859906.47136516299</v>
      </c>
      <c r="L25" s="8">
        <v>8145.9584123102368</v>
      </c>
    </row>
    <row r="26" spans="2:12" ht="20.25" customHeight="1">
      <c r="B26" s="98">
        <v>23</v>
      </c>
      <c r="C26" s="104">
        <f t="shared" si="1"/>
        <v>46.694513614308455</v>
      </c>
      <c r="D26" s="107">
        <f t="shared" si="2"/>
        <v>0.45</v>
      </c>
      <c r="E26" s="95">
        <f t="shared" si="3"/>
        <v>18433.715368712055</v>
      </c>
      <c r="F26" s="106">
        <f t="shared" si="0"/>
        <v>8295.1719159204258</v>
      </c>
      <c r="I26" s="11">
        <v>8153.9811772681978</v>
      </c>
      <c r="J26" s="143">
        <f>'3 Vol'!C26</f>
        <v>860753.37324661214</v>
      </c>
      <c r="L26" s="8">
        <v>8153.9811772681978</v>
      </c>
    </row>
    <row r="27" spans="2:12" s="3" customFormat="1" ht="20.25" customHeight="1">
      <c r="B27" s="98">
        <v>24</v>
      </c>
      <c r="C27" s="104">
        <f t="shared" si="1"/>
        <v>46.694513614308455</v>
      </c>
      <c r="D27" s="107">
        <f t="shared" si="2"/>
        <v>0.45</v>
      </c>
      <c r="E27" s="95">
        <f t="shared" si="3"/>
        <v>18451.852443410909</v>
      </c>
      <c r="F27" s="106">
        <f t="shared" si="0"/>
        <v>8303.3335995349098</v>
      </c>
      <c r="I27" s="140">
        <v>8162.0039422261571</v>
      </c>
      <c r="J27" s="143">
        <f>'3 Vol'!C27</f>
        <v>861600.27512806142</v>
      </c>
      <c r="L27" s="138">
        <v>8162.0039422261571</v>
      </c>
    </row>
    <row r="28" spans="2:12" s="3" customFormat="1" ht="20.25" customHeight="1">
      <c r="B28" s="98">
        <v>25</v>
      </c>
      <c r="C28" s="104">
        <f t="shared" si="1"/>
        <v>46.694513614308455</v>
      </c>
      <c r="D28" s="107">
        <f t="shared" si="2"/>
        <v>0.45</v>
      </c>
      <c r="E28" s="95">
        <f t="shared" si="3"/>
        <v>18469.989518109756</v>
      </c>
      <c r="F28" s="106">
        <f t="shared" si="0"/>
        <v>8311.4952831493902</v>
      </c>
      <c r="I28" s="140">
        <v>8170.026707184119</v>
      </c>
      <c r="J28" s="143">
        <f>'3 Vol'!C28</f>
        <v>862447.17700951046</v>
      </c>
      <c r="L28" s="138">
        <v>8170.026707184119</v>
      </c>
    </row>
    <row r="29" spans="2:12" ht="20.25" customHeight="1">
      <c r="B29" s="98">
        <v>26</v>
      </c>
      <c r="C29" s="104">
        <f t="shared" si="1"/>
        <v>46.694513614308455</v>
      </c>
      <c r="D29" s="107">
        <f t="shared" si="2"/>
        <v>0.45</v>
      </c>
      <c r="E29" s="95">
        <f t="shared" si="3"/>
        <v>18496.107454949215</v>
      </c>
      <c r="F29" s="106">
        <f t="shared" si="0"/>
        <v>8323.2483547271477</v>
      </c>
      <c r="I29" s="11">
        <v>8181.579731689395</v>
      </c>
      <c r="J29" s="143">
        <f>'3 Vol'!C29</f>
        <v>863666.74136683822</v>
      </c>
      <c r="L29" s="8">
        <v>8181.579731689395</v>
      </c>
    </row>
    <row r="30" spans="2:12" s="3" customFormat="1" ht="20.25" customHeight="1">
      <c r="B30" s="98">
        <v>27</v>
      </c>
      <c r="C30" s="104">
        <f t="shared" si="1"/>
        <v>46.694513614308455</v>
      </c>
      <c r="D30" s="107">
        <f t="shared" si="2"/>
        <v>0.45</v>
      </c>
      <c r="E30" s="95">
        <f t="shared" si="3"/>
        <v>18515.12679959651</v>
      </c>
      <c r="F30" s="106">
        <f t="shared" si="0"/>
        <v>8331.8070598184295</v>
      </c>
      <c r="I30" s="140">
        <v>8189.9927604877703</v>
      </c>
      <c r="J30" s="143">
        <f>'3 Vol'!C30</f>
        <v>864554.84041440662</v>
      </c>
      <c r="L30" s="138">
        <v>8189.9927604877703</v>
      </c>
    </row>
    <row r="31" spans="2:12" s="3" customFormat="1" ht="20.25" customHeight="1">
      <c r="B31" s="98">
        <v>28</v>
      </c>
      <c r="C31" s="104">
        <f t="shared" si="1"/>
        <v>46.694513614308455</v>
      </c>
      <c r="D31" s="107">
        <f t="shared" si="2"/>
        <v>0.45</v>
      </c>
      <c r="E31" s="95">
        <f t="shared" si="3"/>
        <v>18534.59738736918</v>
      </c>
      <c r="F31" s="106">
        <f t="shared" si="0"/>
        <v>8340.5688243161312</v>
      </c>
      <c r="I31" s="140">
        <v>8198.6053924522494</v>
      </c>
      <c r="J31" s="143">
        <f>'3 Vol'!C31</f>
        <v>865464.01004023605</v>
      </c>
      <c r="L31" s="138">
        <v>8198.6053924522494</v>
      </c>
    </row>
    <row r="32" spans="2:12" s="3" customFormat="1" ht="20.25" customHeight="1">
      <c r="B32" s="98">
        <v>29</v>
      </c>
      <c r="C32" s="104">
        <f t="shared" si="1"/>
        <v>46.694513614308455</v>
      </c>
      <c r="D32" s="107">
        <f t="shared" si="2"/>
        <v>0.45</v>
      </c>
      <c r="E32" s="95">
        <f t="shared" si="3"/>
        <v>18554.950245090295</v>
      </c>
      <c r="F32" s="106">
        <f t="shared" si="0"/>
        <v>8349.7276102906326</v>
      </c>
      <c r="I32" s="140">
        <v>8207.6082882571409</v>
      </c>
      <c r="J32" s="143">
        <f>'3 Vol'!C32</f>
        <v>866414.37683218473</v>
      </c>
      <c r="L32" s="138">
        <v>8207.6082882571409</v>
      </c>
    </row>
    <row r="33" spans="2:12" s="3" customFormat="1" ht="20.25" customHeight="1" thickBot="1">
      <c r="B33" s="100">
        <v>30</v>
      </c>
      <c r="C33" s="368">
        <f t="shared" si="1"/>
        <v>46.694513614308455</v>
      </c>
      <c r="D33" s="369">
        <f t="shared" si="2"/>
        <v>0.45</v>
      </c>
      <c r="E33" s="370">
        <f t="shared" si="3"/>
        <v>18566.008943899287</v>
      </c>
      <c r="F33" s="371">
        <f t="shared" si="0"/>
        <v>8354.7040247546793</v>
      </c>
      <c r="I33" s="140">
        <v>8212.5</v>
      </c>
      <c r="J33" s="143">
        <f>'3 Vol'!C33</f>
        <v>866930.75739427784</v>
      </c>
      <c r="L33" s="138">
        <v>8212.5</v>
      </c>
    </row>
    <row r="34" spans="2:12" ht="20.25" customHeight="1">
      <c r="L34" s="248">
        <f>SUM(L4:L33)</f>
        <v>255846.14116559646</v>
      </c>
    </row>
    <row r="35" spans="2:12" ht="20.25" customHeight="1">
      <c r="F35" s="9">
        <f>SUM(F4:F34)</f>
        <v>255298.78154583689</v>
      </c>
    </row>
    <row r="36" spans="2:12" ht="20.25" customHeight="1"/>
    <row r="37" spans="2:12" ht="20.25" customHeight="1"/>
    <row r="38" spans="2:12" ht="20.25" customHeight="1"/>
    <row r="39" spans="2:12" ht="20.25" customHeight="1"/>
    <row r="40" spans="2:12" ht="20.25" customHeight="1"/>
    <row r="44" spans="2:12" ht="13.5" thickBot="1"/>
    <row r="45" spans="2:12" ht="26.25" thickBot="1">
      <c r="B45" s="38" t="s">
        <v>1</v>
      </c>
      <c r="C45" s="37" t="s">
        <v>17</v>
      </c>
      <c r="D45" s="24" t="s">
        <v>5</v>
      </c>
      <c r="E45" s="24" t="s">
        <v>6</v>
      </c>
      <c r="F45" s="24" t="s">
        <v>7</v>
      </c>
      <c r="I45" s="151" t="s">
        <v>90</v>
      </c>
      <c r="J45" s="152" t="s">
        <v>98</v>
      </c>
      <c r="L45" s="152" t="s">
        <v>99</v>
      </c>
    </row>
    <row r="46" spans="2:12">
      <c r="B46" s="31">
        <v>1</v>
      </c>
      <c r="C46" s="148">
        <f t="shared" ref="C46:C75" si="4">J46/E46</f>
        <v>44.623182478205464</v>
      </c>
      <c r="D46" s="28">
        <v>0.45</v>
      </c>
      <c r="E46" s="29">
        <f>F46/D46</f>
        <v>25845.29770977407</v>
      </c>
      <c r="F46" s="30">
        <v>11630.383969398332</v>
      </c>
      <c r="G46" s="3"/>
      <c r="H46" s="3"/>
      <c r="I46" s="140">
        <v>11630.383969398332</v>
      </c>
      <c r="J46" s="143">
        <v>1153299.4359067942</v>
      </c>
      <c r="K46" s="150"/>
      <c r="L46" s="138">
        <v>18211.303178178663</v>
      </c>
    </row>
    <row r="47" spans="2:12">
      <c r="B47" s="25">
        <v>2</v>
      </c>
      <c r="C47" s="148">
        <f t="shared" si="4"/>
        <v>44.534114249706043</v>
      </c>
      <c r="D47" s="18">
        <f>D46</f>
        <v>0.45</v>
      </c>
      <c r="E47" s="29">
        <f t="shared" ref="E47:E75" si="5">F47/D47</f>
        <v>24429.497168797796</v>
      </c>
      <c r="F47" s="30">
        <v>10993.273725959009</v>
      </c>
      <c r="I47" s="11">
        <v>10993.273725959009</v>
      </c>
      <c r="J47" s="143">
        <v>1087946.0179781113</v>
      </c>
      <c r="L47" s="8">
        <v>17213.691419897481</v>
      </c>
    </row>
    <row r="48" spans="2:12">
      <c r="B48" s="25">
        <v>3</v>
      </c>
      <c r="C48" s="148">
        <f t="shared" si="4"/>
        <v>44.53411424970605</v>
      </c>
      <c r="D48" s="18">
        <f t="shared" ref="D48:D75" si="6">D47</f>
        <v>0.45</v>
      </c>
      <c r="E48" s="29">
        <f t="shared" si="5"/>
        <v>22393.562262018342</v>
      </c>
      <c r="F48" s="30">
        <v>10077.103017908254</v>
      </c>
      <c r="I48" s="11">
        <v>10077.103017908254</v>
      </c>
      <c r="J48" s="143">
        <v>997277.46023463074</v>
      </c>
      <c r="L48" s="8">
        <v>15779.116037762265</v>
      </c>
    </row>
    <row r="49" spans="2:12">
      <c r="B49" s="25">
        <v>4</v>
      </c>
      <c r="C49" s="148">
        <f t="shared" si="4"/>
        <v>44.534114249706043</v>
      </c>
      <c r="D49" s="18">
        <f t="shared" si="6"/>
        <v>0.45</v>
      </c>
      <c r="E49" s="29">
        <f t="shared" si="5"/>
        <v>21048.935779698953</v>
      </c>
      <c r="F49" s="30">
        <v>9472.0211008645292</v>
      </c>
      <c r="I49" s="11">
        <v>9472.0211008645292</v>
      </c>
      <c r="J49" s="143">
        <v>937395.71084783855</v>
      </c>
      <c r="L49" s="8">
        <v>14831.655466562666</v>
      </c>
    </row>
    <row r="50" spans="2:12">
      <c r="B50" s="25">
        <v>5</v>
      </c>
      <c r="C50" s="148">
        <f t="shared" si="4"/>
        <v>44.534114249706036</v>
      </c>
      <c r="D50" s="18">
        <f t="shared" si="6"/>
        <v>0.45</v>
      </c>
      <c r="E50" s="29">
        <f t="shared" si="5"/>
        <v>19894.587936832209</v>
      </c>
      <c r="F50" s="30">
        <v>8952.564571574494</v>
      </c>
      <c r="G50" s="3"/>
      <c r="H50" s="3"/>
      <c r="I50" s="140">
        <v>8952.564571574494</v>
      </c>
      <c r="J50" s="143">
        <v>885987.85212970909</v>
      </c>
      <c r="K50" s="3"/>
      <c r="L50" s="138">
        <v>14018.270425477504</v>
      </c>
    </row>
    <row r="51" spans="2:12">
      <c r="B51" s="25">
        <v>6</v>
      </c>
      <c r="C51" s="148">
        <f t="shared" si="4"/>
        <v>44.534114249706043</v>
      </c>
      <c r="D51" s="18">
        <f t="shared" si="6"/>
        <v>0.45</v>
      </c>
      <c r="E51" s="29">
        <f t="shared" si="5"/>
        <v>19683.388490869555</v>
      </c>
      <c r="F51" s="30">
        <v>8857.5248208912999</v>
      </c>
      <c r="I51" s="11">
        <v>8857.5248208912999</v>
      </c>
      <c r="J51" s="143">
        <v>876582.27187373373</v>
      </c>
      <c r="L51" s="8">
        <v>13869.453523281994</v>
      </c>
    </row>
    <row r="52" spans="2:12">
      <c r="B52" s="25">
        <v>7</v>
      </c>
      <c r="C52" s="148">
        <f t="shared" si="4"/>
        <v>44.534114249706043</v>
      </c>
      <c r="D52" s="18">
        <f t="shared" si="6"/>
        <v>0.45</v>
      </c>
      <c r="E52" s="29">
        <f t="shared" si="5"/>
        <v>19180.555646419612</v>
      </c>
      <c r="F52" s="30">
        <v>8631.2500408888263</v>
      </c>
      <c r="I52" s="11">
        <v>8631.2500408888263</v>
      </c>
      <c r="J52" s="143">
        <v>854189.05653049541</v>
      </c>
      <c r="L52" s="8">
        <v>13515.143757495827</v>
      </c>
    </row>
    <row r="53" spans="2:12">
      <c r="B53" s="25">
        <v>8</v>
      </c>
      <c r="C53" s="148">
        <f t="shared" si="4"/>
        <v>45.127902439702133</v>
      </c>
      <c r="D53" s="18">
        <f t="shared" si="6"/>
        <v>0.45</v>
      </c>
      <c r="E53" s="29">
        <f t="shared" si="5"/>
        <v>18704.187688519665</v>
      </c>
      <c r="F53" s="30">
        <v>8416.8844598338492</v>
      </c>
      <c r="I53" s="11">
        <v>8416.8844598338492</v>
      </c>
      <c r="J53" s="143">
        <v>844080.75722139317</v>
      </c>
      <c r="L53" s="8">
        <v>13179.481874119452</v>
      </c>
    </row>
    <row r="54" spans="2:12">
      <c r="B54" s="25">
        <v>9</v>
      </c>
      <c r="C54" s="148">
        <f t="shared" si="4"/>
        <v>46.315478819694292</v>
      </c>
      <c r="D54" s="18">
        <f t="shared" si="6"/>
        <v>0.45</v>
      </c>
      <c r="E54" s="29">
        <f t="shared" si="5"/>
        <v>18252.248856665876</v>
      </c>
      <c r="F54" s="30">
        <v>8213.5119854996447</v>
      </c>
      <c r="G54" s="3"/>
      <c r="H54" s="3"/>
      <c r="I54" s="140">
        <v>8213.5119854996447</v>
      </c>
      <c r="J54" s="143">
        <v>845361.64533269766</v>
      </c>
      <c r="K54" s="3"/>
      <c r="L54" s="138">
        <v>12861.033420659825</v>
      </c>
    </row>
    <row r="55" spans="2:12">
      <c r="B55" s="25">
        <v>10</v>
      </c>
      <c r="C55" s="148">
        <f t="shared" si="4"/>
        <v>47.50305519968645</v>
      </c>
      <c r="D55" s="18">
        <f t="shared" si="6"/>
        <v>0.45</v>
      </c>
      <c r="E55" s="29">
        <f t="shared" si="5"/>
        <v>17824.217781974814</v>
      </c>
      <c r="F55" s="30">
        <v>8020.8980018886668</v>
      </c>
      <c r="G55" s="3"/>
      <c r="H55" s="3"/>
      <c r="I55" s="140">
        <v>8020.8980018886668</v>
      </c>
      <c r="J55" s="143">
        <v>846704.80118838232</v>
      </c>
      <c r="K55" s="3"/>
      <c r="L55" s="138">
        <v>12559.431026351453</v>
      </c>
    </row>
    <row r="56" spans="2:12">
      <c r="B56" s="25">
        <v>11</v>
      </c>
      <c r="C56" s="148">
        <f t="shared" si="4"/>
        <v>47.503055199686457</v>
      </c>
      <c r="D56" s="18">
        <f t="shared" si="6"/>
        <v>0.45</v>
      </c>
      <c r="E56" s="29">
        <f t="shared" si="5"/>
        <v>17852.049366109051</v>
      </c>
      <c r="F56" s="30">
        <v>8033.4222147490727</v>
      </c>
      <c r="I56" s="11">
        <v>8033.4222147490727</v>
      </c>
      <c r="J56" s="143">
        <v>848026.88646580593</v>
      </c>
      <c r="L56" s="8">
        <v>12579.041921234117</v>
      </c>
    </row>
    <row r="57" spans="2:12">
      <c r="B57" s="25">
        <v>12</v>
      </c>
      <c r="C57" s="148">
        <f t="shared" si="4"/>
        <v>47.50305519968645</v>
      </c>
      <c r="D57" s="18">
        <f t="shared" si="6"/>
        <v>0.45</v>
      </c>
      <c r="E57" s="29">
        <f t="shared" si="5"/>
        <v>17877.702881694553</v>
      </c>
      <c r="F57" s="30">
        <v>8044.9662967625491</v>
      </c>
      <c r="I57" s="11">
        <v>8044.9662967625491</v>
      </c>
      <c r="J57" s="143">
        <v>849245.50683272991</v>
      </c>
      <c r="L57" s="8">
        <v>12597.118089485684</v>
      </c>
    </row>
    <row r="58" spans="2:12">
      <c r="B58" s="25">
        <v>13</v>
      </c>
      <c r="C58" s="148">
        <f t="shared" si="4"/>
        <v>47.503055199686429</v>
      </c>
      <c r="D58" s="18">
        <f t="shared" si="6"/>
        <v>0.45</v>
      </c>
      <c r="E58" s="29">
        <f t="shared" si="5"/>
        <v>17903.356397280055</v>
      </c>
      <c r="F58" s="30">
        <v>8056.5103787760245</v>
      </c>
      <c r="I58" s="11">
        <v>8056.5103787760245</v>
      </c>
      <c r="J58" s="143">
        <v>850464.12719965365</v>
      </c>
      <c r="L58" s="8">
        <v>12615.19425773725</v>
      </c>
    </row>
    <row r="59" spans="2:12">
      <c r="B59" s="25">
        <v>14</v>
      </c>
      <c r="C59" s="148">
        <f t="shared" si="4"/>
        <v>47.50305519968645</v>
      </c>
      <c r="D59" s="18">
        <f t="shared" si="6"/>
        <v>0.45</v>
      </c>
      <c r="E59" s="29">
        <f t="shared" si="5"/>
        <v>17929.009912865553</v>
      </c>
      <c r="F59" s="30">
        <v>8068.054460789499</v>
      </c>
      <c r="I59" s="11">
        <v>8068.054460789499</v>
      </c>
      <c r="J59" s="143">
        <v>851682.74756657786</v>
      </c>
      <c r="L59" s="8">
        <v>12633.270425988814</v>
      </c>
    </row>
    <row r="60" spans="2:12">
      <c r="B60" s="25">
        <v>15</v>
      </c>
      <c r="C60" s="148">
        <f t="shared" si="4"/>
        <v>47.503055199686443</v>
      </c>
      <c r="D60" s="18">
        <f t="shared" si="6"/>
        <v>0.45</v>
      </c>
      <c r="E60" s="29">
        <f t="shared" si="5"/>
        <v>17954.663428451055</v>
      </c>
      <c r="F60" s="30">
        <v>8079.5985428029744</v>
      </c>
      <c r="I60" s="11">
        <v>8079.5985428029744</v>
      </c>
      <c r="J60" s="143">
        <v>852901.36793350184</v>
      </c>
      <c r="L60" s="8">
        <v>12651.34659424038</v>
      </c>
    </row>
    <row r="61" spans="2:12">
      <c r="B61" s="25">
        <v>16</v>
      </c>
      <c r="C61" s="148">
        <f t="shared" si="4"/>
        <v>47.503055199686457</v>
      </c>
      <c r="D61" s="18">
        <f t="shared" si="6"/>
        <v>0.45</v>
      </c>
      <c r="E61" s="29">
        <f t="shared" si="5"/>
        <v>17975.13329836839</v>
      </c>
      <c r="F61" s="30">
        <v>8088.8099842657757</v>
      </c>
      <c r="I61" s="11">
        <v>8088.8099842657757</v>
      </c>
      <c r="J61" s="143">
        <v>853873.7492941157</v>
      </c>
      <c r="L61" s="8">
        <v>12665.770224073111</v>
      </c>
    </row>
    <row r="62" spans="2:12">
      <c r="B62" s="25">
        <v>17</v>
      </c>
      <c r="C62" s="148">
        <f t="shared" si="4"/>
        <v>47.503055199686443</v>
      </c>
      <c r="D62" s="18">
        <f t="shared" si="6"/>
        <v>0.45</v>
      </c>
      <c r="E62" s="29">
        <f t="shared" si="5"/>
        <v>17996.006986469074</v>
      </c>
      <c r="F62" s="30">
        <v>8098.2031439110833</v>
      </c>
      <c r="I62" s="11">
        <v>8098.2031439110833</v>
      </c>
      <c r="J62" s="143">
        <v>854865.31325218326</v>
      </c>
      <c r="L62" s="8">
        <v>12680.478395235114</v>
      </c>
    </row>
    <row r="63" spans="2:12">
      <c r="B63" s="25">
        <v>18</v>
      </c>
      <c r="C63" s="148">
        <f t="shared" si="4"/>
        <v>47.503055199686443</v>
      </c>
      <c r="D63" s="18">
        <f t="shared" si="6"/>
        <v>0.45</v>
      </c>
      <c r="E63" s="29">
        <f t="shared" si="5"/>
        <v>18016.880674569755</v>
      </c>
      <c r="F63" s="30">
        <v>8107.5963035563891</v>
      </c>
      <c r="I63" s="11">
        <v>8107.5963035563891</v>
      </c>
      <c r="J63" s="143">
        <v>855856.87721025094</v>
      </c>
      <c r="L63" s="8">
        <v>12695.186566397115</v>
      </c>
    </row>
    <row r="64" spans="2:12">
      <c r="B64" s="25">
        <v>19</v>
      </c>
      <c r="C64" s="148">
        <f t="shared" si="4"/>
        <v>47.503055199686457</v>
      </c>
      <c r="D64" s="18">
        <f t="shared" si="6"/>
        <v>0.45</v>
      </c>
      <c r="E64" s="29">
        <f t="shared" si="5"/>
        <v>18037.754362670425</v>
      </c>
      <c r="F64" s="30">
        <v>8116.9894632016913</v>
      </c>
      <c r="I64" s="11">
        <v>8116.9894632016913</v>
      </c>
      <c r="J64" s="143">
        <v>856848.44116831839</v>
      </c>
      <c r="L64" s="8">
        <v>12709.894737559109</v>
      </c>
    </row>
    <row r="65" spans="2:12">
      <c r="B65" s="25">
        <v>20</v>
      </c>
      <c r="C65" s="148">
        <f t="shared" si="4"/>
        <v>47.50305519968645</v>
      </c>
      <c r="D65" s="18">
        <f t="shared" si="6"/>
        <v>0.45</v>
      </c>
      <c r="E65" s="29">
        <f t="shared" si="5"/>
        <v>18058.628050771105</v>
      </c>
      <c r="F65" s="30">
        <v>8126.382622846997</v>
      </c>
      <c r="I65" s="11">
        <v>8126.382622846997</v>
      </c>
      <c r="J65" s="143">
        <v>857840.00512638595</v>
      </c>
      <c r="L65" s="8">
        <v>12724.60290872111</v>
      </c>
    </row>
    <row r="66" spans="2:12">
      <c r="B66" s="25">
        <v>21</v>
      </c>
      <c r="C66" s="148">
        <f t="shared" si="4"/>
        <v>47.503055199686443</v>
      </c>
      <c r="D66" s="18">
        <f t="shared" si="6"/>
        <v>0.45</v>
      </c>
      <c r="E66" s="29">
        <f t="shared" si="5"/>
        <v>18084.301438560615</v>
      </c>
      <c r="F66" s="30">
        <v>8137.9356473522766</v>
      </c>
      <c r="I66" s="11">
        <v>8137.9356473522766</v>
      </c>
      <c r="J66" s="143">
        <v>859059.56948371383</v>
      </c>
      <c r="L66" s="8">
        <v>12742.693079470773</v>
      </c>
    </row>
    <row r="67" spans="2:12">
      <c r="B67" s="25">
        <v>22</v>
      </c>
      <c r="C67" s="148">
        <f t="shared" si="4"/>
        <v>47.503055199686443</v>
      </c>
      <c r="D67" s="18">
        <f t="shared" si="6"/>
        <v>0.45</v>
      </c>
      <c r="E67" s="29">
        <f t="shared" si="5"/>
        <v>18102.12980513386</v>
      </c>
      <c r="F67" s="30">
        <v>8145.9584123102368</v>
      </c>
      <c r="I67" s="11">
        <v>8145.9584123102368</v>
      </c>
      <c r="J67" s="143">
        <v>859906.47136516299</v>
      </c>
      <c r="L67" s="8">
        <v>12755.25543384885</v>
      </c>
    </row>
    <row r="68" spans="2:12">
      <c r="B68" s="25">
        <v>23</v>
      </c>
      <c r="C68" s="148">
        <f t="shared" si="4"/>
        <v>47.50305519968645</v>
      </c>
      <c r="D68" s="18">
        <f t="shared" si="6"/>
        <v>0.45</v>
      </c>
      <c r="E68" s="29">
        <f t="shared" si="5"/>
        <v>18119.958171707105</v>
      </c>
      <c r="F68" s="30">
        <v>8153.9811772681978</v>
      </c>
      <c r="I68" s="11">
        <v>8153.9811772681978</v>
      </c>
      <c r="J68" s="143">
        <v>860753.37324661214</v>
      </c>
      <c r="L68" s="8">
        <v>12767.817788226928</v>
      </c>
    </row>
    <row r="69" spans="2:12">
      <c r="B69" s="25">
        <v>24</v>
      </c>
      <c r="C69" s="148">
        <f t="shared" si="4"/>
        <v>47.503055199686457</v>
      </c>
      <c r="D69" s="18">
        <f t="shared" si="6"/>
        <v>0.45</v>
      </c>
      <c r="E69" s="29">
        <f t="shared" si="5"/>
        <v>18137.78653828035</v>
      </c>
      <c r="F69" s="30">
        <v>8162.0039422261571</v>
      </c>
      <c r="G69" s="3"/>
      <c r="H69" s="3"/>
      <c r="I69" s="140">
        <v>8162.0039422261571</v>
      </c>
      <c r="J69" s="143">
        <v>861600.27512806142</v>
      </c>
      <c r="K69" s="3"/>
      <c r="L69" s="138">
        <v>12780.380142605003</v>
      </c>
    </row>
    <row r="70" spans="2:12">
      <c r="B70" s="25">
        <v>25</v>
      </c>
      <c r="C70" s="148">
        <f t="shared" si="4"/>
        <v>47.503055199686443</v>
      </c>
      <c r="D70" s="18">
        <f t="shared" si="6"/>
        <v>0.45</v>
      </c>
      <c r="E70" s="29">
        <f t="shared" si="5"/>
        <v>18155.614904853599</v>
      </c>
      <c r="F70" s="30">
        <v>8170.026707184119</v>
      </c>
      <c r="G70" s="3"/>
      <c r="H70" s="3"/>
      <c r="I70" s="140">
        <v>8170.026707184119</v>
      </c>
      <c r="J70" s="143">
        <v>862447.17700951046</v>
      </c>
      <c r="K70" s="3"/>
      <c r="L70" s="138">
        <v>12792.942496983082</v>
      </c>
    </row>
    <row r="71" spans="2:12">
      <c r="B71" s="25">
        <v>26</v>
      </c>
      <c r="C71" s="148">
        <f t="shared" si="4"/>
        <v>47.50305519968645</v>
      </c>
      <c r="D71" s="18">
        <f t="shared" si="6"/>
        <v>0.45</v>
      </c>
      <c r="E71" s="29">
        <f t="shared" si="5"/>
        <v>18181.288292643101</v>
      </c>
      <c r="F71" s="30">
        <v>8181.579731689395</v>
      </c>
      <c r="I71" s="11">
        <v>8181.579731689395</v>
      </c>
      <c r="J71" s="143">
        <v>863666.74136683822</v>
      </c>
      <c r="L71" s="8">
        <v>12811.032667732741</v>
      </c>
    </row>
    <row r="72" spans="2:12">
      <c r="B72" s="25">
        <v>27</v>
      </c>
      <c r="C72" s="148">
        <f t="shared" si="4"/>
        <v>47.50305519968645</v>
      </c>
      <c r="D72" s="18">
        <f t="shared" si="6"/>
        <v>0.45</v>
      </c>
      <c r="E72" s="29">
        <f t="shared" si="5"/>
        <v>18199.983912195046</v>
      </c>
      <c r="F72" s="30">
        <v>8189.9927604877703</v>
      </c>
      <c r="G72" s="3"/>
      <c r="H72" s="3"/>
      <c r="I72" s="140">
        <v>8189.9927604877703</v>
      </c>
      <c r="J72" s="143">
        <v>864554.84041440662</v>
      </c>
      <c r="K72" s="3"/>
      <c r="L72" s="138">
        <v>12824.206112263642</v>
      </c>
    </row>
    <row r="73" spans="2:12">
      <c r="B73" s="25">
        <v>28</v>
      </c>
      <c r="C73" s="148">
        <f t="shared" si="4"/>
        <v>47.503055199686457</v>
      </c>
      <c r="D73" s="18">
        <f t="shared" si="6"/>
        <v>0.45</v>
      </c>
      <c r="E73" s="29">
        <f t="shared" si="5"/>
        <v>18219.123094338331</v>
      </c>
      <c r="F73" s="30">
        <v>8198.6053924522494</v>
      </c>
      <c r="G73" s="3"/>
      <c r="H73" s="3"/>
      <c r="I73" s="140">
        <v>8198.6053924522494</v>
      </c>
      <c r="J73" s="143">
        <v>865464.01004023605</v>
      </c>
      <c r="K73" s="3"/>
      <c r="L73" s="138">
        <v>12837.692103119998</v>
      </c>
    </row>
    <row r="74" spans="2:12">
      <c r="B74" s="25">
        <v>29</v>
      </c>
      <c r="C74" s="148">
        <f t="shared" si="4"/>
        <v>47.503055199686472</v>
      </c>
      <c r="D74" s="18">
        <f t="shared" si="6"/>
        <v>0.45</v>
      </c>
      <c r="E74" s="29">
        <f t="shared" si="5"/>
        <v>18239.129529460311</v>
      </c>
      <c r="F74" s="30">
        <v>8207.6082882571409</v>
      </c>
      <c r="G74" s="3"/>
      <c r="H74" s="3"/>
      <c r="I74" s="140">
        <v>8207.6082882571409</v>
      </c>
      <c r="J74" s="143">
        <v>866414.37683218473</v>
      </c>
      <c r="K74" s="3"/>
      <c r="L74" s="138">
        <v>12851.789184129175</v>
      </c>
    </row>
    <row r="75" spans="2:12" ht="13.5" thickBot="1">
      <c r="B75" s="26">
        <v>30</v>
      </c>
      <c r="C75" s="148">
        <f t="shared" si="4"/>
        <v>47.503055199686457</v>
      </c>
      <c r="D75" s="18">
        <f t="shared" si="6"/>
        <v>0.45</v>
      </c>
      <c r="E75" s="29">
        <f t="shared" si="5"/>
        <v>18250</v>
      </c>
      <c r="F75" s="30">
        <v>8212.5</v>
      </c>
      <c r="G75" s="3"/>
      <c r="H75" s="3"/>
      <c r="I75" s="140">
        <v>8212.5</v>
      </c>
      <c r="J75" s="143">
        <v>866930.75739427784</v>
      </c>
      <c r="K75" s="3"/>
      <c r="L75" s="138">
        <v>12859.448814786585</v>
      </c>
    </row>
    <row r="77" spans="2:12">
      <c r="C77" s="9">
        <f>AVERAGE(C46:C75)</f>
        <v>46.694513614308455</v>
      </c>
      <c r="F77" s="9">
        <f>SUM(F46:F76)</f>
        <v>255846.14116559646</v>
      </c>
    </row>
  </sheetData>
  <mergeCells count="1">
    <mergeCell ref="B1:F1"/>
  </mergeCells>
  <phoneticPr fontId="12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B1:L73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7.85546875" style="2" customWidth="1"/>
    <col min="3" max="6" width="19.140625" style="2" customWidth="1"/>
    <col min="7" max="7" width="2.7109375" style="2" customWidth="1"/>
    <col min="8" max="8" width="11.5703125" style="2" customWidth="1"/>
    <col min="9" max="9" width="14.7109375" style="6" hidden="1" customWidth="1"/>
    <col min="10" max="10" width="12.85546875" style="2" hidden="1" customWidth="1"/>
    <col min="11" max="12" width="0" style="2" hidden="1" customWidth="1"/>
    <col min="13" max="16384" width="11.5703125" style="2"/>
  </cols>
  <sheetData>
    <row r="1" spans="2:11" s="1" customFormat="1" ht="30" customHeight="1">
      <c r="B1" s="1572" t="s">
        <v>51</v>
      </c>
      <c r="C1" s="1572"/>
      <c r="D1" s="1572"/>
      <c r="E1" s="1572"/>
      <c r="F1" s="1572"/>
      <c r="I1" s="139"/>
    </row>
    <row r="2" spans="2:11" ht="20.25" customHeight="1" thickBot="1">
      <c r="B2" s="89" t="s">
        <v>91</v>
      </c>
      <c r="C2" s="41"/>
      <c r="D2" s="41"/>
      <c r="E2" s="41"/>
      <c r="F2" s="134"/>
    </row>
    <row r="3" spans="2:11" ht="48" customHeight="1" thickBot="1">
      <c r="B3" s="413" t="s">
        <v>1</v>
      </c>
      <c r="C3" s="414" t="s">
        <v>17</v>
      </c>
      <c r="D3" s="49" t="s">
        <v>5</v>
      </c>
      <c r="E3" s="49" t="s">
        <v>6</v>
      </c>
      <c r="F3" s="49" t="s">
        <v>7</v>
      </c>
      <c r="I3" s="24" t="s">
        <v>92</v>
      </c>
    </row>
    <row r="4" spans="2:11" s="3" customFormat="1" ht="20.25" customHeight="1">
      <c r="B4" s="93">
        <v>1</v>
      </c>
      <c r="C4" s="94">
        <v>1628</v>
      </c>
      <c r="D4" s="105">
        <v>1.05</v>
      </c>
      <c r="E4" s="95">
        <f>K4/C4</f>
        <v>708.41488692063524</v>
      </c>
      <c r="F4" s="106">
        <f>E4*D4</f>
        <v>743.83563126666706</v>
      </c>
      <c r="I4" s="140">
        <v>778.49227965733564</v>
      </c>
      <c r="J4" s="141"/>
      <c r="K4" s="143">
        <f>'3 Vol'!C4</f>
        <v>1153299.4359067942</v>
      </c>
    </row>
    <row r="5" spans="2:11" ht="20.25" customHeight="1">
      <c r="B5" s="98">
        <v>2</v>
      </c>
      <c r="C5" s="94">
        <f>C4</f>
        <v>1628</v>
      </c>
      <c r="D5" s="107">
        <f>D4</f>
        <v>1.05</v>
      </c>
      <c r="E5" s="95">
        <f>K5/C5</f>
        <v>668.27150981456464</v>
      </c>
      <c r="F5" s="106">
        <f>E5*D5</f>
        <v>701.68508530529289</v>
      </c>
      <c r="I5" s="11">
        <v>735.84661919477924</v>
      </c>
      <c r="J5" s="142"/>
      <c r="K5" s="143">
        <f>'3 Vol'!C5</f>
        <v>1087946.0179781113</v>
      </c>
    </row>
    <row r="6" spans="2:11" ht="20.25" customHeight="1">
      <c r="B6" s="98">
        <v>3</v>
      </c>
      <c r="C6" s="94">
        <f t="shared" ref="C6:C33" si="0">C5</f>
        <v>1628</v>
      </c>
      <c r="D6" s="107">
        <f t="shared" ref="D6:D33" si="1">D5</f>
        <v>1.05</v>
      </c>
      <c r="E6" s="95">
        <f t="shared" ref="E6:E33" si="2">K6/C6</f>
        <v>612.57829252741442</v>
      </c>
      <c r="F6" s="106">
        <f t="shared" ref="F6:F33" si="3">E6*D6</f>
        <v>643.20720715378513</v>
      </c>
      <c r="I6" s="11">
        <v>674.52174591954167</v>
      </c>
      <c r="J6" s="142"/>
      <c r="K6" s="143">
        <f>'3 Vol'!C6</f>
        <v>997277.46023463074</v>
      </c>
    </row>
    <row r="7" spans="2:11" ht="20.25" customHeight="1">
      <c r="B7" s="98">
        <v>4</v>
      </c>
      <c r="C7" s="94">
        <f t="shared" si="0"/>
        <v>1628</v>
      </c>
      <c r="D7" s="107">
        <f t="shared" si="1"/>
        <v>1.05</v>
      </c>
      <c r="E7" s="95">
        <f t="shared" si="2"/>
        <v>575.79589118417596</v>
      </c>
      <c r="F7" s="106">
        <f t="shared" si="3"/>
        <v>604.58568574338483</v>
      </c>
      <c r="I7" s="11">
        <v>634.01993598633385</v>
      </c>
      <c r="J7" s="142"/>
      <c r="K7" s="143">
        <f>'3 Vol'!C7</f>
        <v>937395.71084783855</v>
      </c>
    </row>
    <row r="8" spans="2:11" s="3" customFormat="1" ht="20.25" customHeight="1">
      <c r="B8" s="98">
        <v>5</v>
      </c>
      <c r="C8" s="94">
        <f t="shared" si="0"/>
        <v>1628</v>
      </c>
      <c r="D8" s="107">
        <f t="shared" si="1"/>
        <v>1.05</v>
      </c>
      <c r="E8" s="95">
        <f t="shared" si="2"/>
        <v>544.2185823892562</v>
      </c>
      <c r="F8" s="106">
        <f t="shared" si="3"/>
        <v>571.42951150871909</v>
      </c>
      <c r="I8" s="140">
        <v>599.24955362114974</v>
      </c>
      <c r="J8" s="141"/>
      <c r="K8" s="143">
        <f>'3 Vol'!C8</f>
        <v>885987.85212970909</v>
      </c>
    </row>
    <row r="9" spans="2:11" ht="20.25" customHeight="1">
      <c r="B9" s="98">
        <v>6</v>
      </c>
      <c r="C9" s="94">
        <f t="shared" si="0"/>
        <v>1628</v>
      </c>
      <c r="D9" s="107">
        <f t="shared" si="1"/>
        <v>1.05</v>
      </c>
      <c r="E9" s="95">
        <f t="shared" si="2"/>
        <v>538.44119893963989</v>
      </c>
      <c r="F9" s="106">
        <f t="shared" si="3"/>
        <v>565.36325888662191</v>
      </c>
      <c r="I9" s="11">
        <v>592.88796552895087</v>
      </c>
      <c r="J9" s="142"/>
      <c r="K9" s="143">
        <f>'3 Vol'!C9</f>
        <v>876582.27187373373</v>
      </c>
    </row>
    <row r="10" spans="2:11" ht="20.25" customHeight="1">
      <c r="B10" s="98">
        <v>7</v>
      </c>
      <c r="C10" s="94">
        <f t="shared" si="0"/>
        <v>1628</v>
      </c>
      <c r="D10" s="107">
        <f t="shared" si="1"/>
        <v>1.05</v>
      </c>
      <c r="E10" s="95">
        <f t="shared" si="2"/>
        <v>524.6861526600095</v>
      </c>
      <c r="F10" s="106">
        <f t="shared" si="3"/>
        <v>550.92046029301002</v>
      </c>
      <c r="I10" s="11">
        <v>577.74201937819794</v>
      </c>
      <c r="J10" s="142"/>
      <c r="K10" s="143">
        <f>'3 Vol'!C10</f>
        <v>854189.05653049541</v>
      </c>
    </row>
    <row r="11" spans="2:11" ht="20.25" customHeight="1">
      <c r="B11" s="98">
        <v>8</v>
      </c>
      <c r="C11" s="94">
        <f t="shared" si="0"/>
        <v>1628</v>
      </c>
      <c r="D11" s="107">
        <f t="shared" si="1"/>
        <v>1.05</v>
      </c>
      <c r="E11" s="95">
        <f t="shared" si="2"/>
        <v>518.47712360036439</v>
      </c>
      <c r="F11" s="106">
        <f t="shared" si="3"/>
        <v>544.40097978038261</v>
      </c>
      <c r="I11" s="11">
        <v>563.39322828801073</v>
      </c>
      <c r="J11" s="142"/>
      <c r="K11" s="143">
        <f>'3 Vol'!C11</f>
        <v>844080.75722139317</v>
      </c>
    </row>
    <row r="12" spans="2:11" s="3" customFormat="1" ht="20.25" customHeight="1">
      <c r="B12" s="98">
        <v>9</v>
      </c>
      <c r="C12" s="94">
        <f t="shared" si="0"/>
        <v>1628</v>
      </c>
      <c r="D12" s="107">
        <f t="shared" si="1"/>
        <v>1.05</v>
      </c>
      <c r="E12" s="95">
        <f t="shared" si="2"/>
        <v>519.2639099095195</v>
      </c>
      <c r="F12" s="106">
        <f t="shared" si="3"/>
        <v>545.22710540499554</v>
      </c>
      <c r="I12" s="140">
        <v>549.78027263834633</v>
      </c>
      <c r="J12" s="141"/>
      <c r="K12" s="143">
        <f>'3 Vol'!C12</f>
        <v>845361.64533269766</v>
      </c>
    </row>
    <row r="13" spans="2:11" s="3" customFormat="1" ht="20.25" customHeight="1">
      <c r="B13" s="98">
        <v>10</v>
      </c>
      <c r="C13" s="94">
        <f t="shared" si="0"/>
        <v>1628</v>
      </c>
      <c r="D13" s="107">
        <f t="shared" si="1"/>
        <v>1.05</v>
      </c>
      <c r="E13" s="95">
        <f t="shared" si="2"/>
        <v>520.08894421890807</v>
      </c>
      <c r="F13" s="106">
        <f t="shared" si="3"/>
        <v>546.09339142985345</v>
      </c>
      <c r="I13" s="140">
        <v>536.88744815467214</v>
      </c>
      <c r="J13" s="141"/>
      <c r="K13" s="143">
        <f>'3 Vol'!C13</f>
        <v>846704.80118838232</v>
      </c>
    </row>
    <row r="14" spans="2:11" ht="20.25" customHeight="1">
      <c r="B14" s="98">
        <v>11</v>
      </c>
      <c r="C14" s="94">
        <f t="shared" si="0"/>
        <v>1628</v>
      </c>
      <c r="D14" s="107">
        <f t="shared" si="1"/>
        <v>1.05</v>
      </c>
      <c r="E14" s="95">
        <f t="shared" si="2"/>
        <v>520.90103591265722</v>
      </c>
      <c r="F14" s="106">
        <f t="shared" si="3"/>
        <v>546.94608770829007</v>
      </c>
      <c r="I14" s="11">
        <v>537.72576983401348</v>
      </c>
      <c r="J14" s="142"/>
      <c r="K14" s="143">
        <f>'3 Vol'!C14</f>
        <v>848026.88646580593</v>
      </c>
    </row>
    <row r="15" spans="2:11" ht="20.25" customHeight="1">
      <c r="B15" s="98">
        <v>12</v>
      </c>
      <c r="C15" s="94">
        <f t="shared" si="0"/>
        <v>1628</v>
      </c>
      <c r="D15" s="107">
        <f t="shared" si="1"/>
        <v>1.05</v>
      </c>
      <c r="E15" s="95">
        <f t="shared" si="2"/>
        <v>521.64957422157852</v>
      </c>
      <c r="F15" s="106">
        <f t="shared" si="3"/>
        <v>547.73205293265744</v>
      </c>
      <c r="I15" s="11">
        <v>538.4984853992836</v>
      </c>
      <c r="J15" s="142"/>
      <c r="K15" s="143">
        <f>'3 Vol'!C15</f>
        <v>849245.50683272991</v>
      </c>
    </row>
    <row r="16" spans="2:11" ht="20.25" customHeight="1">
      <c r="B16" s="98">
        <v>13</v>
      </c>
      <c r="C16" s="94">
        <f t="shared" si="0"/>
        <v>1628</v>
      </c>
      <c r="D16" s="107">
        <f t="shared" si="1"/>
        <v>1.05</v>
      </c>
      <c r="E16" s="95">
        <f t="shared" si="2"/>
        <v>522.39811253049982</v>
      </c>
      <c r="F16" s="106">
        <f t="shared" si="3"/>
        <v>548.51801815702481</v>
      </c>
      <c r="I16" s="11">
        <v>539.27120096455371</v>
      </c>
      <c r="J16" s="142"/>
      <c r="K16" s="143">
        <f>'3 Vol'!C16</f>
        <v>850464.12719965365</v>
      </c>
    </row>
    <row r="17" spans="2:11" ht="20.25" customHeight="1">
      <c r="B17" s="98">
        <v>14</v>
      </c>
      <c r="C17" s="94">
        <f t="shared" si="0"/>
        <v>1628</v>
      </c>
      <c r="D17" s="107">
        <f t="shared" si="1"/>
        <v>1.05</v>
      </c>
      <c r="E17" s="95">
        <f t="shared" si="2"/>
        <v>523.14665083942134</v>
      </c>
      <c r="F17" s="106">
        <f t="shared" si="3"/>
        <v>549.30398338139241</v>
      </c>
      <c r="I17" s="11">
        <v>540.04391652982372</v>
      </c>
      <c r="J17" s="142"/>
      <c r="K17" s="143">
        <f>'3 Vol'!C17</f>
        <v>851682.74756657786</v>
      </c>
    </row>
    <row r="18" spans="2:11" ht="20.25" customHeight="1">
      <c r="B18" s="98">
        <v>15</v>
      </c>
      <c r="C18" s="94">
        <f t="shared" si="0"/>
        <v>1628</v>
      </c>
      <c r="D18" s="107">
        <f t="shared" si="1"/>
        <v>1.05</v>
      </c>
      <c r="E18" s="95">
        <f t="shared" si="2"/>
        <v>523.89518914834264</v>
      </c>
      <c r="F18" s="106">
        <f t="shared" si="3"/>
        <v>550.08994860575979</v>
      </c>
      <c r="I18" s="11">
        <v>540.81663209509384</v>
      </c>
      <c r="J18" s="142"/>
      <c r="K18" s="143">
        <f>'3 Vol'!C18</f>
        <v>852901.36793350184</v>
      </c>
    </row>
    <row r="19" spans="2:11" ht="20.25" customHeight="1">
      <c r="B19" s="98">
        <v>16</v>
      </c>
      <c r="C19" s="94">
        <f t="shared" si="0"/>
        <v>1628</v>
      </c>
      <c r="D19" s="107">
        <f t="shared" si="1"/>
        <v>1.05</v>
      </c>
      <c r="E19" s="95">
        <f t="shared" si="2"/>
        <v>524.49247499638557</v>
      </c>
      <c r="F19" s="106">
        <f t="shared" si="3"/>
        <v>550.7170987462049</v>
      </c>
      <c r="I19" s="11">
        <v>541.43320985230071</v>
      </c>
      <c r="J19" s="142"/>
      <c r="K19" s="143">
        <f>'3 Vol'!C19</f>
        <v>853873.7492941157</v>
      </c>
    </row>
    <row r="20" spans="2:11" ht="20.25" customHeight="1">
      <c r="B20" s="98">
        <v>17</v>
      </c>
      <c r="C20" s="94">
        <f t="shared" si="0"/>
        <v>1628</v>
      </c>
      <c r="D20" s="107">
        <f t="shared" si="1"/>
        <v>1.05</v>
      </c>
      <c r="E20" s="95">
        <f t="shared" si="2"/>
        <v>525.10154376669732</v>
      </c>
      <c r="F20" s="106">
        <f t="shared" si="3"/>
        <v>551.35662095503221</v>
      </c>
      <c r="I20" s="11">
        <v>542.06195111180693</v>
      </c>
      <c r="J20" s="142"/>
      <c r="K20" s="143">
        <f>'3 Vol'!C20</f>
        <v>854865.31325218326</v>
      </c>
    </row>
    <row r="21" spans="2:11" ht="20.25" customHeight="1">
      <c r="B21" s="98">
        <v>18</v>
      </c>
      <c r="C21" s="94">
        <f t="shared" si="0"/>
        <v>1628</v>
      </c>
      <c r="D21" s="107">
        <f t="shared" si="1"/>
        <v>1.05</v>
      </c>
      <c r="E21" s="95">
        <f t="shared" si="2"/>
        <v>525.71061253700918</v>
      </c>
      <c r="F21" s="106">
        <f t="shared" si="3"/>
        <v>551.99614316385964</v>
      </c>
      <c r="I21" s="11">
        <v>542.69069237131305</v>
      </c>
      <c r="J21" s="142"/>
      <c r="K21" s="143">
        <f>'3 Vol'!C21</f>
        <v>855856.87721025094</v>
      </c>
    </row>
    <row r="22" spans="2:11" ht="20.25" customHeight="1">
      <c r="B22" s="98">
        <v>19</v>
      </c>
      <c r="C22" s="94">
        <f t="shared" si="0"/>
        <v>1628</v>
      </c>
      <c r="D22" s="107">
        <f t="shared" si="1"/>
        <v>1.05</v>
      </c>
      <c r="E22" s="95">
        <f t="shared" si="2"/>
        <v>526.31968130732082</v>
      </c>
      <c r="F22" s="106">
        <f t="shared" si="3"/>
        <v>552.63566537268684</v>
      </c>
      <c r="I22" s="11">
        <v>543.31943363081893</v>
      </c>
      <c r="J22" s="142"/>
      <c r="K22" s="143">
        <f>'3 Vol'!C22</f>
        <v>856848.44116831839</v>
      </c>
    </row>
    <row r="23" spans="2:11" ht="20.25" customHeight="1">
      <c r="B23" s="98">
        <v>20</v>
      </c>
      <c r="C23" s="94">
        <f t="shared" si="0"/>
        <v>1628</v>
      </c>
      <c r="D23" s="107">
        <f t="shared" si="1"/>
        <v>1.05</v>
      </c>
      <c r="E23" s="95">
        <f t="shared" si="2"/>
        <v>526.92875007763269</v>
      </c>
      <c r="F23" s="106">
        <f t="shared" si="3"/>
        <v>553.27518758151439</v>
      </c>
      <c r="I23" s="11">
        <v>543.94817489032505</v>
      </c>
      <c r="J23" s="142"/>
      <c r="K23" s="143">
        <f>'3 Vol'!C23</f>
        <v>857840.00512638595</v>
      </c>
    </row>
    <row r="24" spans="2:11" ht="20.25" customHeight="1">
      <c r="B24" s="98">
        <v>21</v>
      </c>
      <c r="C24" s="94">
        <f t="shared" si="0"/>
        <v>1628</v>
      </c>
      <c r="D24" s="107">
        <f t="shared" si="1"/>
        <v>1.05</v>
      </c>
      <c r="E24" s="95">
        <f t="shared" si="2"/>
        <v>527.67786823323945</v>
      </c>
      <c r="F24" s="106">
        <f t="shared" si="3"/>
        <v>554.06176164490148</v>
      </c>
      <c r="I24" s="11">
        <v>544.72148903091716</v>
      </c>
      <c r="J24" s="142"/>
      <c r="K24" s="143">
        <f>'3 Vol'!C24</f>
        <v>859059.56948371383</v>
      </c>
    </row>
    <row r="25" spans="2:11" ht="20.25" customHeight="1">
      <c r="B25" s="98">
        <v>22</v>
      </c>
      <c r="C25" s="94">
        <f t="shared" si="0"/>
        <v>1628</v>
      </c>
      <c r="D25" s="107">
        <f t="shared" si="1"/>
        <v>1.05</v>
      </c>
      <c r="E25" s="95">
        <f t="shared" si="2"/>
        <v>528.19807823412964</v>
      </c>
      <c r="F25" s="106">
        <f t="shared" si="3"/>
        <v>554.6079821458361</v>
      </c>
      <c r="I25" s="11">
        <v>545.25850144578772</v>
      </c>
      <c r="J25" s="142"/>
      <c r="K25" s="143">
        <f>'3 Vol'!C25</f>
        <v>859906.47136516299</v>
      </c>
    </row>
    <row r="26" spans="2:11" ht="20.25" customHeight="1">
      <c r="B26" s="98">
        <v>23</v>
      </c>
      <c r="C26" s="94">
        <f t="shared" si="0"/>
        <v>1628</v>
      </c>
      <c r="D26" s="107">
        <f t="shared" si="1"/>
        <v>1.05</v>
      </c>
      <c r="E26" s="95">
        <f t="shared" si="2"/>
        <v>528.71828823501971</v>
      </c>
      <c r="F26" s="106">
        <f t="shared" si="3"/>
        <v>555.15420264677073</v>
      </c>
      <c r="I26" s="11">
        <v>545.79551386065828</v>
      </c>
      <c r="J26" s="142"/>
      <c r="K26" s="143">
        <f>'3 Vol'!C26</f>
        <v>860753.37324661214</v>
      </c>
    </row>
    <row r="27" spans="2:11" s="3" customFormat="1" ht="20.25" customHeight="1">
      <c r="B27" s="98">
        <v>24</v>
      </c>
      <c r="C27" s="94">
        <f t="shared" si="0"/>
        <v>1628</v>
      </c>
      <c r="D27" s="107">
        <f t="shared" si="1"/>
        <v>1.05</v>
      </c>
      <c r="E27" s="95">
        <f t="shared" si="2"/>
        <v>529.23849823591001</v>
      </c>
      <c r="F27" s="106">
        <f t="shared" si="3"/>
        <v>555.70042314770558</v>
      </c>
      <c r="I27" s="140">
        <v>546.33252627552861</v>
      </c>
      <c r="J27" s="141"/>
      <c r="K27" s="143">
        <f>'3 Vol'!C27</f>
        <v>861600.27512806142</v>
      </c>
    </row>
    <row r="28" spans="2:11" s="3" customFormat="1" ht="20.25" customHeight="1">
      <c r="B28" s="98">
        <v>25</v>
      </c>
      <c r="C28" s="94">
        <f t="shared" si="0"/>
        <v>1628</v>
      </c>
      <c r="D28" s="107">
        <f t="shared" si="1"/>
        <v>1.05</v>
      </c>
      <c r="E28" s="95">
        <f t="shared" si="2"/>
        <v>529.75870823680009</v>
      </c>
      <c r="F28" s="106">
        <f t="shared" si="3"/>
        <v>556.24664364864009</v>
      </c>
      <c r="I28" s="140">
        <v>546.86953869039917</v>
      </c>
      <c r="J28" s="141"/>
      <c r="K28" s="143">
        <f>'3 Vol'!C28</f>
        <v>862447.17700951046</v>
      </c>
    </row>
    <row r="29" spans="2:11" ht="20.25" customHeight="1">
      <c r="B29" s="98">
        <v>26</v>
      </c>
      <c r="C29" s="94">
        <f t="shared" si="0"/>
        <v>1628</v>
      </c>
      <c r="D29" s="107">
        <f t="shared" si="1"/>
        <v>1.05</v>
      </c>
      <c r="E29" s="95">
        <f t="shared" si="2"/>
        <v>530.50782639240674</v>
      </c>
      <c r="F29" s="106">
        <f t="shared" si="3"/>
        <v>557.03321771202707</v>
      </c>
      <c r="I29" s="11">
        <v>547.64285283099116</v>
      </c>
      <c r="J29" s="142"/>
      <c r="K29" s="143">
        <f>'3 Vol'!C29</f>
        <v>863666.74136683822</v>
      </c>
    </row>
    <row r="30" spans="2:11" s="3" customFormat="1" ht="20.25" customHeight="1">
      <c r="B30" s="98">
        <v>27</v>
      </c>
      <c r="C30" s="94">
        <f t="shared" si="0"/>
        <v>1628</v>
      </c>
      <c r="D30" s="107">
        <f t="shared" si="1"/>
        <v>1.05</v>
      </c>
      <c r="E30" s="95">
        <f t="shared" si="2"/>
        <v>531.05334177789109</v>
      </c>
      <c r="F30" s="106">
        <f t="shared" si="3"/>
        <v>557.60600886678571</v>
      </c>
      <c r="I30" s="140">
        <v>548.20598797642594</v>
      </c>
      <c r="J30" s="141"/>
      <c r="K30" s="143">
        <f>'3 Vol'!C30</f>
        <v>864554.84041440662</v>
      </c>
    </row>
    <row r="31" spans="2:11" s="3" customFormat="1" ht="20.25" customHeight="1">
      <c r="B31" s="98">
        <v>28</v>
      </c>
      <c r="C31" s="94">
        <f t="shared" si="0"/>
        <v>1628</v>
      </c>
      <c r="D31" s="107">
        <f t="shared" si="1"/>
        <v>1.05</v>
      </c>
      <c r="E31" s="95">
        <f t="shared" si="2"/>
        <v>531.61179977901475</v>
      </c>
      <c r="F31" s="106">
        <f t="shared" si="3"/>
        <v>558.19238976796555</v>
      </c>
      <c r="I31" s="140">
        <v>548.78248377480361</v>
      </c>
      <c r="J31" s="141"/>
      <c r="K31" s="143">
        <f>'3 Vol'!C31</f>
        <v>865464.01004023605</v>
      </c>
    </row>
    <row r="32" spans="2:11" s="3" customFormat="1" ht="20.25" customHeight="1">
      <c r="B32" s="98">
        <v>29</v>
      </c>
      <c r="C32" s="94">
        <f t="shared" si="0"/>
        <v>1628</v>
      </c>
      <c r="D32" s="107">
        <f t="shared" si="1"/>
        <v>1.05</v>
      </c>
      <c r="E32" s="95">
        <f t="shared" si="2"/>
        <v>532.19556316473268</v>
      </c>
      <c r="F32" s="106">
        <f t="shared" si="3"/>
        <v>558.8053413229693</v>
      </c>
      <c r="I32" s="140">
        <v>549.3851023037455</v>
      </c>
      <c r="J32" s="141"/>
      <c r="K32" s="143">
        <f>'3 Vol'!C32</f>
        <v>866414.37683218473</v>
      </c>
    </row>
    <row r="33" spans="2:12" s="3" customFormat="1" ht="20.25" customHeight="1" thickBot="1">
      <c r="B33" s="100">
        <v>30</v>
      </c>
      <c r="C33" s="377">
        <f t="shared" si="0"/>
        <v>1628</v>
      </c>
      <c r="D33" s="369">
        <f t="shared" si="1"/>
        <v>1.05</v>
      </c>
      <c r="E33" s="370">
        <f t="shared" si="2"/>
        <v>532.51275024218546</v>
      </c>
      <c r="F33" s="371">
        <f t="shared" si="3"/>
        <v>559.13838775429474</v>
      </c>
      <c r="I33" s="140">
        <v>549.71253429878061</v>
      </c>
      <c r="J33" s="141"/>
      <c r="K33" s="143">
        <f>'3 Vol'!C33</f>
        <v>866930.75739427784</v>
      </c>
    </row>
    <row r="35" spans="2:12">
      <c r="F35" s="9">
        <f>SUM(F4:F34)</f>
        <v>17085.865482035031</v>
      </c>
    </row>
    <row r="40" spans="2:12" ht="13.5" thickBot="1">
      <c r="B40" s="5" t="s">
        <v>91</v>
      </c>
      <c r="F40" s="7"/>
    </row>
    <row r="41" spans="2:12" ht="26.25" thickBot="1">
      <c r="B41" s="38" t="s">
        <v>1</v>
      </c>
      <c r="C41" s="37" t="s">
        <v>17</v>
      </c>
      <c r="D41" s="24" t="s">
        <v>5</v>
      </c>
      <c r="E41" s="24" t="s">
        <v>6</v>
      </c>
      <c r="F41" s="24" t="s">
        <v>7</v>
      </c>
      <c r="I41" s="24" t="s">
        <v>92</v>
      </c>
    </row>
    <row r="42" spans="2:12">
      <c r="B42" s="31">
        <v>1</v>
      </c>
      <c r="C42" s="145">
        <f>K42/E42</f>
        <v>1555.5252625435887</v>
      </c>
      <c r="D42" s="28">
        <v>1.05</v>
      </c>
      <c r="E42" s="29">
        <f>F42/D42</f>
        <v>741.421218721272</v>
      </c>
      <c r="F42" s="30">
        <f>I42</f>
        <v>778.49227965733564</v>
      </c>
      <c r="G42" s="3"/>
      <c r="H42" s="3"/>
      <c r="I42" s="140">
        <v>778.49227965733564</v>
      </c>
      <c r="J42" s="141"/>
      <c r="K42" s="143">
        <v>1153299.4359067942</v>
      </c>
      <c r="L42" s="3"/>
    </row>
    <row r="43" spans="2:12">
      <c r="B43" s="25">
        <v>2</v>
      </c>
      <c r="C43" s="145">
        <f t="shared" ref="C43:C71" si="4">K43/E43</f>
        <v>1552.4204217001879</v>
      </c>
      <c r="D43" s="18">
        <f>D42</f>
        <v>1.05</v>
      </c>
      <c r="E43" s="29">
        <f t="shared" ref="E43:E71" si="5">F43/D43</f>
        <v>700.80630399502786</v>
      </c>
      <c r="F43" s="30">
        <f t="shared" ref="F43:F71" si="6">I43</f>
        <v>735.84661919477924</v>
      </c>
      <c r="I43" s="11">
        <v>735.84661919477924</v>
      </c>
      <c r="J43" s="142"/>
      <c r="K43" s="143">
        <v>1087946.0179781113</v>
      </c>
    </row>
    <row r="44" spans="2:12">
      <c r="B44" s="25">
        <v>3</v>
      </c>
      <c r="C44" s="145">
        <f t="shared" si="4"/>
        <v>1552.4204217001886</v>
      </c>
      <c r="D44" s="18">
        <f t="shared" ref="D44:D71" si="7">D43</f>
        <v>1.05</v>
      </c>
      <c r="E44" s="29">
        <f t="shared" si="5"/>
        <v>642.40166278051584</v>
      </c>
      <c r="F44" s="30">
        <f t="shared" si="6"/>
        <v>674.52174591954167</v>
      </c>
      <c r="I44" s="11">
        <v>674.52174591954167</v>
      </c>
      <c r="J44" s="142"/>
      <c r="K44" s="143">
        <v>997277.46023463074</v>
      </c>
    </row>
    <row r="45" spans="2:12">
      <c r="B45" s="25">
        <v>4</v>
      </c>
      <c r="C45" s="145">
        <f t="shared" si="4"/>
        <v>1552.4204217001877</v>
      </c>
      <c r="D45" s="18">
        <f t="shared" si="7"/>
        <v>1.05</v>
      </c>
      <c r="E45" s="29">
        <f t="shared" si="5"/>
        <v>603.82851046317512</v>
      </c>
      <c r="F45" s="30">
        <f t="shared" si="6"/>
        <v>634.01993598633385</v>
      </c>
      <c r="I45" s="11">
        <v>634.01993598633385</v>
      </c>
      <c r="J45" s="142"/>
      <c r="K45" s="143">
        <v>937395.71084783855</v>
      </c>
    </row>
    <row r="46" spans="2:12">
      <c r="B46" s="25">
        <v>5</v>
      </c>
      <c r="C46" s="144">
        <f t="shared" si="4"/>
        <v>1552.4204217001879</v>
      </c>
      <c r="D46" s="18">
        <f t="shared" si="7"/>
        <v>1.05</v>
      </c>
      <c r="E46" s="29">
        <f t="shared" si="5"/>
        <v>570.71386059157112</v>
      </c>
      <c r="F46" s="30">
        <f t="shared" si="6"/>
        <v>599.24955362114974</v>
      </c>
      <c r="G46" s="3"/>
      <c r="H46" s="3"/>
      <c r="I46" s="140">
        <v>599.24955362114974</v>
      </c>
      <c r="J46" s="141"/>
      <c r="K46" s="143">
        <v>885987.85212970909</v>
      </c>
      <c r="L46" s="3"/>
    </row>
    <row r="47" spans="2:12">
      <c r="B47" s="25">
        <v>6</v>
      </c>
      <c r="C47" s="144">
        <f t="shared" si="4"/>
        <v>1552.4204217001879</v>
      </c>
      <c r="D47" s="18">
        <f t="shared" si="7"/>
        <v>1.05</v>
      </c>
      <c r="E47" s="29">
        <f t="shared" si="5"/>
        <v>564.65520526566752</v>
      </c>
      <c r="F47" s="30">
        <f t="shared" si="6"/>
        <v>592.88796552895087</v>
      </c>
      <c r="I47" s="11">
        <v>592.88796552895087</v>
      </c>
      <c r="J47" s="142"/>
      <c r="K47" s="143">
        <v>876582.27187373373</v>
      </c>
    </row>
    <row r="48" spans="2:12">
      <c r="B48" s="25">
        <v>7</v>
      </c>
      <c r="C48" s="144">
        <f t="shared" si="4"/>
        <v>1552.4204217001879</v>
      </c>
      <c r="D48" s="18">
        <f t="shared" si="7"/>
        <v>1.05</v>
      </c>
      <c r="E48" s="29">
        <f t="shared" si="5"/>
        <v>550.23049464590281</v>
      </c>
      <c r="F48" s="30">
        <f t="shared" si="6"/>
        <v>577.74201937819794</v>
      </c>
      <c r="I48" s="11">
        <v>577.74201937819794</v>
      </c>
      <c r="J48" s="142"/>
      <c r="K48" s="143">
        <v>854189.05653049541</v>
      </c>
    </row>
    <row r="49" spans="2:12">
      <c r="B49" s="25">
        <v>8</v>
      </c>
      <c r="C49" s="144">
        <f t="shared" si="4"/>
        <v>1573.119360656191</v>
      </c>
      <c r="D49" s="18">
        <f t="shared" si="7"/>
        <v>1.05</v>
      </c>
      <c r="E49" s="29">
        <f t="shared" si="5"/>
        <v>536.56497932191496</v>
      </c>
      <c r="F49" s="30">
        <f t="shared" si="6"/>
        <v>563.39322828801073</v>
      </c>
      <c r="I49" s="11">
        <v>563.39322828801073</v>
      </c>
      <c r="J49" s="142"/>
      <c r="K49" s="143">
        <v>844080.75722139317</v>
      </c>
    </row>
    <row r="50" spans="2:12">
      <c r="B50" s="25">
        <v>9</v>
      </c>
      <c r="C50" s="144">
        <f t="shared" si="4"/>
        <v>1614.5172385681956</v>
      </c>
      <c r="D50" s="18">
        <f t="shared" si="7"/>
        <v>1.05</v>
      </c>
      <c r="E50" s="29">
        <f t="shared" si="5"/>
        <v>523.60025965556792</v>
      </c>
      <c r="F50" s="30">
        <f t="shared" si="6"/>
        <v>549.78027263834633</v>
      </c>
      <c r="G50" s="3"/>
      <c r="H50" s="3"/>
      <c r="I50" s="140">
        <v>549.78027263834633</v>
      </c>
      <c r="J50" s="141"/>
      <c r="K50" s="143">
        <v>845361.64533269766</v>
      </c>
      <c r="L50" s="3"/>
    </row>
    <row r="51" spans="2:12">
      <c r="B51" s="25">
        <v>10</v>
      </c>
      <c r="C51" s="144">
        <f t="shared" si="4"/>
        <v>1655.9151164802004</v>
      </c>
      <c r="D51" s="18">
        <f t="shared" si="7"/>
        <v>1.05</v>
      </c>
      <c r="E51" s="29">
        <f t="shared" si="5"/>
        <v>511.32137919492584</v>
      </c>
      <c r="F51" s="30">
        <f t="shared" si="6"/>
        <v>536.88744815467214</v>
      </c>
      <c r="G51" s="3"/>
      <c r="H51" s="3"/>
      <c r="I51" s="140">
        <v>536.88744815467214</v>
      </c>
      <c r="J51" s="141"/>
      <c r="K51" s="143">
        <v>846704.80118838232</v>
      </c>
      <c r="L51" s="3"/>
    </row>
    <row r="52" spans="2:12">
      <c r="B52" s="25">
        <v>11</v>
      </c>
      <c r="C52" s="144">
        <f t="shared" si="4"/>
        <v>1655.915116480201</v>
      </c>
      <c r="D52" s="18">
        <f t="shared" si="7"/>
        <v>1.05</v>
      </c>
      <c r="E52" s="29">
        <f t="shared" si="5"/>
        <v>512.11978079429855</v>
      </c>
      <c r="F52" s="30">
        <f t="shared" si="6"/>
        <v>537.72576983401348</v>
      </c>
      <c r="I52" s="11">
        <v>537.72576983401348</v>
      </c>
      <c r="J52" s="142"/>
      <c r="K52" s="143">
        <v>848026.88646580593</v>
      </c>
    </row>
    <row r="53" spans="2:12">
      <c r="B53" s="25">
        <v>12</v>
      </c>
      <c r="C53" s="144">
        <f t="shared" si="4"/>
        <v>1655.915116480201</v>
      </c>
      <c r="D53" s="18">
        <f t="shared" si="7"/>
        <v>1.05</v>
      </c>
      <c r="E53" s="29">
        <f t="shared" si="5"/>
        <v>512.85570038027004</v>
      </c>
      <c r="F53" s="30">
        <f t="shared" si="6"/>
        <v>538.4984853992836</v>
      </c>
      <c r="I53" s="11">
        <v>538.4984853992836</v>
      </c>
      <c r="J53" s="142"/>
      <c r="K53" s="143">
        <v>849245.50683272991</v>
      </c>
    </row>
    <row r="54" spans="2:12">
      <c r="B54" s="25">
        <v>13</v>
      </c>
      <c r="C54" s="144">
        <f t="shared" si="4"/>
        <v>1655.9151164802001</v>
      </c>
      <c r="D54" s="18">
        <f t="shared" si="7"/>
        <v>1.05</v>
      </c>
      <c r="E54" s="29">
        <f t="shared" si="5"/>
        <v>513.59161996624164</v>
      </c>
      <c r="F54" s="30">
        <f t="shared" si="6"/>
        <v>539.27120096455371</v>
      </c>
      <c r="I54" s="11">
        <v>539.27120096455371</v>
      </c>
      <c r="J54" s="142"/>
      <c r="K54" s="143">
        <v>850464.12719965365</v>
      </c>
    </row>
    <row r="55" spans="2:12">
      <c r="B55" s="25">
        <v>14</v>
      </c>
      <c r="C55" s="144">
        <f t="shared" si="4"/>
        <v>1655.9151164802008</v>
      </c>
      <c r="D55" s="18">
        <f t="shared" si="7"/>
        <v>1.05</v>
      </c>
      <c r="E55" s="29">
        <f t="shared" si="5"/>
        <v>514.32753955221301</v>
      </c>
      <c r="F55" s="30">
        <f t="shared" si="6"/>
        <v>540.04391652982372</v>
      </c>
      <c r="I55" s="11">
        <v>540.04391652982372</v>
      </c>
      <c r="J55" s="142"/>
      <c r="K55" s="143">
        <v>851682.74756657786</v>
      </c>
    </row>
    <row r="56" spans="2:12">
      <c r="B56" s="25">
        <v>15</v>
      </c>
      <c r="C56" s="144">
        <f t="shared" si="4"/>
        <v>1655.9151164802004</v>
      </c>
      <c r="D56" s="18">
        <f t="shared" si="7"/>
        <v>1.05</v>
      </c>
      <c r="E56" s="29">
        <f t="shared" si="5"/>
        <v>515.06345913818461</v>
      </c>
      <c r="F56" s="30">
        <f t="shared" si="6"/>
        <v>540.81663209509384</v>
      </c>
      <c r="I56" s="11">
        <v>540.81663209509384</v>
      </c>
      <c r="J56" s="142"/>
      <c r="K56" s="143">
        <v>852901.36793350184</v>
      </c>
    </row>
    <row r="57" spans="2:12">
      <c r="B57" s="25">
        <v>16</v>
      </c>
      <c r="C57" s="144">
        <f t="shared" si="4"/>
        <v>1655.9151164802008</v>
      </c>
      <c r="D57" s="18">
        <f t="shared" si="7"/>
        <v>1.05</v>
      </c>
      <c r="E57" s="29">
        <f t="shared" si="5"/>
        <v>515.65067604981016</v>
      </c>
      <c r="F57" s="30">
        <f t="shared" si="6"/>
        <v>541.43320985230071</v>
      </c>
      <c r="I57" s="11">
        <v>541.43320985230071</v>
      </c>
      <c r="J57" s="142"/>
      <c r="K57" s="143">
        <v>853873.7492941157</v>
      </c>
    </row>
    <row r="58" spans="2:12">
      <c r="B58" s="25">
        <v>17</v>
      </c>
      <c r="C58" s="144">
        <f t="shared" si="4"/>
        <v>1655.9151164802006</v>
      </c>
      <c r="D58" s="18">
        <f t="shared" si="7"/>
        <v>1.05</v>
      </c>
      <c r="E58" s="29">
        <f t="shared" si="5"/>
        <v>516.24947724933986</v>
      </c>
      <c r="F58" s="30">
        <f t="shared" si="6"/>
        <v>542.06195111180693</v>
      </c>
      <c r="I58" s="11">
        <v>542.06195111180693</v>
      </c>
      <c r="J58" s="142"/>
      <c r="K58" s="143">
        <v>854865.31325218326</v>
      </c>
    </row>
    <row r="59" spans="2:12">
      <c r="B59" s="25">
        <v>18</v>
      </c>
      <c r="C59" s="144">
        <f t="shared" si="4"/>
        <v>1655.9151164802006</v>
      </c>
      <c r="D59" s="18">
        <f t="shared" si="7"/>
        <v>1.05</v>
      </c>
      <c r="E59" s="29">
        <f t="shared" si="5"/>
        <v>516.84827844886956</v>
      </c>
      <c r="F59" s="30">
        <f t="shared" si="6"/>
        <v>542.69069237131305</v>
      </c>
      <c r="I59" s="11">
        <v>542.69069237131305</v>
      </c>
      <c r="J59" s="142"/>
      <c r="K59" s="143">
        <v>855856.87721025094</v>
      </c>
    </row>
    <row r="60" spans="2:12">
      <c r="B60" s="25">
        <v>19</v>
      </c>
      <c r="C60" s="144">
        <f t="shared" si="4"/>
        <v>1655.915116480201</v>
      </c>
      <c r="D60" s="18">
        <f t="shared" si="7"/>
        <v>1.05</v>
      </c>
      <c r="E60" s="29">
        <f t="shared" si="5"/>
        <v>517.44707964839893</v>
      </c>
      <c r="F60" s="30">
        <f t="shared" si="6"/>
        <v>543.31943363081893</v>
      </c>
      <c r="I60" s="11">
        <v>543.31943363081893</v>
      </c>
      <c r="J60" s="142"/>
      <c r="K60" s="143">
        <v>856848.44116831839</v>
      </c>
    </row>
    <row r="61" spans="2:12">
      <c r="B61" s="25">
        <v>20</v>
      </c>
      <c r="C61" s="144">
        <f t="shared" si="4"/>
        <v>1655.9151164802008</v>
      </c>
      <c r="D61" s="18">
        <f t="shared" si="7"/>
        <v>1.05</v>
      </c>
      <c r="E61" s="29">
        <f t="shared" si="5"/>
        <v>518.04588084792863</v>
      </c>
      <c r="F61" s="30">
        <f t="shared" si="6"/>
        <v>543.94817489032505</v>
      </c>
      <c r="I61" s="11">
        <v>543.94817489032505</v>
      </c>
      <c r="J61" s="142"/>
      <c r="K61" s="143">
        <v>857840.00512638595</v>
      </c>
    </row>
    <row r="62" spans="2:12">
      <c r="B62" s="25">
        <v>21</v>
      </c>
      <c r="C62" s="144">
        <f t="shared" si="4"/>
        <v>1655.9151164802006</v>
      </c>
      <c r="D62" s="18">
        <f t="shared" si="7"/>
        <v>1.05</v>
      </c>
      <c r="E62" s="29">
        <f t="shared" si="5"/>
        <v>518.78237050563541</v>
      </c>
      <c r="F62" s="30">
        <f t="shared" si="6"/>
        <v>544.72148903091716</v>
      </c>
      <c r="I62" s="11">
        <v>544.72148903091716</v>
      </c>
      <c r="J62" s="142"/>
      <c r="K62" s="143">
        <v>859059.56948371383</v>
      </c>
    </row>
    <row r="63" spans="2:12">
      <c r="B63" s="25">
        <v>22</v>
      </c>
      <c r="C63" s="144">
        <f t="shared" si="4"/>
        <v>1655.9151164802006</v>
      </c>
      <c r="D63" s="18">
        <f t="shared" si="7"/>
        <v>1.05</v>
      </c>
      <c r="E63" s="29">
        <f t="shared" si="5"/>
        <v>519.29381090075015</v>
      </c>
      <c r="F63" s="30">
        <f t="shared" si="6"/>
        <v>545.25850144578772</v>
      </c>
      <c r="I63" s="11">
        <v>545.25850144578772</v>
      </c>
      <c r="J63" s="142"/>
      <c r="K63" s="143">
        <v>859906.47136516299</v>
      </c>
    </row>
    <row r="64" spans="2:12">
      <c r="B64" s="25">
        <v>23</v>
      </c>
      <c r="C64" s="144">
        <f t="shared" si="4"/>
        <v>1655.9151164802004</v>
      </c>
      <c r="D64" s="18">
        <f t="shared" si="7"/>
        <v>1.05</v>
      </c>
      <c r="E64" s="29">
        <f t="shared" si="5"/>
        <v>519.80525129586499</v>
      </c>
      <c r="F64" s="30">
        <f t="shared" si="6"/>
        <v>545.79551386065828</v>
      </c>
      <c r="I64" s="11">
        <v>545.79551386065828</v>
      </c>
      <c r="J64" s="142"/>
      <c r="K64" s="143">
        <v>860753.37324661214</v>
      </c>
    </row>
    <row r="65" spans="2:12">
      <c r="B65" s="25">
        <v>24</v>
      </c>
      <c r="C65" s="144">
        <f t="shared" si="4"/>
        <v>1655.915116480201</v>
      </c>
      <c r="D65" s="18">
        <f t="shared" si="7"/>
        <v>1.05</v>
      </c>
      <c r="E65" s="29">
        <f t="shared" si="5"/>
        <v>520.31669169097961</v>
      </c>
      <c r="F65" s="30">
        <f t="shared" si="6"/>
        <v>546.33252627552861</v>
      </c>
      <c r="G65" s="3"/>
      <c r="H65" s="3"/>
      <c r="I65" s="140">
        <v>546.33252627552861</v>
      </c>
      <c r="J65" s="141"/>
      <c r="K65" s="143">
        <v>861600.27512806142</v>
      </c>
      <c r="L65" s="3"/>
    </row>
    <row r="66" spans="2:12">
      <c r="B66" s="25">
        <v>25</v>
      </c>
      <c r="C66" s="144">
        <f t="shared" si="4"/>
        <v>1655.9151164802006</v>
      </c>
      <c r="D66" s="18">
        <f t="shared" si="7"/>
        <v>1.05</v>
      </c>
      <c r="E66" s="29">
        <f t="shared" si="5"/>
        <v>520.82813208609446</v>
      </c>
      <c r="F66" s="30">
        <f t="shared" si="6"/>
        <v>546.86953869039917</v>
      </c>
      <c r="G66" s="3"/>
      <c r="H66" s="3"/>
      <c r="I66" s="140">
        <v>546.86953869039917</v>
      </c>
      <c r="J66" s="141"/>
      <c r="K66" s="143">
        <v>862447.17700951046</v>
      </c>
      <c r="L66" s="3"/>
    </row>
    <row r="67" spans="2:12">
      <c r="B67" s="25">
        <v>26</v>
      </c>
      <c r="C67" s="144">
        <f t="shared" si="4"/>
        <v>1655.9151164802006</v>
      </c>
      <c r="D67" s="18">
        <f t="shared" si="7"/>
        <v>1.05</v>
      </c>
      <c r="E67" s="29">
        <f t="shared" si="5"/>
        <v>521.56462174380113</v>
      </c>
      <c r="F67" s="30">
        <f t="shared" si="6"/>
        <v>547.64285283099116</v>
      </c>
      <c r="I67" s="11">
        <v>547.64285283099116</v>
      </c>
      <c r="J67" s="142"/>
      <c r="K67" s="143">
        <v>863666.74136683822</v>
      </c>
    </row>
    <row r="68" spans="2:12">
      <c r="B68" s="25">
        <v>27</v>
      </c>
      <c r="C68" s="144">
        <f t="shared" si="4"/>
        <v>1655.9151164802008</v>
      </c>
      <c r="D68" s="18">
        <f t="shared" si="7"/>
        <v>1.05</v>
      </c>
      <c r="E68" s="29">
        <f t="shared" si="5"/>
        <v>522.10094092992949</v>
      </c>
      <c r="F68" s="30">
        <f t="shared" si="6"/>
        <v>548.20598797642594</v>
      </c>
      <c r="G68" s="3"/>
      <c r="H68" s="3"/>
      <c r="I68" s="140">
        <v>548.20598797642594</v>
      </c>
      <c r="J68" s="141"/>
      <c r="K68" s="143">
        <v>864554.84041440662</v>
      </c>
      <c r="L68" s="3"/>
    </row>
    <row r="69" spans="2:12">
      <c r="B69" s="25">
        <v>28</v>
      </c>
      <c r="C69" s="144">
        <f t="shared" si="4"/>
        <v>1655.9151164802008</v>
      </c>
      <c r="D69" s="18">
        <f t="shared" si="7"/>
        <v>1.05</v>
      </c>
      <c r="E69" s="29">
        <f t="shared" si="5"/>
        <v>522.64998454743204</v>
      </c>
      <c r="F69" s="30">
        <f t="shared" si="6"/>
        <v>548.78248377480361</v>
      </c>
      <c r="G69" s="3"/>
      <c r="H69" s="3"/>
      <c r="I69" s="140">
        <v>548.78248377480361</v>
      </c>
      <c r="J69" s="141"/>
      <c r="K69" s="143">
        <v>865464.01004023605</v>
      </c>
      <c r="L69" s="3"/>
    </row>
    <row r="70" spans="2:12">
      <c r="B70" s="25">
        <v>29</v>
      </c>
      <c r="C70" s="144">
        <f t="shared" si="4"/>
        <v>1655.915116480201</v>
      </c>
      <c r="D70" s="18">
        <f t="shared" si="7"/>
        <v>1.05</v>
      </c>
      <c r="E70" s="29">
        <f t="shared" si="5"/>
        <v>523.22390695594811</v>
      </c>
      <c r="F70" s="30">
        <f t="shared" si="6"/>
        <v>549.3851023037455</v>
      </c>
      <c r="G70" s="3"/>
      <c r="H70" s="3"/>
      <c r="I70" s="140">
        <v>549.3851023037455</v>
      </c>
      <c r="J70" s="141"/>
      <c r="K70" s="143">
        <v>866414.37683218473</v>
      </c>
      <c r="L70" s="3"/>
    </row>
    <row r="71" spans="2:12" ht="13.5" thickBot="1">
      <c r="B71" s="26">
        <v>30</v>
      </c>
      <c r="C71" s="144">
        <f t="shared" si="4"/>
        <v>1655.915116480201</v>
      </c>
      <c r="D71" s="18">
        <f t="shared" si="7"/>
        <v>1.05</v>
      </c>
      <c r="E71" s="29">
        <f t="shared" si="5"/>
        <v>523.53574695121961</v>
      </c>
      <c r="F71" s="30">
        <f t="shared" si="6"/>
        <v>549.71253429878061</v>
      </c>
      <c r="G71" s="3"/>
      <c r="H71" s="3"/>
      <c r="I71" s="140">
        <v>549.71253429878061</v>
      </c>
      <c r="J71" s="141"/>
      <c r="K71" s="143">
        <v>866930.75739427784</v>
      </c>
      <c r="L71" s="3"/>
    </row>
    <row r="73" spans="2:12">
      <c r="C73" s="14">
        <f>AVERAGE(C42:C71)</f>
        <v>1627.7300612684448</v>
      </c>
      <c r="F73" s="9">
        <f>SUM(F42:F72)</f>
        <v>17125.337065534688</v>
      </c>
    </row>
  </sheetData>
  <mergeCells count="1">
    <mergeCell ref="B1:F1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K69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7.85546875" style="2" customWidth="1"/>
    <col min="3" max="6" width="19.140625" style="2" customWidth="1"/>
    <col min="7" max="7" width="2.7109375" style="2" customWidth="1"/>
    <col min="8" max="8" width="11.5703125" style="2" customWidth="1"/>
    <col min="9" max="9" width="14.7109375" style="6" hidden="1" customWidth="1"/>
    <col min="10" max="10" width="12.85546875" style="2" hidden="1" customWidth="1"/>
    <col min="11" max="12" width="0" style="2" hidden="1" customWidth="1"/>
    <col min="13" max="16384" width="11.5703125" style="2"/>
  </cols>
  <sheetData>
    <row r="1" spans="2:11" s="1" customFormat="1" ht="30" customHeight="1">
      <c r="B1" s="1572" t="s">
        <v>51</v>
      </c>
      <c r="C1" s="1572"/>
      <c r="D1" s="1572"/>
      <c r="E1" s="1572"/>
      <c r="F1" s="1572"/>
      <c r="I1" s="139"/>
    </row>
    <row r="2" spans="2:11" ht="20.25" customHeight="1" thickBot="1">
      <c r="B2" s="89" t="s">
        <v>94</v>
      </c>
      <c r="C2" s="41"/>
      <c r="D2" s="41"/>
      <c r="E2" s="41"/>
      <c r="F2" s="134"/>
    </row>
    <row r="3" spans="2:11" ht="48" customHeight="1" thickBot="1">
      <c r="B3" s="413" t="s">
        <v>1</v>
      </c>
      <c r="C3" s="414" t="s">
        <v>17</v>
      </c>
      <c r="D3" s="49" t="s">
        <v>5</v>
      </c>
      <c r="E3" s="49" t="s">
        <v>6</v>
      </c>
      <c r="F3" s="49" t="s">
        <v>7</v>
      </c>
      <c r="I3" s="24" t="s">
        <v>93</v>
      </c>
      <c r="K3" s="24" t="s">
        <v>96</v>
      </c>
    </row>
    <row r="4" spans="2:11" s="3" customFormat="1" ht="20.25" customHeight="1">
      <c r="B4" s="93">
        <v>1</v>
      </c>
      <c r="C4" s="94">
        <v>208</v>
      </c>
      <c r="D4" s="105">
        <v>1</v>
      </c>
      <c r="E4" s="95">
        <f>K4/C4</f>
        <v>5544.7088264749718</v>
      </c>
      <c r="F4" s="106">
        <f>E4*D4</f>
        <v>5544.7088264749718</v>
      </c>
      <c r="I4" s="140">
        <v>5802.4269291229966</v>
      </c>
      <c r="J4" s="141"/>
      <c r="K4" s="143">
        <f>'3 Vol'!C4</f>
        <v>1153299.4359067942</v>
      </c>
    </row>
    <row r="5" spans="2:11" ht="20.25" customHeight="1">
      <c r="B5" s="98">
        <v>2</v>
      </c>
      <c r="C5" s="94">
        <f>C4</f>
        <v>208</v>
      </c>
      <c r="D5" s="107">
        <f>D4</f>
        <v>1</v>
      </c>
      <c r="E5" s="95">
        <f>K5/C5</f>
        <v>5230.5097018178431</v>
      </c>
      <c r="F5" s="106">
        <f>E5*D5</f>
        <v>5230.5097018178431</v>
      </c>
      <c r="I5" s="11">
        <v>5484.5710747436951</v>
      </c>
      <c r="J5" s="142"/>
      <c r="K5" s="143">
        <f>'3 Vol'!C5</f>
        <v>1087946.0179781113</v>
      </c>
    </row>
    <row r="6" spans="2:11" ht="20.25" customHeight="1">
      <c r="B6" s="98">
        <v>3</v>
      </c>
      <c r="C6" s="94">
        <f t="shared" ref="C6:C33" si="0">C5</f>
        <v>208</v>
      </c>
      <c r="D6" s="107">
        <f t="shared" ref="D6:D33" si="1">D5</f>
        <v>1</v>
      </c>
      <c r="E6" s="95">
        <f t="shared" ref="E6:E33" si="2">K6/C6</f>
        <v>4794.6031742049554</v>
      </c>
      <c r="F6" s="106">
        <f t="shared" ref="F6:F33" si="3">E6*D6</f>
        <v>4794.6031742049554</v>
      </c>
      <c r="I6" s="11">
        <v>5027.4912739344709</v>
      </c>
      <c r="J6" s="142"/>
      <c r="K6" s="143">
        <f>'3 Vol'!C6</f>
        <v>997277.46023463074</v>
      </c>
    </row>
    <row r="7" spans="2:11" ht="20.25" customHeight="1">
      <c r="B7" s="98">
        <v>4</v>
      </c>
      <c r="C7" s="94">
        <f t="shared" si="0"/>
        <v>208</v>
      </c>
      <c r="D7" s="107">
        <f t="shared" si="1"/>
        <v>1</v>
      </c>
      <c r="E7" s="95">
        <f t="shared" si="2"/>
        <v>4506.7101483069164</v>
      </c>
      <c r="F7" s="106">
        <f t="shared" si="3"/>
        <v>4506.7101483069164</v>
      </c>
      <c r="I7" s="11">
        <v>4725.6144297118035</v>
      </c>
      <c r="J7" s="142"/>
      <c r="K7" s="143">
        <f>'3 Vol'!C7</f>
        <v>937395.71084783855</v>
      </c>
    </row>
    <row r="8" spans="2:11" s="3" customFormat="1" ht="20.25" customHeight="1">
      <c r="B8" s="98">
        <v>5</v>
      </c>
      <c r="C8" s="94">
        <f t="shared" si="0"/>
        <v>208</v>
      </c>
      <c r="D8" s="107">
        <f t="shared" si="1"/>
        <v>1</v>
      </c>
      <c r="E8" s="95">
        <f t="shared" si="2"/>
        <v>4259.5569813928323</v>
      </c>
      <c r="F8" s="106">
        <f t="shared" si="3"/>
        <v>4259.5569813928323</v>
      </c>
      <c r="I8" s="140">
        <v>4466.4563002818604</v>
      </c>
      <c r="J8" s="141"/>
      <c r="K8" s="143">
        <f>'3 Vol'!C8</f>
        <v>885987.85212970909</v>
      </c>
    </row>
    <row r="9" spans="2:11" ht="20.25" customHeight="1">
      <c r="B9" s="98">
        <v>6</v>
      </c>
      <c r="C9" s="94">
        <f t="shared" si="0"/>
        <v>208</v>
      </c>
      <c r="D9" s="107">
        <f t="shared" si="1"/>
        <v>1</v>
      </c>
      <c r="E9" s="95">
        <f t="shared" si="2"/>
        <v>4214.3378455467964</v>
      </c>
      <c r="F9" s="106">
        <f t="shared" si="3"/>
        <v>4214.3378455467964</v>
      </c>
      <c r="I9" s="11">
        <v>4419.0407368617443</v>
      </c>
      <c r="J9" s="142"/>
      <c r="K9" s="143">
        <f>'3 Vol'!C9</f>
        <v>876582.27187373373</v>
      </c>
    </row>
    <row r="10" spans="2:11" ht="20.25" customHeight="1">
      <c r="B10" s="98">
        <v>7</v>
      </c>
      <c r="C10" s="94">
        <f t="shared" si="0"/>
        <v>208</v>
      </c>
      <c r="D10" s="107">
        <f t="shared" si="1"/>
        <v>1</v>
      </c>
      <c r="E10" s="95">
        <f t="shared" si="2"/>
        <v>4106.6781563966124</v>
      </c>
      <c r="F10" s="106">
        <f t="shared" si="3"/>
        <v>4106.6781563966124</v>
      </c>
      <c r="I10" s="11">
        <v>4306.1516972288036</v>
      </c>
      <c r="J10" s="142"/>
      <c r="K10" s="143">
        <f>'3 Vol'!C10</f>
        <v>854189.05653049541</v>
      </c>
    </row>
    <row r="11" spans="2:11" ht="20.25" customHeight="1">
      <c r="B11" s="98">
        <v>8</v>
      </c>
      <c r="C11" s="94">
        <f t="shared" si="0"/>
        <v>208</v>
      </c>
      <c r="D11" s="107">
        <f t="shared" si="1"/>
        <v>1</v>
      </c>
      <c r="E11" s="95">
        <f t="shared" si="2"/>
        <v>4058.0805635643901</v>
      </c>
      <c r="F11" s="106">
        <f t="shared" si="3"/>
        <v>4058.0805635643901</v>
      </c>
      <c r="I11" s="11">
        <v>4199.2041859975943</v>
      </c>
      <c r="J11" s="142"/>
      <c r="K11" s="143">
        <f>'3 Vol'!C11</f>
        <v>844080.75722139317</v>
      </c>
    </row>
    <row r="12" spans="2:11" s="3" customFormat="1" ht="20.25" customHeight="1">
      <c r="B12" s="98">
        <v>9</v>
      </c>
      <c r="C12" s="94">
        <f t="shared" si="0"/>
        <v>208</v>
      </c>
      <c r="D12" s="107">
        <f t="shared" si="1"/>
        <v>1</v>
      </c>
      <c r="E12" s="95">
        <f t="shared" si="2"/>
        <v>4064.2386794841232</v>
      </c>
      <c r="F12" s="106">
        <f t="shared" si="3"/>
        <v>4064.2386794841232</v>
      </c>
      <c r="I12" s="140">
        <v>4097.7411625218347</v>
      </c>
      <c r="J12" s="141"/>
      <c r="K12" s="143">
        <f>'3 Vol'!C12</f>
        <v>845361.64533269766</v>
      </c>
    </row>
    <row r="13" spans="2:11" s="3" customFormat="1" ht="20.25" customHeight="1">
      <c r="B13" s="98">
        <v>10</v>
      </c>
      <c r="C13" s="94">
        <f t="shared" si="0"/>
        <v>208</v>
      </c>
      <c r="D13" s="107">
        <f t="shared" si="1"/>
        <v>1</v>
      </c>
      <c r="E13" s="95">
        <f t="shared" si="2"/>
        <v>4070.6961595595303</v>
      </c>
      <c r="F13" s="106">
        <f t="shared" si="3"/>
        <v>4070.6961595595303</v>
      </c>
      <c r="I13" s="140">
        <v>4001.645576308114</v>
      </c>
      <c r="J13" s="141"/>
      <c r="K13" s="143">
        <f>'3 Vol'!C13</f>
        <v>846704.80118838232</v>
      </c>
    </row>
    <row r="14" spans="2:11" ht="20.25" customHeight="1">
      <c r="B14" s="98">
        <v>11</v>
      </c>
      <c r="C14" s="94">
        <f t="shared" si="0"/>
        <v>208</v>
      </c>
      <c r="D14" s="107">
        <f t="shared" si="1"/>
        <v>1</v>
      </c>
      <c r="E14" s="95">
        <f t="shared" si="2"/>
        <v>4077.0523387779131</v>
      </c>
      <c r="F14" s="106">
        <f t="shared" si="3"/>
        <v>4077.0523387779131</v>
      </c>
      <c r="I14" s="11">
        <v>4007.8939366510313</v>
      </c>
      <c r="J14" s="142"/>
      <c r="K14" s="143">
        <f>'3 Vol'!C14</f>
        <v>848026.88646580593</v>
      </c>
    </row>
    <row r="15" spans="2:11" ht="20.25" customHeight="1">
      <c r="B15" s="98">
        <v>12</v>
      </c>
      <c r="C15" s="94">
        <f t="shared" si="0"/>
        <v>208</v>
      </c>
      <c r="D15" s="107">
        <f t="shared" si="1"/>
        <v>1</v>
      </c>
      <c r="E15" s="95">
        <f t="shared" si="2"/>
        <v>4082.9110905419707</v>
      </c>
      <c r="F15" s="106">
        <f t="shared" si="3"/>
        <v>4082.9110905419707</v>
      </c>
      <c r="I15" s="11">
        <v>4013.653307323852</v>
      </c>
      <c r="J15" s="142"/>
      <c r="K15" s="143">
        <f>'3 Vol'!C15</f>
        <v>849245.50683272991</v>
      </c>
    </row>
    <row r="16" spans="2:11" ht="20.25" customHeight="1">
      <c r="B16" s="98">
        <v>13</v>
      </c>
      <c r="C16" s="94">
        <f t="shared" si="0"/>
        <v>208</v>
      </c>
      <c r="D16" s="107">
        <f t="shared" si="1"/>
        <v>1</v>
      </c>
      <c r="E16" s="95">
        <f t="shared" si="2"/>
        <v>4088.7698423060274</v>
      </c>
      <c r="F16" s="106">
        <f t="shared" si="3"/>
        <v>4088.7698423060274</v>
      </c>
      <c r="I16" s="11">
        <v>4019.4126779966728</v>
      </c>
      <c r="J16" s="142"/>
      <c r="K16" s="143">
        <f>'3 Vol'!C16</f>
        <v>850464.12719965365</v>
      </c>
    </row>
    <row r="17" spans="2:11" ht="20.25" customHeight="1">
      <c r="B17" s="98">
        <v>14</v>
      </c>
      <c r="C17" s="94">
        <f t="shared" si="0"/>
        <v>208</v>
      </c>
      <c r="D17" s="107">
        <f t="shared" si="1"/>
        <v>1</v>
      </c>
      <c r="E17" s="95">
        <f t="shared" si="2"/>
        <v>4094.6285940700859</v>
      </c>
      <c r="F17" s="106">
        <f t="shared" si="3"/>
        <v>4094.6285940700859</v>
      </c>
      <c r="I17" s="11">
        <v>4025.1720486694926</v>
      </c>
      <c r="J17" s="142"/>
      <c r="K17" s="143">
        <f>'3 Vol'!C17</f>
        <v>851682.74756657786</v>
      </c>
    </row>
    <row r="18" spans="2:11" ht="20.25" customHeight="1">
      <c r="B18" s="98">
        <v>15</v>
      </c>
      <c r="C18" s="94">
        <f t="shared" si="0"/>
        <v>208</v>
      </c>
      <c r="D18" s="107">
        <f t="shared" si="1"/>
        <v>1</v>
      </c>
      <c r="E18" s="95">
        <f t="shared" si="2"/>
        <v>4100.4873458341435</v>
      </c>
      <c r="F18" s="106">
        <f t="shared" si="3"/>
        <v>4100.4873458341435</v>
      </c>
      <c r="I18" s="11">
        <v>4030.9314193423129</v>
      </c>
      <c r="J18" s="142"/>
      <c r="K18" s="143">
        <f>'3 Vol'!C18</f>
        <v>852901.36793350184</v>
      </c>
    </row>
    <row r="19" spans="2:11" ht="20.25" customHeight="1">
      <c r="B19" s="98">
        <v>16</v>
      </c>
      <c r="C19" s="94">
        <f t="shared" si="0"/>
        <v>208</v>
      </c>
      <c r="D19" s="107">
        <f t="shared" si="1"/>
        <v>1</v>
      </c>
      <c r="E19" s="95">
        <f t="shared" si="2"/>
        <v>4105.1622562217099</v>
      </c>
      <c r="F19" s="106">
        <f t="shared" si="3"/>
        <v>4105.1622562217099</v>
      </c>
      <c r="I19" s="11">
        <v>4035.5270299550348</v>
      </c>
      <c r="J19" s="142"/>
      <c r="K19" s="143">
        <f>'3 Vol'!C19</f>
        <v>853873.7492941157</v>
      </c>
    </row>
    <row r="20" spans="2:11" ht="20.25" customHeight="1">
      <c r="B20" s="98">
        <v>17</v>
      </c>
      <c r="C20" s="94">
        <f t="shared" si="0"/>
        <v>208</v>
      </c>
      <c r="D20" s="107">
        <f t="shared" si="1"/>
        <v>1</v>
      </c>
      <c r="E20" s="95">
        <f t="shared" si="2"/>
        <v>4109.929390635496</v>
      </c>
      <c r="F20" s="106">
        <f t="shared" si="3"/>
        <v>4109.929390635496</v>
      </c>
      <c r="I20" s="11">
        <v>4040.2133002122246</v>
      </c>
      <c r="J20" s="142"/>
      <c r="K20" s="143">
        <f>'3 Vol'!C20</f>
        <v>854865.31325218326</v>
      </c>
    </row>
    <row r="21" spans="2:11" ht="20.25" customHeight="1">
      <c r="B21" s="98">
        <v>18</v>
      </c>
      <c r="C21" s="94">
        <f t="shared" si="0"/>
        <v>208</v>
      </c>
      <c r="D21" s="107">
        <f t="shared" si="1"/>
        <v>1</v>
      </c>
      <c r="E21" s="95">
        <f t="shared" si="2"/>
        <v>4114.6965250492831</v>
      </c>
      <c r="F21" s="106">
        <f t="shared" si="3"/>
        <v>4114.6965250492831</v>
      </c>
      <c r="I21" s="11">
        <v>4044.899570469413</v>
      </c>
      <c r="J21" s="142"/>
      <c r="K21" s="143">
        <f>'3 Vol'!C21</f>
        <v>855856.87721025094</v>
      </c>
    </row>
    <row r="22" spans="2:11" ht="20.25" customHeight="1">
      <c r="B22" s="98">
        <v>19</v>
      </c>
      <c r="C22" s="94">
        <f t="shared" si="0"/>
        <v>208</v>
      </c>
      <c r="D22" s="107">
        <f t="shared" si="1"/>
        <v>1</v>
      </c>
      <c r="E22" s="95">
        <f t="shared" si="2"/>
        <v>4119.4636594630692</v>
      </c>
      <c r="F22" s="106">
        <f t="shared" si="3"/>
        <v>4119.4636594630692</v>
      </c>
      <c r="I22" s="11">
        <v>4049.5858407265996</v>
      </c>
      <c r="J22" s="142"/>
      <c r="K22" s="143">
        <f>'3 Vol'!C22</f>
        <v>856848.44116831839</v>
      </c>
    </row>
    <row r="23" spans="2:11" ht="20.25" customHeight="1">
      <c r="B23" s="98">
        <v>20</v>
      </c>
      <c r="C23" s="94">
        <f t="shared" si="0"/>
        <v>208</v>
      </c>
      <c r="D23" s="107">
        <f t="shared" si="1"/>
        <v>1</v>
      </c>
      <c r="E23" s="95">
        <f t="shared" si="2"/>
        <v>4124.2307938768554</v>
      </c>
      <c r="F23" s="106">
        <f t="shared" si="3"/>
        <v>4124.2307938768554</v>
      </c>
      <c r="I23" s="11">
        <v>4054.2721109837885</v>
      </c>
      <c r="J23" s="142"/>
      <c r="K23" s="143">
        <f>'3 Vol'!C23</f>
        <v>857840.00512638595</v>
      </c>
    </row>
    <row r="24" spans="2:11" ht="20.25" customHeight="1">
      <c r="B24" s="98">
        <v>21</v>
      </c>
      <c r="C24" s="94">
        <f t="shared" si="0"/>
        <v>208</v>
      </c>
      <c r="D24" s="107">
        <f t="shared" si="1"/>
        <v>1</v>
      </c>
      <c r="E24" s="95">
        <f t="shared" si="2"/>
        <v>4130.0940840563162</v>
      </c>
      <c r="F24" s="106">
        <f t="shared" si="3"/>
        <v>4130.0940840563162</v>
      </c>
      <c r="I24" s="11">
        <v>4060.0359430875806</v>
      </c>
      <c r="J24" s="142"/>
      <c r="K24" s="143">
        <f>'3 Vol'!C24</f>
        <v>859059.56948371383</v>
      </c>
    </row>
    <row r="25" spans="2:11" ht="20.25" customHeight="1">
      <c r="B25" s="98">
        <v>22</v>
      </c>
      <c r="C25" s="94">
        <f t="shared" si="0"/>
        <v>208</v>
      </c>
      <c r="D25" s="107">
        <f t="shared" si="1"/>
        <v>1</v>
      </c>
      <c r="E25" s="95">
        <f t="shared" si="2"/>
        <v>4134.1657277171298</v>
      </c>
      <c r="F25" s="106">
        <f t="shared" si="3"/>
        <v>4134.1657277171298</v>
      </c>
      <c r="I25" s="11">
        <v>4064.0385200928263</v>
      </c>
      <c r="J25" s="142"/>
      <c r="K25" s="143">
        <f>'3 Vol'!C25</f>
        <v>859906.47136516299</v>
      </c>
    </row>
    <row r="26" spans="2:11" ht="20.25" customHeight="1">
      <c r="B26" s="98">
        <v>23</v>
      </c>
      <c r="C26" s="94">
        <f t="shared" si="0"/>
        <v>208</v>
      </c>
      <c r="D26" s="107">
        <f t="shared" si="1"/>
        <v>1</v>
      </c>
      <c r="E26" s="95">
        <f t="shared" si="2"/>
        <v>4138.2373713779434</v>
      </c>
      <c r="F26" s="106">
        <f t="shared" si="3"/>
        <v>4138.2373713779434</v>
      </c>
      <c r="I26" s="11">
        <v>4068.0410970980729</v>
      </c>
      <c r="J26" s="142"/>
      <c r="K26" s="143">
        <f>'3 Vol'!C26</f>
        <v>860753.37324661214</v>
      </c>
    </row>
    <row r="27" spans="2:11" s="3" customFormat="1" ht="20.25" customHeight="1">
      <c r="B27" s="98">
        <v>24</v>
      </c>
      <c r="C27" s="94">
        <f t="shared" si="0"/>
        <v>208</v>
      </c>
      <c r="D27" s="107">
        <f t="shared" si="1"/>
        <v>1</v>
      </c>
      <c r="E27" s="95">
        <f t="shared" si="2"/>
        <v>4142.309015038757</v>
      </c>
      <c r="F27" s="106">
        <f t="shared" si="3"/>
        <v>4142.309015038757</v>
      </c>
      <c r="I27" s="140">
        <v>4072.0436741033182</v>
      </c>
      <c r="J27" s="141"/>
      <c r="K27" s="143">
        <f>'3 Vol'!C27</f>
        <v>861600.27512806142</v>
      </c>
    </row>
    <row r="28" spans="2:11" s="3" customFormat="1" ht="20.25" customHeight="1">
      <c r="B28" s="98">
        <v>25</v>
      </c>
      <c r="C28" s="94">
        <f t="shared" si="0"/>
        <v>208</v>
      </c>
      <c r="D28" s="107">
        <f t="shared" si="1"/>
        <v>1</v>
      </c>
      <c r="E28" s="95">
        <f t="shared" si="2"/>
        <v>4146.3806586995697</v>
      </c>
      <c r="F28" s="106">
        <f t="shared" si="3"/>
        <v>4146.3806586995697</v>
      </c>
      <c r="I28" s="140">
        <v>4076.0462511085643</v>
      </c>
      <c r="J28" s="141"/>
      <c r="K28" s="143">
        <f>'3 Vol'!C28</f>
        <v>862447.17700951046</v>
      </c>
    </row>
    <row r="29" spans="2:11" ht="20.25" customHeight="1">
      <c r="B29" s="98">
        <v>26</v>
      </c>
      <c r="C29" s="94">
        <f t="shared" si="0"/>
        <v>208</v>
      </c>
      <c r="D29" s="107">
        <f t="shared" si="1"/>
        <v>1</v>
      </c>
      <c r="E29" s="95">
        <f t="shared" si="2"/>
        <v>4152.2439488790296</v>
      </c>
      <c r="F29" s="106">
        <f t="shared" si="3"/>
        <v>4152.2439488790296</v>
      </c>
      <c r="I29" s="11">
        <v>4081.8100832123555</v>
      </c>
      <c r="J29" s="142"/>
      <c r="K29" s="143">
        <f>'3 Vol'!C29</f>
        <v>863666.74136683822</v>
      </c>
    </row>
    <row r="30" spans="2:11" s="3" customFormat="1" ht="20.25" customHeight="1">
      <c r="B30" s="98">
        <v>27</v>
      </c>
      <c r="C30" s="94">
        <f t="shared" si="0"/>
        <v>208</v>
      </c>
      <c r="D30" s="107">
        <f t="shared" si="1"/>
        <v>1</v>
      </c>
      <c r="E30" s="95">
        <f t="shared" si="2"/>
        <v>4156.5136558384929</v>
      </c>
      <c r="F30" s="106">
        <f t="shared" si="3"/>
        <v>4156.5136558384929</v>
      </c>
      <c r="I30" s="140">
        <v>4086.0073637994469</v>
      </c>
      <c r="J30" s="141"/>
      <c r="K30" s="143">
        <f>'3 Vol'!C30</f>
        <v>864554.84041440662</v>
      </c>
    </row>
    <row r="31" spans="2:11" s="3" customFormat="1" ht="20.25" customHeight="1">
      <c r="B31" s="98">
        <v>28</v>
      </c>
      <c r="C31" s="94">
        <f t="shared" si="0"/>
        <v>208</v>
      </c>
      <c r="D31" s="107">
        <f t="shared" si="1"/>
        <v>1</v>
      </c>
      <c r="E31" s="95">
        <f t="shared" si="2"/>
        <v>4160.8846636549806</v>
      </c>
      <c r="F31" s="106">
        <f t="shared" si="3"/>
        <v>4160.8846636549806</v>
      </c>
      <c r="I31" s="140">
        <v>4090.3042268929453</v>
      </c>
      <c r="J31" s="141"/>
      <c r="K31" s="143">
        <f>'3 Vol'!C31</f>
        <v>865464.01004023605</v>
      </c>
    </row>
    <row r="32" spans="2:11" s="3" customFormat="1" ht="20.25" customHeight="1">
      <c r="B32" s="98">
        <v>29</v>
      </c>
      <c r="C32" s="94">
        <f t="shared" si="0"/>
        <v>208</v>
      </c>
      <c r="D32" s="107">
        <f t="shared" si="1"/>
        <v>1</v>
      </c>
      <c r="E32" s="95">
        <f t="shared" si="2"/>
        <v>4165.4537347701189</v>
      </c>
      <c r="F32" s="106">
        <f t="shared" si="3"/>
        <v>4165.4537347701189</v>
      </c>
      <c r="I32" s="140">
        <v>4094.7957935682884</v>
      </c>
      <c r="J32" s="141"/>
      <c r="K32" s="143">
        <f>'3 Vol'!C32</f>
        <v>866414.37683218473</v>
      </c>
    </row>
    <row r="33" spans="2:11" s="3" customFormat="1" ht="20.25" customHeight="1" thickBot="1">
      <c r="B33" s="100">
        <v>30</v>
      </c>
      <c r="C33" s="377">
        <f t="shared" si="0"/>
        <v>208</v>
      </c>
      <c r="D33" s="369">
        <f t="shared" si="1"/>
        <v>1</v>
      </c>
      <c r="E33" s="370">
        <f t="shared" si="2"/>
        <v>4167.9363336263359</v>
      </c>
      <c r="F33" s="371">
        <f t="shared" si="3"/>
        <v>4167.9363336263359</v>
      </c>
      <c r="I33" s="140">
        <v>4097.2362804878048</v>
      </c>
      <c r="J33" s="141"/>
      <c r="K33" s="143">
        <f>'3 Vol'!C33</f>
        <v>866930.75739427784</v>
      </c>
    </row>
    <row r="35" spans="2:11">
      <c r="F35" s="9">
        <f>SUM(F4:F34)</f>
        <v>127361.6712671842</v>
      </c>
    </row>
    <row r="36" spans="2:11" ht="13.5" thickBot="1">
      <c r="B36" s="5" t="s">
        <v>94</v>
      </c>
      <c r="F36" s="7"/>
    </row>
    <row r="37" spans="2:11" ht="26.25" thickBot="1">
      <c r="B37" s="38" t="s">
        <v>1</v>
      </c>
      <c r="C37" s="37" t="s">
        <v>17</v>
      </c>
      <c r="D37" s="24" t="s">
        <v>5</v>
      </c>
      <c r="E37" s="24" t="s">
        <v>6</v>
      </c>
      <c r="F37" s="24" t="s">
        <v>7</v>
      </c>
      <c r="I37" s="24" t="s">
        <v>93</v>
      </c>
      <c r="K37" s="24" t="s">
        <v>96</v>
      </c>
    </row>
    <row r="38" spans="2:11">
      <c r="B38" s="31">
        <v>1</v>
      </c>
      <c r="C38" s="145">
        <f>K38/E38</f>
        <v>198.76156132501418</v>
      </c>
      <c r="D38" s="28">
        <v>1</v>
      </c>
      <c r="E38" s="29">
        <f>F38/D38</f>
        <v>5802.4269291229966</v>
      </c>
      <c r="F38" s="30">
        <f>I38</f>
        <v>5802.4269291229966</v>
      </c>
      <c r="G38" s="3"/>
      <c r="H38" s="3"/>
      <c r="I38" s="140">
        <v>5802.4269291229966</v>
      </c>
      <c r="J38" s="141"/>
      <c r="K38" s="143">
        <v>1153299.4359067942</v>
      </c>
    </row>
    <row r="39" spans="2:11">
      <c r="B39" s="25">
        <v>2</v>
      </c>
      <c r="C39" s="145">
        <f t="shared" ref="C39:C67" si="4">K39/E39</f>
        <v>198.36483166169072</v>
      </c>
      <c r="D39" s="18">
        <f>D38</f>
        <v>1</v>
      </c>
      <c r="E39" s="29">
        <f t="shared" ref="E39:E67" si="5">F39/D39</f>
        <v>5484.5710747436951</v>
      </c>
      <c r="F39" s="30">
        <f t="shared" ref="F39:F67" si="6">I39</f>
        <v>5484.5710747436951</v>
      </c>
      <c r="I39" s="11">
        <v>5484.5710747436951</v>
      </c>
      <c r="J39" s="142"/>
      <c r="K39" s="143">
        <v>1087946.0179781113</v>
      </c>
    </row>
    <row r="40" spans="2:11">
      <c r="B40" s="25">
        <v>3</v>
      </c>
      <c r="C40" s="145">
        <f t="shared" si="4"/>
        <v>198.3648316616908</v>
      </c>
      <c r="D40" s="18">
        <f t="shared" ref="D40:D67" si="7">D39</f>
        <v>1</v>
      </c>
      <c r="E40" s="29">
        <f t="shared" si="5"/>
        <v>5027.4912739344709</v>
      </c>
      <c r="F40" s="30">
        <f t="shared" si="6"/>
        <v>5027.4912739344709</v>
      </c>
      <c r="I40" s="11">
        <v>5027.4912739344709</v>
      </c>
      <c r="J40" s="142"/>
      <c r="K40" s="143">
        <v>997277.46023463074</v>
      </c>
    </row>
    <row r="41" spans="2:11">
      <c r="B41" s="25">
        <v>4</v>
      </c>
      <c r="C41" s="145">
        <f t="shared" si="4"/>
        <v>198.36483166169074</v>
      </c>
      <c r="D41" s="18">
        <f t="shared" si="7"/>
        <v>1</v>
      </c>
      <c r="E41" s="29">
        <f t="shared" si="5"/>
        <v>4725.6144297118035</v>
      </c>
      <c r="F41" s="30">
        <f t="shared" si="6"/>
        <v>4725.6144297118035</v>
      </c>
      <c r="I41" s="11">
        <v>4725.6144297118035</v>
      </c>
      <c r="J41" s="142"/>
      <c r="K41" s="143">
        <v>937395.71084783855</v>
      </c>
    </row>
    <row r="42" spans="2:11">
      <c r="B42" s="25">
        <v>5</v>
      </c>
      <c r="C42" s="144">
        <f t="shared" si="4"/>
        <v>198.36483166169069</v>
      </c>
      <c r="D42" s="18">
        <f t="shared" si="7"/>
        <v>1</v>
      </c>
      <c r="E42" s="29">
        <f t="shared" si="5"/>
        <v>4466.4563002818604</v>
      </c>
      <c r="F42" s="30">
        <f t="shared" si="6"/>
        <v>4466.4563002818604</v>
      </c>
      <c r="G42" s="3"/>
      <c r="H42" s="3"/>
      <c r="I42" s="140">
        <v>4466.4563002818604</v>
      </c>
      <c r="J42" s="141"/>
      <c r="K42" s="143">
        <v>885987.85212970909</v>
      </c>
    </row>
    <row r="43" spans="2:11">
      <c r="B43" s="25">
        <v>6</v>
      </c>
      <c r="C43" s="144">
        <f t="shared" si="4"/>
        <v>198.36483166169074</v>
      </c>
      <c r="D43" s="18">
        <f t="shared" si="7"/>
        <v>1</v>
      </c>
      <c r="E43" s="29">
        <f t="shared" si="5"/>
        <v>4419.0407368617443</v>
      </c>
      <c r="F43" s="30">
        <f t="shared" si="6"/>
        <v>4419.0407368617443</v>
      </c>
      <c r="I43" s="11">
        <v>4419.0407368617443</v>
      </c>
      <c r="J43" s="142"/>
      <c r="K43" s="143">
        <v>876582.27187373373</v>
      </c>
    </row>
    <row r="44" spans="2:11">
      <c r="B44" s="25">
        <v>7</v>
      </c>
      <c r="C44" s="144">
        <f t="shared" si="4"/>
        <v>198.36483166169072</v>
      </c>
      <c r="D44" s="18">
        <f t="shared" si="7"/>
        <v>1</v>
      </c>
      <c r="E44" s="29">
        <f t="shared" si="5"/>
        <v>4306.1516972288036</v>
      </c>
      <c r="F44" s="30">
        <f t="shared" si="6"/>
        <v>4306.1516972288036</v>
      </c>
      <c r="I44" s="11">
        <v>4306.1516972288036</v>
      </c>
      <c r="J44" s="142"/>
      <c r="K44" s="143">
        <v>854189.05653049541</v>
      </c>
    </row>
    <row r="45" spans="2:11">
      <c r="B45" s="25">
        <v>8</v>
      </c>
      <c r="C45" s="144">
        <f t="shared" si="4"/>
        <v>201.00969608384668</v>
      </c>
      <c r="D45" s="18">
        <f t="shared" si="7"/>
        <v>1</v>
      </c>
      <c r="E45" s="29">
        <f t="shared" si="5"/>
        <v>4199.2041859975943</v>
      </c>
      <c r="F45" s="30">
        <f t="shared" si="6"/>
        <v>4199.2041859975943</v>
      </c>
      <c r="I45" s="11">
        <v>4199.2041859975943</v>
      </c>
      <c r="J45" s="142"/>
      <c r="K45" s="143">
        <v>844080.75722139317</v>
      </c>
    </row>
    <row r="46" spans="2:11">
      <c r="B46" s="25">
        <v>9</v>
      </c>
      <c r="C46" s="144">
        <f t="shared" si="4"/>
        <v>206.29942492815837</v>
      </c>
      <c r="D46" s="18">
        <f t="shared" si="7"/>
        <v>1</v>
      </c>
      <c r="E46" s="29">
        <f t="shared" si="5"/>
        <v>4097.7411625218347</v>
      </c>
      <c r="F46" s="30">
        <f t="shared" si="6"/>
        <v>4097.7411625218347</v>
      </c>
      <c r="G46" s="3"/>
      <c r="H46" s="3"/>
      <c r="I46" s="140">
        <v>4097.7411625218347</v>
      </c>
      <c r="J46" s="141"/>
      <c r="K46" s="143">
        <v>845361.64533269766</v>
      </c>
    </row>
    <row r="47" spans="2:11">
      <c r="B47" s="25">
        <v>10</v>
      </c>
      <c r="C47" s="144">
        <f t="shared" si="4"/>
        <v>211.58915377247013</v>
      </c>
      <c r="D47" s="18">
        <f t="shared" si="7"/>
        <v>1</v>
      </c>
      <c r="E47" s="29">
        <f t="shared" si="5"/>
        <v>4001.645576308114</v>
      </c>
      <c r="F47" s="30">
        <f t="shared" si="6"/>
        <v>4001.645576308114</v>
      </c>
      <c r="G47" s="3"/>
      <c r="H47" s="3"/>
      <c r="I47" s="140">
        <v>4001.645576308114</v>
      </c>
      <c r="J47" s="141"/>
      <c r="K47" s="143">
        <v>846704.80118838232</v>
      </c>
    </row>
    <row r="48" spans="2:11">
      <c r="B48" s="25">
        <v>11</v>
      </c>
      <c r="C48" s="144">
        <f t="shared" si="4"/>
        <v>211.58915377247018</v>
      </c>
      <c r="D48" s="18">
        <f t="shared" si="7"/>
        <v>1</v>
      </c>
      <c r="E48" s="29">
        <f t="shared" si="5"/>
        <v>4007.8939366510313</v>
      </c>
      <c r="F48" s="30">
        <f t="shared" si="6"/>
        <v>4007.8939366510313</v>
      </c>
      <c r="I48" s="11">
        <v>4007.8939366510313</v>
      </c>
      <c r="J48" s="142"/>
      <c r="K48" s="143">
        <v>848026.88646580593</v>
      </c>
    </row>
    <row r="49" spans="2:11">
      <c r="B49" s="25">
        <v>12</v>
      </c>
      <c r="C49" s="144">
        <f t="shared" si="4"/>
        <v>211.58915377247015</v>
      </c>
      <c r="D49" s="18">
        <f t="shared" si="7"/>
        <v>1</v>
      </c>
      <c r="E49" s="29">
        <f t="shared" si="5"/>
        <v>4013.653307323852</v>
      </c>
      <c r="F49" s="30">
        <f t="shared" si="6"/>
        <v>4013.653307323852</v>
      </c>
      <c r="I49" s="11">
        <v>4013.653307323852</v>
      </c>
      <c r="J49" s="142"/>
      <c r="K49" s="143">
        <v>849245.50683272991</v>
      </c>
    </row>
    <row r="50" spans="2:11">
      <c r="B50" s="25">
        <v>13</v>
      </c>
      <c r="C50" s="144">
        <f t="shared" si="4"/>
        <v>211.58915377247004</v>
      </c>
      <c r="D50" s="18">
        <f t="shared" si="7"/>
        <v>1</v>
      </c>
      <c r="E50" s="29">
        <f t="shared" si="5"/>
        <v>4019.4126779966728</v>
      </c>
      <c r="F50" s="30">
        <f t="shared" si="6"/>
        <v>4019.4126779966728</v>
      </c>
      <c r="I50" s="11">
        <v>4019.4126779966728</v>
      </c>
      <c r="J50" s="142"/>
      <c r="K50" s="143">
        <v>850464.12719965365</v>
      </c>
    </row>
    <row r="51" spans="2:11">
      <c r="B51" s="25">
        <v>14</v>
      </c>
      <c r="C51" s="144">
        <f t="shared" si="4"/>
        <v>211.58915377247013</v>
      </c>
      <c r="D51" s="18">
        <f t="shared" si="7"/>
        <v>1</v>
      </c>
      <c r="E51" s="29">
        <f t="shared" si="5"/>
        <v>4025.1720486694926</v>
      </c>
      <c r="F51" s="30">
        <f t="shared" si="6"/>
        <v>4025.1720486694926</v>
      </c>
      <c r="I51" s="11">
        <v>4025.1720486694926</v>
      </c>
      <c r="J51" s="142"/>
      <c r="K51" s="143">
        <v>851682.74756657786</v>
      </c>
    </row>
    <row r="52" spans="2:11">
      <c r="B52" s="25">
        <v>15</v>
      </c>
      <c r="C52" s="144">
        <f t="shared" si="4"/>
        <v>211.5891537724701</v>
      </c>
      <c r="D52" s="18">
        <f t="shared" si="7"/>
        <v>1</v>
      </c>
      <c r="E52" s="29">
        <f t="shared" si="5"/>
        <v>4030.9314193423129</v>
      </c>
      <c r="F52" s="30">
        <f t="shared" si="6"/>
        <v>4030.9314193423129</v>
      </c>
      <c r="I52" s="11">
        <v>4030.9314193423129</v>
      </c>
      <c r="J52" s="142"/>
      <c r="K52" s="143">
        <v>852901.36793350184</v>
      </c>
    </row>
    <row r="53" spans="2:11">
      <c r="B53" s="25">
        <v>16</v>
      </c>
      <c r="C53" s="144">
        <f t="shared" si="4"/>
        <v>211.58915377247018</v>
      </c>
      <c r="D53" s="18">
        <f t="shared" si="7"/>
        <v>1</v>
      </c>
      <c r="E53" s="29">
        <f t="shared" si="5"/>
        <v>4035.5270299550348</v>
      </c>
      <c r="F53" s="30">
        <f t="shared" si="6"/>
        <v>4035.5270299550348</v>
      </c>
      <c r="I53" s="11">
        <v>4035.5270299550348</v>
      </c>
      <c r="J53" s="142"/>
      <c r="K53" s="143">
        <v>853873.7492941157</v>
      </c>
    </row>
    <row r="54" spans="2:11">
      <c r="B54" s="25">
        <v>17</v>
      </c>
      <c r="C54" s="144">
        <f t="shared" si="4"/>
        <v>211.5891537724701</v>
      </c>
      <c r="D54" s="18">
        <f t="shared" si="7"/>
        <v>1</v>
      </c>
      <c r="E54" s="29">
        <f t="shared" si="5"/>
        <v>4040.2133002122246</v>
      </c>
      <c r="F54" s="30">
        <f t="shared" si="6"/>
        <v>4040.2133002122246</v>
      </c>
      <c r="I54" s="11">
        <v>4040.2133002122246</v>
      </c>
      <c r="J54" s="142"/>
      <c r="K54" s="143">
        <v>854865.31325218326</v>
      </c>
    </row>
    <row r="55" spans="2:11">
      <c r="B55" s="25">
        <v>18</v>
      </c>
      <c r="C55" s="144">
        <f t="shared" si="4"/>
        <v>211.58915377247013</v>
      </c>
      <c r="D55" s="18">
        <f t="shared" si="7"/>
        <v>1</v>
      </c>
      <c r="E55" s="29">
        <f t="shared" si="5"/>
        <v>4044.899570469413</v>
      </c>
      <c r="F55" s="30">
        <f t="shared" si="6"/>
        <v>4044.899570469413</v>
      </c>
      <c r="I55" s="11">
        <v>4044.899570469413</v>
      </c>
      <c r="J55" s="142"/>
      <c r="K55" s="143">
        <v>855856.87721025094</v>
      </c>
    </row>
    <row r="56" spans="2:11">
      <c r="B56" s="25">
        <v>19</v>
      </c>
      <c r="C56" s="144">
        <f t="shared" si="4"/>
        <v>211.58915377247018</v>
      </c>
      <c r="D56" s="18">
        <f t="shared" si="7"/>
        <v>1</v>
      </c>
      <c r="E56" s="29">
        <f t="shared" si="5"/>
        <v>4049.5858407265996</v>
      </c>
      <c r="F56" s="30">
        <f t="shared" si="6"/>
        <v>4049.5858407265996</v>
      </c>
      <c r="I56" s="11">
        <v>4049.5858407265996</v>
      </c>
      <c r="J56" s="142"/>
      <c r="K56" s="143">
        <v>856848.44116831839</v>
      </c>
    </row>
    <row r="57" spans="2:11">
      <c r="B57" s="25">
        <v>20</v>
      </c>
      <c r="C57" s="144">
        <f t="shared" si="4"/>
        <v>211.58915377247015</v>
      </c>
      <c r="D57" s="18">
        <f t="shared" si="7"/>
        <v>1</v>
      </c>
      <c r="E57" s="29">
        <f t="shared" si="5"/>
        <v>4054.2721109837885</v>
      </c>
      <c r="F57" s="30">
        <f t="shared" si="6"/>
        <v>4054.2721109837885</v>
      </c>
      <c r="I57" s="11">
        <v>4054.2721109837885</v>
      </c>
      <c r="J57" s="142"/>
      <c r="K57" s="143">
        <v>857840.00512638595</v>
      </c>
    </row>
    <row r="58" spans="2:11">
      <c r="B58" s="25">
        <v>21</v>
      </c>
      <c r="C58" s="144">
        <f t="shared" si="4"/>
        <v>211.58915377247013</v>
      </c>
      <c r="D58" s="18">
        <f t="shared" si="7"/>
        <v>1</v>
      </c>
      <c r="E58" s="29">
        <f t="shared" si="5"/>
        <v>4060.0359430875806</v>
      </c>
      <c r="F58" s="30">
        <f t="shared" si="6"/>
        <v>4060.0359430875806</v>
      </c>
      <c r="I58" s="11">
        <v>4060.0359430875806</v>
      </c>
      <c r="J58" s="142"/>
      <c r="K58" s="143">
        <v>859059.56948371383</v>
      </c>
    </row>
    <row r="59" spans="2:11">
      <c r="B59" s="25">
        <v>22</v>
      </c>
      <c r="C59" s="144">
        <f t="shared" si="4"/>
        <v>211.58915377247013</v>
      </c>
      <c r="D59" s="18">
        <f t="shared" si="7"/>
        <v>1</v>
      </c>
      <c r="E59" s="29">
        <f t="shared" si="5"/>
        <v>4064.0385200928263</v>
      </c>
      <c r="F59" s="30">
        <f t="shared" si="6"/>
        <v>4064.0385200928263</v>
      </c>
      <c r="I59" s="11">
        <v>4064.0385200928263</v>
      </c>
      <c r="J59" s="142"/>
      <c r="K59" s="143">
        <v>859906.47136516299</v>
      </c>
    </row>
    <row r="60" spans="2:11">
      <c r="B60" s="25">
        <v>23</v>
      </c>
      <c r="C60" s="144">
        <f t="shared" si="4"/>
        <v>211.5891537724701</v>
      </c>
      <c r="D60" s="18">
        <f t="shared" si="7"/>
        <v>1</v>
      </c>
      <c r="E60" s="29">
        <f t="shared" si="5"/>
        <v>4068.0410970980729</v>
      </c>
      <c r="F60" s="30">
        <f t="shared" si="6"/>
        <v>4068.0410970980729</v>
      </c>
      <c r="I60" s="11">
        <v>4068.0410970980729</v>
      </c>
      <c r="J60" s="142"/>
      <c r="K60" s="143">
        <v>860753.37324661214</v>
      </c>
    </row>
    <row r="61" spans="2:11">
      <c r="B61" s="25">
        <v>24</v>
      </c>
      <c r="C61" s="144">
        <f t="shared" si="4"/>
        <v>211.58915377247018</v>
      </c>
      <c r="D61" s="18">
        <f t="shared" si="7"/>
        <v>1</v>
      </c>
      <c r="E61" s="29">
        <f t="shared" si="5"/>
        <v>4072.0436741033182</v>
      </c>
      <c r="F61" s="30">
        <f t="shared" si="6"/>
        <v>4072.0436741033182</v>
      </c>
      <c r="G61" s="3"/>
      <c r="H61" s="3"/>
      <c r="I61" s="140">
        <v>4072.0436741033182</v>
      </c>
      <c r="J61" s="141"/>
      <c r="K61" s="143">
        <v>861600.27512806142</v>
      </c>
    </row>
    <row r="62" spans="2:11">
      <c r="B62" s="25">
        <v>25</v>
      </c>
      <c r="C62" s="144">
        <f t="shared" si="4"/>
        <v>211.58915377247015</v>
      </c>
      <c r="D62" s="18">
        <f t="shared" si="7"/>
        <v>1</v>
      </c>
      <c r="E62" s="29">
        <f t="shared" si="5"/>
        <v>4076.0462511085643</v>
      </c>
      <c r="F62" s="30">
        <f t="shared" si="6"/>
        <v>4076.0462511085643</v>
      </c>
      <c r="G62" s="3"/>
      <c r="H62" s="3"/>
      <c r="I62" s="140">
        <v>4076.0462511085643</v>
      </c>
      <c r="J62" s="141"/>
      <c r="K62" s="143">
        <v>862447.17700951046</v>
      </c>
    </row>
    <row r="63" spans="2:11">
      <c r="B63" s="25">
        <v>26</v>
      </c>
      <c r="C63" s="144">
        <f t="shared" si="4"/>
        <v>211.58915377247013</v>
      </c>
      <c r="D63" s="18">
        <f t="shared" si="7"/>
        <v>1</v>
      </c>
      <c r="E63" s="29">
        <f t="shared" si="5"/>
        <v>4081.8100832123555</v>
      </c>
      <c r="F63" s="30">
        <f t="shared" si="6"/>
        <v>4081.8100832123555</v>
      </c>
      <c r="I63" s="11">
        <v>4081.8100832123555</v>
      </c>
      <c r="J63" s="142"/>
      <c r="K63" s="143">
        <v>863666.74136683822</v>
      </c>
    </row>
    <row r="64" spans="2:11">
      <c r="B64" s="25">
        <v>27</v>
      </c>
      <c r="C64" s="144">
        <f t="shared" si="4"/>
        <v>211.58915377247015</v>
      </c>
      <c r="D64" s="18">
        <f t="shared" si="7"/>
        <v>1</v>
      </c>
      <c r="E64" s="29">
        <f t="shared" si="5"/>
        <v>4086.0073637994469</v>
      </c>
      <c r="F64" s="30">
        <f t="shared" si="6"/>
        <v>4086.0073637994469</v>
      </c>
      <c r="G64" s="3"/>
      <c r="H64" s="3"/>
      <c r="I64" s="140">
        <v>4086.0073637994469</v>
      </c>
      <c r="J64" s="141"/>
      <c r="K64" s="143">
        <v>864554.84041440662</v>
      </c>
    </row>
    <row r="65" spans="2:11">
      <c r="B65" s="25">
        <v>28</v>
      </c>
      <c r="C65" s="144">
        <f t="shared" si="4"/>
        <v>211.58915377247015</v>
      </c>
      <c r="D65" s="18">
        <f t="shared" si="7"/>
        <v>1</v>
      </c>
      <c r="E65" s="29">
        <f t="shared" si="5"/>
        <v>4090.3042268929453</v>
      </c>
      <c r="F65" s="30">
        <f t="shared" si="6"/>
        <v>4090.3042268929453</v>
      </c>
      <c r="G65" s="3"/>
      <c r="H65" s="3"/>
      <c r="I65" s="140">
        <v>4090.3042268929453</v>
      </c>
      <c r="J65" s="141"/>
      <c r="K65" s="143">
        <v>865464.01004023605</v>
      </c>
    </row>
    <row r="66" spans="2:11">
      <c r="B66" s="25">
        <v>29</v>
      </c>
      <c r="C66" s="144">
        <f t="shared" si="4"/>
        <v>211.58915377247021</v>
      </c>
      <c r="D66" s="18">
        <f t="shared" si="7"/>
        <v>1</v>
      </c>
      <c r="E66" s="29">
        <f t="shared" si="5"/>
        <v>4094.7957935682884</v>
      </c>
      <c r="F66" s="30">
        <f t="shared" si="6"/>
        <v>4094.7957935682884</v>
      </c>
      <c r="G66" s="3"/>
      <c r="H66" s="3"/>
      <c r="I66" s="140">
        <v>4094.7957935682884</v>
      </c>
      <c r="J66" s="141"/>
      <c r="K66" s="143">
        <v>866414.37683218473</v>
      </c>
    </row>
    <row r="67" spans="2:11" ht="13.5" thickBot="1">
      <c r="B67" s="26">
        <v>30</v>
      </c>
      <c r="C67" s="144">
        <f t="shared" si="4"/>
        <v>211.58915377247015</v>
      </c>
      <c r="D67" s="18">
        <f t="shared" si="7"/>
        <v>1</v>
      </c>
      <c r="E67" s="29">
        <f t="shared" si="5"/>
        <v>4097.2362804878048</v>
      </c>
      <c r="F67" s="30">
        <f t="shared" si="6"/>
        <v>4097.2362804878048</v>
      </c>
      <c r="G67" s="3"/>
      <c r="H67" s="3"/>
      <c r="I67" s="140">
        <v>4097.2362804878048</v>
      </c>
      <c r="J67" s="141"/>
      <c r="K67" s="143">
        <v>866930.75739427784</v>
      </c>
    </row>
    <row r="69" spans="2:11">
      <c r="C69" s="14">
        <f>AVERAGE(C38:C67)</f>
        <v>207.98773005096788</v>
      </c>
      <c r="F69" s="9">
        <f>SUM(F38:F68)</f>
        <v>127642.26384249456</v>
      </c>
    </row>
  </sheetData>
  <mergeCells count="1">
    <mergeCell ref="B1:F1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7">
    <tabColor rgb="FF7030A0"/>
  </sheetPr>
  <dimension ref="B1:N33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7.85546875" style="2" customWidth="1"/>
    <col min="3" max="6" width="19.140625" style="2" customWidth="1"/>
    <col min="7" max="7" width="2.7109375" style="2" customWidth="1"/>
    <col min="8" max="8" width="11.5703125" style="2" customWidth="1"/>
    <col min="9" max="9" width="13" style="2" customWidth="1"/>
    <col min="10" max="12" width="11.5703125" style="2"/>
    <col min="13" max="13" width="13.85546875" style="2" bestFit="1" customWidth="1"/>
    <col min="14" max="16384" width="11.5703125" style="2"/>
  </cols>
  <sheetData>
    <row r="1" spans="2:9" s="1" customFormat="1" ht="30" customHeight="1">
      <c r="B1" s="1572" t="s">
        <v>50</v>
      </c>
      <c r="C1" s="1572"/>
      <c r="D1" s="1572"/>
      <c r="E1" s="1572"/>
      <c r="F1" s="1572"/>
    </row>
    <row r="2" spans="2:9" ht="20.25" customHeight="1" thickBot="1">
      <c r="B2" s="89" t="s">
        <v>95</v>
      </c>
      <c r="C2" s="41"/>
      <c r="D2" s="41"/>
      <c r="E2" s="41"/>
      <c r="F2" s="134"/>
    </row>
    <row r="3" spans="2:9" ht="48" customHeight="1" thickBot="1">
      <c r="B3" s="413" t="s">
        <v>1</v>
      </c>
      <c r="C3" s="414" t="s">
        <v>17</v>
      </c>
      <c r="D3" s="49" t="s">
        <v>5</v>
      </c>
      <c r="E3" s="49" t="s">
        <v>6</v>
      </c>
      <c r="F3" s="49" t="s">
        <v>7</v>
      </c>
      <c r="H3" s="611" t="s">
        <v>405</v>
      </c>
      <c r="I3" s="611" t="s">
        <v>404</v>
      </c>
    </row>
    <row r="4" spans="2:9" s="3" customFormat="1" ht="20.25" customHeight="1">
      <c r="B4" s="93">
        <v>1</v>
      </c>
      <c r="C4" s="607">
        <v>0</v>
      </c>
      <c r="D4" s="600">
        <v>0</v>
      </c>
      <c r="E4" s="600">
        <v>0</v>
      </c>
      <c r="F4" s="601">
        <v>0</v>
      </c>
    </row>
    <row r="5" spans="2:9" ht="20.25" customHeight="1">
      <c r="B5" s="98">
        <v>2</v>
      </c>
      <c r="C5" s="608">
        <v>0</v>
      </c>
      <c r="D5" s="606">
        <v>0</v>
      </c>
      <c r="E5" s="606">
        <f>C5*'3 Vol'!C5</f>
        <v>0</v>
      </c>
      <c r="F5" s="609">
        <f>E5*D5</f>
        <v>0</v>
      </c>
    </row>
    <row r="6" spans="2:9" ht="20.25" customHeight="1">
      <c r="B6" s="98">
        <v>3</v>
      </c>
      <c r="C6" s="608">
        <v>0</v>
      </c>
      <c r="D6" s="606">
        <v>0</v>
      </c>
      <c r="E6" s="606">
        <f>C6*'3 Vol'!C6</f>
        <v>0</v>
      </c>
      <c r="F6" s="609">
        <f>E6*D6</f>
        <v>0</v>
      </c>
    </row>
    <row r="7" spans="2:9" ht="20.25" customHeight="1">
      <c r="B7" s="98">
        <v>4</v>
      </c>
      <c r="C7" s="608">
        <v>0</v>
      </c>
      <c r="D7" s="606">
        <v>0</v>
      </c>
      <c r="E7" s="606">
        <v>0</v>
      </c>
      <c r="F7" s="609">
        <v>0</v>
      </c>
    </row>
    <row r="8" spans="2:9" s="3" customFormat="1" ht="20.25" customHeight="1">
      <c r="B8" s="98">
        <v>5</v>
      </c>
      <c r="C8" s="420">
        <v>3.1736340838077064E-4</v>
      </c>
      <c r="D8" s="107">
        <v>14.2</v>
      </c>
      <c r="E8" s="908">
        <f>I8*C8</f>
        <v>86.6</v>
      </c>
      <c r="F8" s="914">
        <f>D8*E8</f>
        <v>1229.7199999999998</v>
      </c>
      <c r="H8" s="610">
        <v>545746.59657106944</v>
      </c>
      <c r="I8" s="612">
        <f>('4 R1 Vazões'!G9*86.4)*365</f>
        <v>272873.29828553472</v>
      </c>
    </row>
    <row r="9" spans="2:9" ht="20.25" customHeight="1">
      <c r="B9" s="98">
        <v>6</v>
      </c>
      <c r="C9" s="420">
        <f>C8</f>
        <v>3.1736340838077064E-4</v>
      </c>
      <c r="D9" s="107">
        <f>D8</f>
        <v>14.2</v>
      </c>
      <c r="E9" s="908">
        <f>I9*C9</f>
        <v>128.90002221119127</v>
      </c>
      <c r="F9" s="914">
        <f t="shared" ref="F9:F33" si="0">D9*E9</f>
        <v>1830.3803153989159</v>
      </c>
      <c r="H9" s="610">
        <v>560219.38695303735</v>
      </c>
      <c r="I9" s="612">
        <f>('4 R1 Vazões'!G10*86.4)*365</f>
        <v>406159.05554095207</v>
      </c>
    </row>
    <row r="10" spans="2:9" ht="20.25" customHeight="1">
      <c r="B10" s="98">
        <v>7</v>
      </c>
      <c r="C10" s="420">
        <f t="shared" ref="C10:C33" si="1">C9</f>
        <v>3.1736340838077064E-4</v>
      </c>
      <c r="D10" s="107">
        <f t="shared" ref="D10:D33" si="2">D9</f>
        <v>14.2</v>
      </c>
      <c r="E10" s="908">
        <f t="shared" ref="E10:E33" si="3">I10*C10</f>
        <v>153.19508584946701</v>
      </c>
      <c r="F10" s="914">
        <f t="shared" si="0"/>
        <v>2175.3702190624313</v>
      </c>
      <c r="H10" s="610">
        <v>567896.32328324567</v>
      </c>
      <c r="I10" s="612">
        <f>('4 R1 Vazões'!G11*86.4)*365</f>
        <v>482711.87479075877</v>
      </c>
    </row>
    <row r="11" spans="2:9" ht="20.25" customHeight="1">
      <c r="B11" s="98">
        <v>8</v>
      </c>
      <c r="C11" s="420">
        <f t="shared" si="1"/>
        <v>3.1736340838077064E-4</v>
      </c>
      <c r="D11" s="107">
        <f t="shared" si="2"/>
        <v>14.2</v>
      </c>
      <c r="E11" s="908">
        <f t="shared" si="3"/>
        <v>164.47309430438074</v>
      </c>
      <c r="F11" s="914">
        <f t="shared" si="0"/>
        <v>2335.5179391222064</v>
      </c>
      <c r="H11" s="610">
        <v>719789.51312009513</v>
      </c>
      <c r="I11" s="612">
        <f>('4 R1 Vazões'!G12*86.4)*365</f>
        <v>518248.4494464685</v>
      </c>
    </row>
    <row r="12" spans="2:9" s="3" customFormat="1" ht="20.25" customHeight="1">
      <c r="B12" s="98">
        <v>9</v>
      </c>
      <c r="C12" s="420">
        <f t="shared" si="1"/>
        <v>3.1736340838077064E-4</v>
      </c>
      <c r="D12" s="107">
        <f t="shared" si="2"/>
        <v>14.2</v>
      </c>
      <c r="E12" s="908">
        <f t="shared" si="3"/>
        <v>171.58593472981323</v>
      </c>
      <c r="F12" s="914">
        <f t="shared" si="0"/>
        <v>2436.5202731633476</v>
      </c>
      <c r="H12" s="610">
        <v>720880.98459015589</v>
      </c>
      <c r="I12" s="612">
        <f>('4 R1 Vazões'!G13*86.4)*365</f>
        <v>540660.73844261689</v>
      </c>
    </row>
    <row r="13" spans="2:9" s="3" customFormat="1" ht="20.25" customHeight="1">
      <c r="B13" s="98">
        <v>10</v>
      </c>
      <c r="C13" s="420">
        <f t="shared" si="1"/>
        <v>3.1736340838077064E-4</v>
      </c>
      <c r="D13" s="107">
        <f t="shared" si="2"/>
        <v>14.2</v>
      </c>
      <c r="E13" s="908">
        <f t="shared" si="3"/>
        <v>181.02453333678415</v>
      </c>
      <c r="F13" s="914">
        <f t="shared" si="0"/>
        <v>2570.5483733823348</v>
      </c>
      <c r="H13" s="610">
        <v>722027.09214792319</v>
      </c>
      <c r="I13" s="612">
        <f>('4 R1 Vazões'!G14*86.4)*365</f>
        <v>570401.40279685939</v>
      </c>
    </row>
    <row r="14" spans="2:9" ht="20.25" customHeight="1">
      <c r="B14" s="98">
        <v>11</v>
      </c>
      <c r="C14" s="420">
        <f t="shared" si="1"/>
        <v>3.1736340838077064E-4</v>
      </c>
      <c r="D14" s="107">
        <f t="shared" si="2"/>
        <v>14.2</v>
      </c>
      <c r="E14" s="908">
        <f t="shared" si="3"/>
        <v>199.66699569616571</v>
      </c>
      <c r="F14" s="914">
        <f t="shared" si="0"/>
        <v>2835.2713388855532</v>
      </c>
      <c r="H14" s="610">
        <v>723152.97807831503</v>
      </c>
      <c r="I14" s="612">
        <f>('4 R1 Vazões'!G15*86.4)*365</f>
        <v>629143.09092813404</v>
      </c>
    </row>
    <row r="15" spans="2:9" ht="20.25" customHeight="1">
      <c r="B15" s="98">
        <v>12</v>
      </c>
      <c r="C15" s="420">
        <f t="shared" si="1"/>
        <v>3.1736340838077064E-4</v>
      </c>
      <c r="D15" s="107">
        <f t="shared" si="2"/>
        <v>14.2</v>
      </c>
      <c r="E15" s="107">
        <f t="shared" si="3"/>
        <v>229.83134658247042</v>
      </c>
      <c r="F15" s="419">
        <f t="shared" si="0"/>
        <v>3263.6051214710797</v>
      </c>
      <c r="H15" s="610">
        <v>724189.81052384025</v>
      </c>
      <c r="I15" s="610">
        <f>('4 R1 Vazões'!G16*86.4)*365</f>
        <v>724189.81052384025</v>
      </c>
    </row>
    <row r="16" spans="2:9" ht="20.25" customHeight="1">
      <c r="B16" s="98">
        <v>13</v>
      </c>
      <c r="C16" s="420">
        <f t="shared" si="1"/>
        <v>3.1736340838077064E-4</v>
      </c>
      <c r="D16" s="107">
        <f t="shared" si="2"/>
        <v>14.2</v>
      </c>
      <c r="E16" s="107">
        <f t="shared" si="3"/>
        <v>230.16039926130196</v>
      </c>
      <c r="F16" s="419">
        <f t="shared" si="0"/>
        <v>3268.2776695104876</v>
      </c>
      <c r="H16" s="610">
        <v>725226.64296936512</v>
      </c>
      <c r="I16" s="610">
        <f>('4 R1 Vazões'!G17*86.4)*365</f>
        <v>725226.64296936512</v>
      </c>
    </row>
    <row r="17" spans="2:14" ht="20.25" customHeight="1">
      <c r="B17" s="98">
        <v>14</v>
      </c>
      <c r="C17" s="420">
        <f t="shared" si="1"/>
        <v>3.1736340838077064E-4</v>
      </c>
      <c r="D17" s="107">
        <f t="shared" si="2"/>
        <v>14.2</v>
      </c>
      <c r="E17" s="107">
        <f t="shared" si="3"/>
        <v>230.48945194013365</v>
      </c>
      <c r="F17" s="419">
        <f t="shared" si="0"/>
        <v>3272.9502175498978</v>
      </c>
      <c r="H17" s="610">
        <v>726263.47541489045</v>
      </c>
      <c r="I17" s="610">
        <f>('4 R1 Vazões'!G18*86.4)*365</f>
        <v>726263.47541489045</v>
      </c>
    </row>
    <row r="18" spans="2:14" ht="20.25" customHeight="1">
      <c r="B18" s="98">
        <v>15</v>
      </c>
      <c r="C18" s="420">
        <f t="shared" si="1"/>
        <v>3.1736340838077064E-4</v>
      </c>
      <c r="D18" s="107">
        <f t="shared" si="2"/>
        <v>14.2</v>
      </c>
      <c r="E18" s="107">
        <f t="shared" si="3"/>
        <v>230.81850461896531</v>
      </c>
      <c r="F18" s="419">
        <f t="shared" si="0"/>
        <v>3277.6227655893072</v>
      </c>
      <c r="H18" s="610">
        <v>727300.30786041566</v>
      </c>
      <c r="I18" s="610">
        <f>('4 R1 Vazões'!G19*86.4)*365</f>
        <v>727300.30786041566</v>
      </c>
    </row>
    <row r="19" spans="2:14" ht="20.25" customHeight="1">
      <c r="B19" s="98">
        <v>16</v>
      </c>
      <c r="C19" s="420">
        <f t="shared" si="1"/>
        <v>3.1736340838077064E-4</v>
      </c>
      <c r="D19" s="107">
        <f t="shared" si="2"/>
        <v>14.2</v>
      </c>
      <c r="E19" s="107">
        <f t="shared" si="3"/>
        <v>231.0839318366489</v>
      </c>
      <c r="F19" s="419">
        <f t="shared" si="0"/>
        <v>3281.3918320804141</v>
      </c>
      <c r="H19" s="610">
        <v>728136.65890364978</v>
      </c>
      <c r="I19" s="610">
        <f>('4 R1 Vazões'!G20*86.4)*365</f>
        <v>728136.65890364978</v>
      </c>
    </row>
    <row r="20" spans="2:14" ht="20.25" customHeight="1">
      <c r="B20" s="98">
        <v>17</v>
      </c>
      <c r="C20" s="420">
        <f t="shared" si="1"/>
        <v>3.1736340838077064E-4</v>
      </c>
      <c r="D20" s="107">
        <f t="shared" si="2"/>
        <v>14.2</v>
      </c>
      <c r="E20" s="107">
        <f t="shared" si="3"/>
        <v>231.35194869489533</v>
      </c>
      <c r="F20" s="419">
        <f t="shared" si="0"/>
        <v>3285.1976714675134</v>
      </c>
      <c r="H20" s="610">
        <v>728981.16980556468</v>
      </c>
      <c r="I20" s="610">
        <f>('4 R1 Vazões'!G21*86.4)*365</f>
        <v>728981.16980556468</v>
      </c>
    </row>
    <row r="21" spans="2:14" ht="20.25" customHeight="1">
      <c r="B21" s="98">
        <v>18</v>
      </c>
      <c r="C21" s="420">
        <f t="shared" si="1"/>
        <v>3.1736340838077064E-4</v>
      </c>
      <c r="D21" s="107">
        <f t="shared" si="2"/>
        <v>14.2</v>
      </c>
      <c r="E21" s="107">
        <f t="shared" si="3"/>
        <v>231.61996555314181</v>
      </c>
      <c r="F21" s="419">
        <f t="shared" si="0"/>
        <v>3289.0035108546135</v>
      </c>
      <c r="H21" s="610">
        <v>729825.68070747971</v>
      </c>
      <c r="I21" s="610">
        <f>('4 R1 Vazões'!G22*86.4)*365</f>
        <v>729825.68070747971</v>
      </c>
      <c r="M21" s="9"/>
      <c r="N21" s="1146"/>
    </row>
    <row r="22" spans="2:14" ht="20.25" customHeight="1">
      <c r="B22" s="98">
        <v>19</v>
      </c>
      <c r="C22" s="420">
        <f t="shared" si="1"/>
        <v>3.1736340838077064E-4</v>
      </c>
      <c r="D22" s="107">
        <f t="shared" si="2"/>
        <v>14.2</v>
      </c>
      <c r="E22" s="107">
        <f t="shared" si="3"/>
        <v>231.88798241138826</v>
      </c>
      <c r="F22" s="419">
        <f t="shared" si="0"/>
        <v>3292.8093502417132</v>
      </c>
      <c r="H22" s="610">
        <v>730670.19160939474</v>
      </c>
      <c r="I22" s="610">
        <f>('4 R1 Vazões'!G23*86.4)*365</f>
        <v>730670.19160939474</v>
      </c>
      <c r="M22" s="9"/>
    </row>
    <row r="23" spans="2:14" ht="20.25" customHeight="1">
      <c r="B23" s="98">
        <v>20</v>
      </c>
      <c r="C23" s="420">
        <f t="shared" si="1"/>
        <v>3.1736340838077064E-4</v>
      </c>
      <c r="D23" s="107">
        <f t="shared" si="2"/>
        <v>14.2</v>
      </c>
      <c r="E23" s="107">
        <f t="shared" si="3"/>
        <v>232.15599926963475</v>
      </c>
      <c r="F23" s="419">
        <f t="shared" si="0"/>
        <v>3296.6151896288134</v>
      </c>
      <c r="H23" s="610">
        <v>731514.70251130976</v>
      </c>
      <c r="I23" s="610">
        <f>('4 R1 Vazões'!G24*86.4)*365</f>
        <v>731514.70251130976</v>
      </c>
    </row>
    <row r="24" spans="2:14" ht="20.25" customHeight="1">
      <c r="B24" s="98">
        <v>21</v>
      </c>
      <c r="C24" s="420">
        <f t="shared" si="1"/>
        <v>3.1736340838077064E-4</v>
      </c>
      <c r="D24" s="107">
        <f t="shared" si="2"/>
        <v>14.2</v>
      </c>
      <c r="E24" s="107">
        <f t="shared" si="3"/>
        <v>232.48696613673769</v>
      </c>
      <c r="F24" s="419">
        <f t="shared" si="0"/>
        <v>3301.3149191416751</v>
      </c>
      <c r="H24" s="610">
        <v>732557.56649109744</v>
      </c>
      <c r="I24" s="610">
        <f>('4 R1 Vazões'!G25*86.4)*365</f>
        <v>732557.56649109744</v>
      </c>
    </row>
    <row r="25" spans="2:14" ht="20.25" customHeight="1">
      <c r="B25" s="98">
        <v>22</v>
      </c>
      <c r="C25" s="420">
        <f t="shared" si="1"/>
        <v>3.1736340838077064E-4</v>
      </c>
      <c r="D25" s="107">
        <f t="shared" si="2"/>
        <v>14.2</v>
      </c>
      <c r="E25" s="107">
        <f t="shared" si="3"/>
        <v>232.71578879501203</v>
      </c>
      <c r="F25" s="419">
        <f t="shared" si="0"/>
        <v>3304.5642008891705</v>
      </c>
      <c r="H25" s="610">
        <v>733278.57796321961</v>
      </c>
      <c r="I25" s="610">
        <f>('4 R1 Vazões'!G26*86.4)*365</f>
        <v>733278.57796321961</v>
      </c>
    </row>
    <row r="26" spans="2:14" ht="20.25" customHeight="1">
      <c r="B26" s="98">
        <v>23</v>
      </c>
      <c r="C26" s="420">
        <f t="shared" si="1"/>
        <v>3.1736340838077064E-4</v>
      </c>
      <c r="D26" s="107">
        <f t="shared" si="2"/>
        <v>14.2</v>
      </c>
      <c r="E26" s="107">
        <f t="shared" si="3"/>
        <v>232.94461145328651</v>
      </c>
      <c r="F26" s="419">
        <f t="shared" si="0"/>
        <v>3307.8134826366681</v>
      </c>
      <c r="H26" s="610">
        <v>733999.58943534223</v>
      </c>
      <c r="I26" s="610">
        <f>('4 R1 Vazões'!G27*86.4)*365</f>
        <v>733999.58943534223</v>
      </c>
    </row>
    <row r="27" spans="2:14" s="3" customFormat="1" ht="20.25" customHeight="1">
      <c r="B27" s="98">
        <v>24</v>
      </c>
      <c r="C27" s="420">
        <f t="shared" si="1"/>
        <v>3.1736340838077064E-4</v>
      </c>
      <c r="D27" s="107">
        <f t="shared" si="2"/>
        <v>14.2</v>
      </c>
      <c r="E27" s="107">
        <f t="shared" si="3"/>
        <v>233.17343411156091</v>
      </c>
      <c r="F27" s="419">
        <f t="shared" si="0"/>
        <v>3311.0627643841649</v>
      </c>
      <c r="H27" s="610">
        <v>734720.60090746463</v>
      </c>
      <c r="I27" s="610">
        <f>('4 R1 Vazões'!G28*86.4)*365</f>
        <v>734720.60090746463</v>
      </c>
    </row>
    <row r="28" spans="2:14" s="3" customFormat="1" ht="20.25" customHeight="1">
      <c r="B28" s="98">
        <v>25</v>
      </c>
      <c r="C28" s="420">
        <f t="shared" si="1"/>
        <v>3.1736340838077064E-4</v>
      </c>
      <c r="D28" s="107">
        <f t="shared" si="2"/>
        <v>14.2</v>
      </c>
      <c r="E28" s="107">
        <f t="shared" si="3"/>
        <v>233.4022567698353</v>
      </c>
      <c r="F28" s="419">
        <f t="shared" si="0"/>
        <v>3314.3120461316612</v>
      </c>
      <c r="H28" s="610">
        <v>735441.61237958702</v>
      </c>
      <c r="I28" s="610">
        <f>('4 R1 Vazões'!G29*86.4)*365</f>
        <v>735441.61237958702</v>
      </c>
    </row>
    <row r="29" spans="2:14" ht="20.25" customHeight="1">
      <c r="B29" s="98">
        <v>26</v>
      </c>
      <c r="C29" s="420">
        <f t="shared" si="1"/>
        <v>3.1736340838077064E-4</v>
      </c>
      <c r="D29" s="107">
        <f t="shared" si="2"/>
        <v>14.2</v>
      </c>
      <c r="E29" s="107">
        <f t="shared" si="3"/>
        <v>233.73322381165812</v>
      </c>
      <c r="F29" s="419">
        <f t="shared" si="0"/>
        <v>3319.0117781255453</v>
      </c>
      <c r="H29" s="610">
        <v>736484.47690991033</v>
      </c>
      <c r="I29" s="610">
        <f>('4 R1 Vazões'!G30*86.4)*365</f>
        <v>736484.47690991033</v>
      </c>
    </row>
    <row r="30" spans="2:14" s="3" customFormat="1" ht="20.25" customHeight="1">
      <c r="B30" s="98">
        <v>27</v>
      </c>
      <c r="C30" s="420">
        <f t="shared" si="1"/>
        <v>3.1736340838077064E-4</v>
      </c>
      <c r="D30" s="107">
        <f t="shared" si="2"/>
        <v>14.2</v>
      </c>
      <c r="E30" s="107">
        <f t="shared" si="3"/>
        <v>233.97297154655863</v>
      </c>
      <c r="F30" s="419">
        <f t="shared" si="0"/>
        <v>3322.4161959611324</v>
      </c>
      <c r="H30" s="610">
        <v>737239.91288195178</v>
      </c>
      <c r="I30" s="610">
        <f>('4 R1 Vazões'!G31*86.4)*365</f>
        <v>737239.91288195178</v>
      </c>
    </row>
    <row r="31" spans="2:14" s="3" customFormat="1" ht="20.25" customHeight="1">
      <c r="B31" s="98">
        <v>28</v>
      </c>
      <c r="C31" s="420">
        <f t="shared" si="1"/>
        <v>3.1736340838077064E-4</v>
      </c>
      <c r="D31" s="107">
        <f t="shared" si="2"/>
        <v>14.2</v>
      </c>
      <c r="E31" s="107">
        <f t="shared" si="3"/>
        <v>234.21913940658979</v>
      </c>
      <c r="F31" s="419">
        <f t="shared" si="0"/>
        <v>3325.9117795735747</v>
      </c>
      <c r="H31" s="610">
        <v>738015.578423506</v>
      </c>
      <c r="I31" s="610">
        <f>('4 R1 Vazões'!G32*86.4)*365</f>
        <v>738015.578423506</v>
      </c>
    </row>
    <row r="32" spans="2:14" s="3" customFormat="1" ht="20.25" customHeight="1">
      <c r="B32" s="98">
        <v>29</v>
      </c>
      <c r="C32" s="420">
        <f t="shared" si="1"/>
        <v>3.1736340838077064E-4</v>
      </c>
      <c r="D32" s="107">
        <f t="shared" si="2"/>
        <v>14.2</v>
      </c>
      <c r="E32" s="107">
        <f t="shared" si="3"/>
        <v>234.47623190529535</v>
      </c>
      <c r="F32" s="419">
        <f t="shared" si="0"/>
        <v>3329.562493055194</v>
      </c>
      <c r="H32" s="610">
        <v>738825.66708501009</v>
      </c>
      <c r="I32" s="610">
        <f>('4 R1 Vazões'!G33*86.4)*365</f>
        <v>738825.66708501009</v>
      </c>
    </row>
    <row r="33" spans="2:9" s="3" customFormat="1" ht="20.25" customHeight="1" thickBot="1">
      <c r="B33" s="100">
        <v>30</v>
      </c>
      <c r="C33" s="421">
        <f t="shared" si="1"/>
        <v>3.1736340838077064E-4</v>
      </c>
      <c r="D33" s="369">
        <f t="shared" si="2"/>
        <v>14.2</v>
      </c>
      <c r="E33" s="369">
        <f t="shared" si="3"/>
        <v>234.61572675829623</v>
      </c>
      <c r="F33" s="371">
        <f t="shared" si="0"/>
        <v>3331.5433199678064</v>
      </c>
      <c r="H33" s="610">
        <v>739265.21004843048</v>
      </c>
      <c r="I33" s="610">
        <f>('4 R1 Vazões'!G34*86.4)*365</f>
        <v>739265.21004843048</v>
      </c>
    </row>
  </sheetData>
  <mergeCells count="1">
    <mergeCell ref="B1:F1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  <pageSetUpPr fitToPage="1"/>
  </sheetPr>
  <dimension ref="B1:N28"/>
  <sheetViews>
    <sheetView showGridLines="0" workbookViewId="0">
      <selection activeCell="B19" sqref="B19:B22"/>
    </sheetView>
  </sheetViews>
  <sheetFormatPr defaultRowHeight="12.75"/>
  <cols>
    <col min="1" max="1" width="2.7109375" style="153" customWidth="1"/>
    <col min="2" max="5" width="16.85546875" style="153" customWidth="1"/>
    <col min="6" max="6" width="2.7109375" style="153" customWidth="1"/>
    <col min="7" max="8" width="15.140625" style="153" customWidth="1"/>
    <col min="9" max="9" width="2.7109375" style="153" customWidth="1"/>
    <col min="10" max="11" width="13" style="153" customWidth="1"/>
    <col min="12" max="12" width="2.7109375" style="153" customWidth="1"/>
    <col min="13" max="14" width="16.85546875" customWidth="1"/>
    <col min="15" max="257" width="9.140625" style="153"/>
    <col min="258" max="261" width="16.85546875" style="153" customWidth="1"/>
    <col min="262" max="513" width="9.140625" style="153"/>
    <col min="514" max="517" width="16.85546875" style="153" customWidth="1"/>
    <col min="518" max="769" width="9.140625" style="153"/>
    <col min="770" max="773" width="16.85546875" style="153" customWidth="1"/>
    <col min="774" max="1025" width="9.140625" style="153"/>
    <col min="1026" max="1029" width="16.85546875" style="153" customWidth="1"/>
    <col min="1030" max="1281" width="9.140625" style="153"/>
    <col min="1282" max="1285" width="16.85546875" style="153" customWidth="1"/>
    <col min="1286" max="1537" width="9.140625" style="153"/>
    <col min="1538" max="1541" width="16.85546875" style="153" customWidth="1"/>
    <col min="1542" max="1793" width="9.140625" style="153"/>
    <col min="1794" max="1797" width="16.85546875" style="153" customWidth="1"/>
    <col min="1798" max="2049" width="9.140625" style="153"/>
    <col min="2050" max="2053" width="16.85546875" style="153" customWidth="1"/>
    <col min="2054" max="2305" width="9.140625" style="153"/>
    <col min="2306" max="2309" width="16.85546875" style="153" customWidth="1"/>
    <col min="2310" max="2561" width="9.140625" style="153"/>
    <col min="2562" max="2565" width="16.85546875" style="153" customWidth="1"/>
    <col min="2566" max="2817" width="9.140625" style="153"/>
    <col min="2818" max="2821" width="16.85546875" style="153" customWidth="1"/>
    <col min="2822" max="3073" width="9.140625" style="153"/>
    <col min="3074" max="3077" width="16.85546875" style="153" customWidth="1"/>
    <col min="3078" max="3329" width="9.140625" style="153"/>
    <col min="3330" max="3333" width="16.85546875" style="153" customWidth="1"/>
    <col min="3334" max="3585" width="9.140625" style="153"/>
    <col min="3586" max="3589" width="16.85546875" style="153" customWidth="1"/>
    <col min="3590" max="3841" width="9.140625" style="153"/>
    <col min="3842" max="3845" width="16.85546875" style="153" customWidth="1"/>
    <col min="3846" max="4097" width="9.140625" style="153"/>
    <col min="4098" max="4101" width="16.85546875" style="153" customWidth="1"/>
    <col min="4102" max="4353" width="9.140625" style="153"/>
    <col min="4354" max="4357" width="16.85546875" style="153" customWidth="1"/>
    <col min="4358" max="4609" width="9.140625" style="153"/>
    <col min="4610" max="4613" width="16.85546875" style="153" customWidth="1"/>
    <col min="4614" max="4865" width="9.140625" style="153"/>
    <col min="4866" max="4869" width="16.85546875" style="153" customWidth="1"/>
    <col min="4870" max="5121" width="9.140625" style="153"/>
    <col min="5122" max="5125" width="16.85546875" style="153" customWidth="1"/>
    <col min="5126" max="5377" width="9.140625" style="153"/>
    <col min="5378" max="5381" width="16.85546875" style="153" customWidth="1"/>
    <col min="5382" max="5633" width="9.140625" style="153"/>
    <col min="5634" max="5637" width="16.85546875" style="153" customWidth="1"/>
    <col min="5638" max="5889" width="9.140625" style="153"/>
    <col min="5890" max="5893" width="16.85546875" style="153" customWidth="1"/>
    <col min="5894" max="6145" width="9.140625" style="153"/>
    <col min="6146" max="6149" width="16.85546875" style="153" customWidth="1"/>
    <col min="6150" max="6401" width="9.140625" style="153"/>
    <col min="6402" max="6405" width="16.85546875" style="153" customWidth="1"/>
    <col min="6406" max="6657" width="9.140625" style="153"/>
    <col min="6658" max="6661" width="16.85546875" style="153" customWidth="1"/>
    <col min="6662" max="6913" width="9.140625" style="153"/>
    <col min="6914" max="6917" width="16.85546875" style="153" customWidth="1"/>
    <col min="6918" max="7169" width="9.140625" style="153"/>
    <col min="7170" max="7173" width="16.85546875" style="153" customWidth="1"/>
    <col min="7174" max="7425" width="9.140625" style="153"/>
    <col min="7426" max="7429" width="16.85546875" style="153" customWidth="1"/>
    <col min="7430" max="7681" width="9.140625" style="153"/>
    <col min="7682" max="7685" width="16.85546875" style="153" customWidth="1"/>
    <col min="7686" max="7937" width="9.140625" style="153"/>
    <col min="7938" max="7941" width="16.85546875" style="153" customWidth="1"/>
    <col min="7942" max="8193" width="9.140625" style="153"/>
    <col min="8194" max="8197" width="16.85546875" style="153" customWidth="1"/>
    <col min="8198" max="8449" width="9.140625" style="153"/>
    <col min="8450" max="8453" width="16.85546875" style="153" customWidth="1"/>
    <col min="8454" max="8705" width="9.140625" style="153"/>
    <col min="8706" max="8709" width="16.85546875" style="153" customWidth="1"/>
    <col min="8710" max="8961" width="9.140625" style="153"/>
    <col min="8962" max="8965" width="16.85546875" style="153" customWidth="1"/>
    <col min="8966" max="9217" width="9.140625" style="153"/>
    <col min="9218" max="9221" width="16.85546875" style="153" customWidth="1"/>
    <col min="9222" max="9473" width="9.140625" style="153"/>
    <col min="9474" max="9477" width="16.85546875" style="153" customWidth="1"/>
    <col min="9478" max="9729" width="9.140625" style="153"/>
    <col min="9730" max="9733" width="16.85546875" style="153" customWidth="1"/>
    <col min="9734" max="9985" width="9.140625" style="153"/>
    <col min="9986" max="9989" width="16.85546875" style="153" customWidth="1"/>
    <col min="9990" max="10241" width="9.140625" style="153"/>
    <col min="10242" max="10245" width="16.85546875" style="153" customWidth="1"/>
    <col min="10246" max="10497" width="9.140625" style="153"/>
    <col min="10498" max="10501" width="16.85546875" style="153" customWidth="1"/>
    <col min="10502" max="10753" width="9.140625" style="153"/>
    <col min="10754" max="10757" width="16.85546875" style="153" customWidth="1"/>
    <col min="10758" max="11009" width="9.140625" style="153"/>
    <col min="11010" max="11013" width="16.85546875" style="153" customWidth="1"/>
    <col min="11014" max="11265" width="9.140625" style="153"/>
    <col min="11266" max="11269" width="16.85546875" style="153" customWidth="1"/>
    <col min="11270" max="11521" width="9.140625" style="153"/>
    <col min="11522" max="11525" width="16.85546875" style="153" customWidth="1"/>
    <col min="11526" max="11777" width="9.140625" style="153"/>
    <col min="11778" max="11781" width="16.85546875" style="153" customWidth="1"/>
    <col min="11782" max="12033" width="9.140625" style="153"/>
    <col min="12034" max="12037" width="16.85546875" style="153" customWidth="1"/>
    <col min="12038" max="12289" width="9.140625" style="153"/>
    <col min="12290" max="12293" width="16.85546875" style="153" customWidth="1"/>
    <col min="12294" max="12545" width="9.140625" style="153"/>
    <col min="12546" max="12549" width="16.85546875" style="153" customWidth="1"/>
    <col min="12550" max="12801" width="9.140625" style="153"/>
    <col min="12802" max="12805" width="16.85546875" style="153" customWidth="1"/>
    <col min="12806" max="13057" width="9.140625" style="153"/>
    <col min="13058" max="13061" width="16.85546875" style="153" customWidth="1"/>
    <col min="13062" max="13313" width="9.140625" style="153"/>
    <col min="13314" max="13317" width="16.85546875" style="153" customWidth="1"/>
    <col min="13318" max="13569" width="9.140625" style="153"/>
    <col min="13570" max="13573" width="16.85546875" style="153" customWidth="1"/>
    <col min="13574" max="13825" width="9.140625" style="153"/>
    <col min="13826" max="13829" width="16.85546875" style="153" customWidth="1"/>
    <col min="13830" max="14081" width="9.140625" style="153"/>
    <col min="14082" max="14085" width="16.85546875" style="153" customWidth="1"/>
    <col min="14086" max="14337" width="9.140625" style="153"/>
    <col min="14338" max="14341" width="16.85546875" style="153" customWidth="1"/>
    <col min="14342" max="14593" width="9.140625" style="153"/>
    <col min="14594" max="14597" width="16.85546875" style="153" customWidth="1"/>
    <col min="14598" max="14849" width="9.140625" style="153"/>
    <col min="14850" max="14853" width="16.85546875" style="153" customWidth="1"/>
    <col min="14854" max="15105" width="9.140625" style="153"/>
    <col min="15106" max="15109" width="16.85546875" style="153" customWidth="1"/>
    <col min="15110" max="15361" width="9.140625" style="153"/>
    <col min="15362" max="15365" width="16.85546875" style="153" customWidth="1"/>
    <col min="15366" max="15617" width="9.140625" style="153"/>
    <col min="15618" max="15621" width="16.85546875" style="153" customWidth="1"/>
    <col min="15622" max="15873" width="9.140625" style="153"/>
    <col min="15874" max="15877" width="16.85546875" style="153" customWidth="1"/>
    <col min="15878" max="16129" width="9.140625" style="153"/>
    <col min="16130" max="16133" width="16.85546875" style="153" customWidth="1"/>
    <col min="16134" max="16384" width="9.140625" style="153"/>
  </cols>
  <sheetData>
    <row r="1" spans="2:14" ht="16.5" customHeight="1" thickBot="1">
      <c r="B1" s="1679" t="s">
        <v>506</v>
      </c>
      <c r="C1" s="1679"/>
      <c r="D1" s="1679"/>
      <c r="E1" s="1679"/>
      <c r="F1" s="32"/>
      <c r="G1" s="358">
        <f>1-N3</f>
        <v>1.0199999999999987E-2</v>
      </c>
    </row>
    <row r="2" spans="2:14" ht="15.75" thickBot="1">
      <c r="B2" s="1674" t="s">
        <v>507</v>
      </c>
      <c r="C2" s="1678"/>
      <c r="D2" s="1678"/>
      <c r="E2" s="1675"/>
    </row>
    <row r="3" spans="2:14" ht="15.75" thickBot="1">
      <c r="B3" s="422"/>
      <c r="C3" s="422"/>
      <c r="D3" s="422"/>
      <c r="E3" s="422"/>
      <c r="G3" s="223"/>
      <c r="H3" s="224">
        <v>5.4407999999999998E-2</v>
      </c>
      <c r="J3" s="1680" t="s">
        <v>239</v>
      </c>
      <c r="K3" s="1681"/>
      <c r="M3" s="941" t="s">
        <v>240</v>
      </c>
      <c r="N3" s="424">
        <v>0.98980000000000001</v>
      </c>
    </row>
    <row r="4" spans="2:14" ht="15.75" thickBot="1">
      <c r="B4" s="1669" t="s">
        <v>100</v>
      </c>
      <c r="C4" s="1669" t="s">
        <v>101</v>
      </c>
      <c r="D4" s="1674" t="s">
        <v>102</v>
      </c>
      <c r="E4" s="1675"/>
      <c r="G4" s="1672" t="s">
        <v>102</v>
      </c>
      <c r="H4" s="1673"/>
      <c r="J4" s="1672" t="s">
        <v>102</v>
      </c>
      <c r="K4" s="1673"/>
      <c r="M4" s="1676" t="s">
        <v>102</v>
      </c>
      <c r="N4" s="1677"/>
    </row>
    <row r="5" spans="2:14" ht="31.5" customHeight="1" thickBot="1">
      <c r="B5" s="1671"/>
      <c r="C5" s="1671"/>
      <c r="D5" s="945" t="s">
        <v>103</v>
      </c>
      <c r="E5" s="946" t="s">
        <v>104</v>
      </c>
      <c r="G5" s="221" t="s">
        <v>103</v>
      </c>
      <c r="H5" s="222" t="s">
        <v>104</v>
      </c>
      <c r="J5" s="221" t="s">
        <v>103</v>
      </c>
      <c r="K5" s="222" t="s">
        <v>104</v>
      </c>
      <c r="M5" s="929" t="s">
        <v>103</v>
      </c>
      <c r="N5" s="930" t="s">
        <v>104</v>
      </c>
    </row>
    <row r="6" spans="2:14" ht="15.75" thickBot="1">
      <c r="B6" s="1669" t="s">
        <v>105</v>
      </c>
      <c r="C6" s="942" t="s">
        <v>106</v>
      </c>
      <c r="D6" s="982">
        <f>M6*(1+'R1 FC'!$C$18)</f>
        <v>6.298613071230144</v>
      </c>
      <c r="E6" s="982">
        <f>D6</f>
        <v>6.298613071230144</v>
      </c>
      <c r="G6" s="219">
        <f>(J6*$H$3)+J6</f>
        <v>6.0101256000000003</v>
      </c>
      <c r="H6" s="220">
        <f>(K6*$H$3)+K6</f>
        <v>4.8081004799999993</v>
      </c>
      <c r="J6" s="219">
        <v>5.7</v>
      </c>
      <c r="K6" s="220">
        <v>4.5599999999999996</v>
      </c>
      <c r="M6" s="927">
        <f t="shared" ref="M6:M26" si="0">G6*$N$3</f>
        <v>5.9488223188800005</v>
      </c>
      <c r="N6" s="928">
        <f t="shared" ref="N6:N26" si="1">H6*$N$3</f>
        <v>4.7590578551039995</v>
      </c>
    </row>
    <row r="7" spans="2:14" ht="15.75" thickBot="1">
      <c r="B7" s="1670"/>
      <c r="C7" s="943" t="s">
        <v>107</v>
      </c>
      <c r="D7" s="983">
        <f>M7*(1+'R1 FC'!$C$18)</f>
        <v>0.98346765498154887</v>
      </c>
      <c r="E7" s="983">
        <f>D7</f>
        <v>0.98346765498154887</v>
      </c>
      <c r="G7" s="219">
        <f t="shared" ref="G7:G28" si="2">(J7*$H$3)+J7</f>
        <v>0.93842312000000006</v>
      </c>
      <c r="H7" s="220">
        <f t="shared" ref="H7:H26" si="3">(K7*$H$3)+K7</f>
        <v>0.74862967999999996</v>
      </c>
      <c r="J7" s="154">
        <v>0.89</v>
      </c>
      <c r="K7" s="155">
        <v>0.71</v>
      </c>
      <c r="M7" s="921">
        <f t="shared" si="0"/>
        <v>0.92885120417600009</v>
      </c>
      <c r="N7" s="922">
        <f t="shared" si="1"/>
        <v>0.74099365726400002</v>
      </c>
    </row>
    <row r="8" spans="2:14" ht="15.75" thickBot="1">
      <c r="B8" s="1670"/>
      <c r="C8" s="943" t="s">
        <v>108</v>
      </c>
      <c r="D8" s="983">
        <f>M8*(1+'R1 FC'!$C$18)</f>
        <v>2.1326882855217852</v>
      </c>
      <c r="E8" s="983">
        <f>D8</f>
        <v>2.1326882855217852</v>
      </c>
      <c r="G8" s="219">
        <f t="shared" si="2"/>
        <v>2.0350074399999998</v>
      </c>
      <c r="H8" s="220">
        <f t="shared" si="3"/>
        <v>1.61324424</v>
      </c>
      <c r="J8" s="154">
        <v>1.93</v>
      </c>
      <c r="K8" s="155">
        <v>1.53</v>
      </c>
      <c r="M8" s="921">
        <f t="shared" si="0"/>
        <v>2.0142503641119998</v>
      </c>
      <c r="N8" s="922">
        <f t="shared" si="1"/>
        <v>1.5967891487520001</v>
      </c>
    </row>
    <row r="9" spans="2:14" ht="15.75" thickBot="1">
      <c r="B9" s="1670"/>
      <c r="C9" s="943" t="s">
        <v>109</v>
      </c>
      <c r="D9" s="983">
        <f>M9*(1+'R1 FC'!$C$18)</f>
        <v>3.0277543535387008</v>
      </c>
      <c r="E9" s="983">
        <f>D9</f>
        <v>3.0277543535387008</v>
      </c>
      <c r="G9" s="219">
        <f t="shared" si="2"/>
        <v>2.8890779200000001</v>
      </c>
      <c r="H9" s="220">
        <f t="shared" si="3"/>
        <v>2.3302416799999999</v>
      </c>
      <c r="J9" s="154">
        <v>2.74</v>
      </c>
      <c r="K9" s="155">
        <v>2.21</v>
      </c>
      <c r="M9" s="921">
        <f t="shared" si="0"/>
        <v>2.8596093252160002</v>
      </c>
      <c r="N9" s="922">
        <f t="shared" si="1"/>
        <v>2.3064732148639999</v>
      </c>
    </row>
    <row r="10" spans="2:14" ht="15.75" thickBot="1">
      <c r="B10" s="1671"/>
      <c r="C10" s="944" t="s">
        <v>110</v>
      </c>
      <c r="D10" s="984">
        <f>M10*(1+'R1 FC'!$C$18)</f>
        <v>3.6134148671793982</v>
      </c>
      <c r="E10" s="984">
        <f>D10</f>
        <v>3.6134148671793982</v>
      </c>
      <c r="G10" s="219">
        <f t="shared" si="2"/>
        <v>3.4479141599999998</v>
      </c>
      <c r="H10" s="220">
        <f t="shared" si="3"/>
        <v>2.7625489600000002</v>
      </c>
      <c r="J10" s="154">
        <v>3.27</v>
      </c>
      <c r="K10" s="155">
        <v>2.62</v>
      </c>
      <c r="M10" s="923">
        <f t="shared" si="0"/>
        <v>3.412745435568</v>
      </c>
      <c r="N10" s="924">
        <f t="shared" si="1"/>
        <v>2.734370960608</v>
      </c>
    </row>
    <row r="11" spans="2:14" ht="15.75" thickBot="1">
      <c r="B11" s="1669" t="s">
        <v>111</v>
      </c>
      <c r="C11" s="942" t="s">
        <v>106</v>
      </c>
      <c r="D11" s="983">
        <f>M11*(1+'R1 FC'!$C$18)</f>
        <v>18.586433659314213</v>
      </c>
      <c r="E11" s="983">
        <f t="shared" ref="E11:E26" si="4">D11</f>
        <v>18.586433659314213</v>
      </c>
      <c r="G11" s="219">
        <f>(J11*$H$3)+J11</f>
        <v>17.73514256</v>
      </c>
      <c r="H11" s="220">
        <f t="shared" si="3"/>
        <v>14.21341984</v>
      </c>
      <c r="J11" s="154">
        <v>16.82</v>
      </c>
      <c r="K11" s="155">
        <v>13.48</v>
      </c>
      <c r="M11" s="919">
        <f t="shared" si="0"/>
        <v>17.554244105887999</v>
      </c>
      <c r="N11" s="920">
        <f t="shared" si="1"/>
        <v>14.068442957632</v>
      </c>
    </row>
    <row r="12" spans="2:14" ht="15.75" thickBot="1">
      <c r="B12" s="1670"/>
      <c r="C12" s="943" t="s">
        <v>107</v>
      </c>
      <c r="D12" s="983">
        <f>M12*(1+'R1 FC'!$C$18)</f>
        <v>2.5967966170861119</v>
      </c>
      <c r="E12" s="983">
        <f t="shared" si="4"/>
        <v>2.5967966170861119</v>
      </c>
      <c r="G12" s="219">
        <f t="shared" si="2"/>
        <v>2.4778587999999999</v>
      </c>
      <c r="H12" s="220">
        <f t="shared" si="3"/>
        <v>1.9611988800000002</v>
      </c>
      <c r="J12" s="154">
        <v>2.35</v>
      </c>
      <c r="K12" s="155">
        <v>1.86</v>
      </c>
      <c r="M12" s="921">
        <f t="shared" si="0"/>
        <v>2.45258464024</v>
      </c>
      <c r="N12" s="922">
        <f t="shared" si="1"/>
        <v>1.9411946514240002</v>
      </c>
    </row>
    <row r="13" spans="2:14" ht="15.75" thickBot="1">
      <c r="B13" s="1670"/>
      <c r="C13" s="943" t="s">
        <v>112</v>
      </c>
      <c r="D13" s="983">
        <f>M13*(1+'R1 FC'!$C$18)</f>
        <v>3.9891216117790909</v>
      </c>
      <c r="E13" s="983">
        <f t="shared" si="4"/>
        <v>3.9891216117790909</v>
      </c>
      <c r="G13" s="219">
        <f t="shared" si="2"/>
        <v>3.8064128799999999</v>
      </c>
      <c r="H13" s="220">
        <f t="shared" si="3"/>
        <v>3.0261509600000003</v>
      </c>
      <c r="J13" s="154">
        <v>3.61</v>
      </c>
      <c r="K13" s="155">
        <v>2.87</v>
      </c>
      <c r="M13" s="921">
        <f t="shared" si="0"/>
        <v>3.7675874686239998</v>
      </c>
      <c r="N13" s="922">
        <f t="shared" si="1"/>
        <v>2.9952842202080001</v>
      </c>
    </row>
    <row r="14" spans="2:14" ht="15.75" thickBot="1">
      <c r="B14" s="1670"/>
      <c r="C14" s="947" t="s">
        <v>110</v>
      </c>
      <c r="D14" s="984">
        <f>M14*(1+'R1 FC'!$C$18)</f>
        <v>4.7626354977196348</v>
      </c>
      <c r="E14" s="984">
        <f t="shared" si="4"/>
        <v>4.7626354977196348</v>
      </c>
      <c r="G14" s="219">
        <f t="shared" si="2"/>
        <v>4.5444984799999997</v>
      </c>
      <c r="H14" s="220">
        <f t="shared" si="3"/>
        <v>3.61661944</v>
      </c>
      <c r="J14" s="154">
        <v>4.3099999999999996</v>
      </c>
      <c r="K14" s="155">
        <v>3.43</v>
      </c>
      <c r="M14" s="921">
        <f t="shared" si="0"/>
        <v>4.4981445955039998</v>
      </c>
      <c r="N14" s="922">
        <f t="shared" si="1"/>
        <v>3.579729921712</v>
      </c>
    </row>
    <row r="15" spans="2:14" ht="15.75" thickBot="1">
      <c r="B15" s="1669" t="s">
        <v>113</v>
      </c>
      <c r="C15" s="942" t="s">
        <v>106</v>
      </c>
      <c r="D15" s="985">
        <f>M15*(1+'R1 FC'!$C$18)</f>
        <v>37.327570095816533</v>
      </c>
      <c r="E15" s="985">
        <f t="shared" si="4"/>
        <v>37.327570095816533</v>
      </c>
      <c r="G15" s="219">
        <f t="shared" si="2"/>
        <v>35.617902239999999</v>
      </c>
      <c r="H15" s="220">
        <f t="shared" si="3"/>
        <v>28.479560080000002</v>
      </c>
      <c r="J15" s="154">
        <v>33.78</v>
      </c>
      <c r="K15" s="155">
        <v>27.01</v>
      </c>
      <c r="M15" s="919">
        <f t="shared" si="0"/>
        <v>35.254599637151998</v>
      </c>
      <c r="N15" s="920">
        <f t="shared" si="1"/>
        <v>28.189068567184002</v>
      </c>
    </row>
    <row r="16" spans="2:14" ht="15.75" thickBot="1">
      <c r="B16" s="1670"/>
      <c r="C16" s="943" t="s">
        <v>107</v>
      </c>
      <c r="D16" s="983">
        <f>M16*(1+'R1 FC'!$C$18)</f>
        <v>4.4200793482316802</v>
      </c>
      <c r="E16" s="983">
        <f t="shared" si="4"/>
        <v>4.4200793482316802</v>
      </c>
      <c r="G16" s="219">
        <f t="shared" si="2"/>
        <v>4.217632</v>
      </c>
      <c r="H16" s="220">
        <f t="shared" si="3"/>
        <v>3.3424733600000001</v>
      </c>
      <c r="J16" s="154">
        <v>4</v>
      </c>
      <c r="K16" s="155">
        <v>3.17</v>
      </c>
      <c r="M16" s="921">
        <f t="shared" si="0"/>
        <v>4.1746121536</v>
      </c>
      <c r="N16" s="922">
        <f t="shared" si="1"/>
        <v>3.3083801317280002</v>
      </c>
    </row>
    <row r="17" spans="2:14" ht="15.75" thickBot="1">
      <c r="B17" s="1670"/>
      <c r="C17" s="943" t="s">
        <v>112</v>
      </c>
      <c r="D17" s="983">
        <f>M17*(1+'R1 FC'!$C$18)</f>
        <v>7.3704823131763266</v>
      </c>
      <c r="E17" s="983">
        <f t="shared" si="4"/>
        <v>7.3704823131763266</v>
      </c>
      <c r="G17" s="219">
        <f t="shared" si="2"/>
        <v>7.0329013600000003</v>
      </c>
      <c r="H17" s="220">
        <f t="shared" si="3"/>
        <v>5.6199946399999998</v>
      </c>
      <c r="J17" s="154">
        <v>6.67</v>
      </c>
      <c r="K17" s="155">
        <v>5.33</v>
      </c>
      <c r="M17" s="921">
        <f t="shared" si="0"/>
        <v>6.9611657661280004</v>
      </c>
      <c r="N17" s="922">
        <f t="shared" si="1"/>
        <v>5.5626706946719997</v>
      </c>
    </row>
    <row r="18" spans="2:14" ht="15.75" thickBot="1">
      <c r="B18" s="1670"/>
      <c r="C18" s="947" t="s">
        <v>110</v>
      </c>
      <c r="D18" s="984">
        <f>M18*(1+'R1 FC'!$C$18)</f>
        <v>9.3263674247688453</v>
      </c>
      <c r="E18" s="984">
        <f t="shared" si="4"/>
        <v>9.3263674247688453</v>
      </c>
      <c r="G18" s="219">
        <f t="shared" si="2"/>
        <v>8.8992035200000004</v>
      </c>
      <c r="H18" s="220">
        <f t="shared" si="3"/>
        <v>7.0961658400000003</v>
      </c>
      <c r="J18" s="154">
        <v>8.44</v>
      </c>
      <c r="K18" s="155">
        <v>6.73</v>
      </c>
      <c r="M18" s="921">
        <f t="shared" si="0"/>
        <v>8.8084316440960002</v>
      </c>
      <c r="N18" s="922">
        <f t="shared" si="1"/>
        <v>7.0237849484320005</v>
      </c>
    </row>
    <row r="19" spans="2:14" ht="15.75" thickBot="1">
      <c r="B19" s="1669" t="s">
        <v>114</v>
      </c>
      <c r="C19" s="942" t="s">
        <v>106</v>
      </c>
      <c r="D19" s="985">
        <f>M19*(1+'R1 FC'!$C$18)</f>
        <v>37.327570095816533</v>
      </c>
      <c r="E19" s="985">
        <f t="shared" si="4"/>
        <v>37.327570095816533</v>
      </c>
      <c r="G19" s="219">
        <f t="shared" si="2"/>
        <v>35.617902239999999</v>
      </c>
      <c r="H19" s="220">
        <f t="shared" si="3"/>
        <v>28.479560080000002</v>
      </c>
      <c r="J19" s="154">
        <v>33.78</v>
      </c>
      <c r="K19" s="155">
        <v>27.01</v>
      </c>
      <c r="M19" s="919">
        <f t="shared" si="0"/>
        <v>35.254599637151998</v>
      </c>
      <c r="N19" s="920">
        <f t="shared" si="1"/>
        <v>28.189068567184002</v>
      </c>
    </row>
    <row r="20" spans="2:14" ht="15.75" thickBot="1">
      <c r="B20" s="1670"/>
      <c r="C20" s="943" t="s">
        <v>107</v>
      </c>
      <c r="D20" s="983">
        <f>M20*(1+'R1 FC'!$C$18)</f>
        <v>4.4200793482316802</v>
      </c>
      <c r="E20" s="983">
        <f t="shared" si="4"/>
        <v>4.4200793482316802</v>
      </c>
      <c r="G20" s="219">
        <f t="shared" si="2"/>
        <v>4.217632</v>
      </c>
      <c r="H20" s="220">
        <f t="shared" si="3"/>
        <v>3.3424733600000001</v>
      </c>
      <c r="J20" s="154">
        <v>4</v>
      </c>
      <c r="K20" s="155">
        <v>3.17</v>
      </c>
      <c r="M20" s="921">
        <f t="shared" si="0"/>
        <v>4.1746121536</v>
      </c>
      <c r="N20" s="922">
        <f t="shared" si="1"/>
        <v>3.3083801317280002</v>
      </c>
    </row>
    <row r="21" spans="2:14" ht="15.75" thickBot="1">
      <c r="B21" s="1670"/>
      <c r="C21" s="943" t="s">
        <v>112</v>
      </c>
      <c r="D21" s="983">
        <f>M21*(1+'R1 FC'!$C$18)</f>
        <v>7.3704823131763266</v>
      </c>
      <c r="E21" s="983">
        <f t="shared" si="4"/>
        <v>7.3704823131763266</v>
      </c>
      <c r="G21" s="219">
        <f t="shared" si="2"/>
        <v>7.0329013600000003</v>
      </c>
      <c r="H21" s="220">
        <f t="shared" si="3"/>
        <v>5.6199946399999998</v>
      </c>
      <c r="J21" s="154">
        <v>6.67</v>
      </c>
      <c r="K21" s="155">
        <v>5.33</v>
      </c>
      <c r="M21" s="921">
        <f t="shared" si="0"/>
        <v>6.9611657661280004</v>
      </c>
      <c r="N21" s="922">
        <f t="shared" si="1"/>
        <v>5.5626706946719997</v>
      </c>
    </row>
    <row r="22" spans="2:14" ht="15.75" thickBot="1">
      <c r="B22" s="1670"/>
      <c r="C22" s="947" t="s">
        <v>110</v>
      </c>
      <c r="D22" s="984">
        <f>M22*(1+'R1 FC'!$C$18)</f>
        <v>9.3263674247688453</v>
      </c>
      <c r="E22" s="984">
        <f t="shared" si="4"/>
        <v>9.3263674247688453</v>
      </c>
      <c r="G22" s="219">
        <f t="shared" si="2"/>
        <v>8.8992035200000004</v>
      </c>
      <c r="H22" s="220">
        <f t="shared" si="3"/>
        <v>7.0961658400000003</v>
      </c>
      <c r="J22" s="154">
        <v>8.44</v>
      </c>
      <c r="K22" s="155">
        <v>6.73</v>
      </c>
      <c r="M22" s="921">
        <f t="shared" si="0"/>
        <v>8.8084316440960002</v>
      </c>
      <c r="N22" s="922">
        <f t="shared" si="1"/>
        <v>7.0237849484320005</v>
      </c>
    </row>
    <row r="23" spans="2:14" ht="15.75" thickBot="1">
      <c r="B23" s="1669" t="s">
        <v>115</v>
      </c>
      <c r="C23" s="942" t="s">
        <v>106</v>
      </c>
      <c r="D23" s="985">
        <f>M23*(1+'R1 FC'!$C$18)</f>
        <v>37.327570095816533</v>
      </c>
      <c r="E23" s="985">
        <f t="shared" si="4"/>
        <v>37.327570095816533</v>
      </c>
      <c r="G23" s="219">
        <f t="shared" si="2"/>
        <v>35.617902239999999</v>
      </c>
      <c r="H23" s="220">
        <f t="shared" si="3"/>
        <v>28.479560080000002</v>
      </c>
      <c r="J23" s="154">
        <v>33.78</v>
      </c>
      <c r="K23" s="155">
        <v>27.01</v>
      </c>
      <c r="M23" s="919">
        <f t="shared" si="0"/>
        <v>35.254599637151998</v>
      </c>
      <c r="N23" s="920">
        <f t="shared" si="1"/>
        <v>28.189068567184002</v>
      </c>
    </row>
    <row r="24" spans="2:14" ht="15.75" thickBot="1">
      <c r="B24" s="1670"/>
      <c r="C24" s="943" t="s">
        <v>107</v>
      </c>
      <c r="D24" s="983">
        <f>M24*(1+'R1 FC'!$C$18)</f>
        <v>4.4200793482316802</v>
      </c>
      <c r="E24" s="983">
        <f t="shared" si="4"/>
        <v>4.4200793482316802</v>
      </c>
      <c r="G24" s="219">
        <f t="shared" si="2"/>
        <v>4.217632</v>
      </c>
      <c r="H24" s="220">
        <f t="shared" si="3"/>
        <v>3.3424733600000001</v>
      </c>
      <c r="J24" s="154">
        <v>4</v>
      </c>
      <c r="K24" s="155">
        <v>3.17</v>
      </c>
      <c r="M24" s="921">
        <f t="shared" si="0"/>
        <v>4.1746121536</v>
      </c>
      <c r="N24" s="922">
        <f t="shared" si="1"/>
        <v>3.3083801317280002</v>
      </c>
    </row>
    <row r="25" spans="2:14" ht="15.75" thickBot="1">
      <c r="B25" s="1670"/>
      <c r="C25" s="943" t="s">
        <v>112</v>
      </c>
      <c r="D25" s="983">
        <f>M25*(1+'R1 FC'!$C$18)</f>
        <v>7.3704823131763266</v>
      </c>
      <c r="E25" s="983">
        <f t="shared" si="4"/>
        <v>7.3704823131763266</v>
      </c>
      <c r="G25" s="219">
        <f t="shared" si="2"/>
        <v>7.0329013600000003</v>
      </c>
      <c r="H25" s="220">
        <f t="shared" si="3"/>
        <v>5.6199946399999998</v>
      </c>
      <c r="J25" s="154">
        <v>6.67</v>
      </c>
      <c r="K25" s="155">
        <v>5.33</v>
      </c>
      <c r="M25" s="921">
        <f t="shared" si="0"/>
        <v>6.9611657661280004</v>
      </c>
      <c r="N25" s="922">
        <f t="shared" si="1"/>
        <v>5.5626706946719997</v>
      </c>
    </row>
    <row r="26" spans="2:14" ht="15.75" thickBot="1">
      <c r="B26" s="1671"/>
      <c r="C26" s="947" t="s">
        <v>110</v>
      </c>
      <c r="D26" s="984">
        <f>M26*(1+'R1 FC'!$C$18)</f>
        <v>9.3263674247688453</v>
      </c>
      <c r="E26" s="984">
        <f t="shared" si="4"/>
        <v>9.3263674247688453</v>
      </c>
      <c r="G26" s="219">
        <f t="shared" si="2"/>
        <v>8.8992035200000004</v>
      </c>
      <c r="H26" s="220">
        <f t="shared" si="3"/>
        <v>7.0961658400000003</v>
      </c>
      <c r="J26" s="154">
        <v>8.44</v>
      </c>
      <c r="K26" s="155">
        <v>6.73</v>
      </c>
      <c r="M26" s="925">
        <f t="shared" si="0"/>
        <v>8.8084316440960002</v>
      </c>
      <c r="N26" s="926">
        <f t="shared" si="1"/>
        <v>7.0237849484320005</v>
      </c>
    </row>
    <row r="28" spans="2:14" ht="15" thickBot="1">
      <c r="D28" s="423">
        <f>G28*$N$3</f>
        <v>68.599314214032006</v>
      </c>
      <c r="G28" s="219">
        <f t="shared" si="2"/>
        <v>69.306237840000009</v>
      </c>
      <c r="J28" s="153">
        <v>65.73</v>
      </c>
    </row>
  </sheetData>
  <mergeCells count="14">
    <mergeCell ref="M4:N4"/>
    <mergeCell ref="B2:E2"/>
    <mergeCell ref="B1:E1"/>
    <mergeCell ref="J4:K4"/>
    <mergeCell ref="J3:K3"/>
    <mergeCell ref="B15:B18"/>
    <mergeCell ref="B19:B22"/>
    <mergeCell ref="B23:B26"/>
    <mergeCell ref="G4:H4"/>
    <mergeCell ref="B4:B5"/>
    <mergeCell ref="C4:C5"/>
    <mergeCell ref="D4:E4"/>
    <mergeCell ref="B6:B10"/>
    <mergeCell ref="B11:B14"/>
  </mergeCells>
  <printOptions horizontalCentered="1"/>
  <pageMargins left="0.98425196850393704" right="0.59055118110236227" top="1.9685039370078741" bottom="1.0629921259842521" header="0.39370078740157483" footer="0.39370078740157483"/>
  <pageSetup paperSize="9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B1:J91"/>
  <sheetViews>
    <sheetView showGridLines="0" zoomScale="90" zoomScaleNormal="90" workbookViewId="0">
      <selection activeCell="B20" sqref="B20"/>
    </sheetView>
  </sheetViews>
  <sheetFormatPr defaultRowHeight="12.75"/>
  <cols>
    <col min="1" max="1" width="2.7109375" customWidth="1"/>
    <col min="2" max="2" width="4.7109375" style="13" customWidth="1"/>
    <col min="3" max="3" width="54.140625" customWidth="1"/>
    <col min="4" max="4" width="14" style="13" customWidth="1"/>
    <col min="5" max="5" width="2.7109375" customWidth="1"/>
    <col min="6" max="6" width="16.7109375" style="363" customWidth="1"/>
    <col min="7" max="7" width="2.7109375" customWidth="1"/>
    <col min="8" max="8" width="18.42578125" customWidth="1"/>
    <col min="9" max="9" width="2.7109375" customWidth="1"/>
    <col min="10" max="10" width="14" customWidth="1"/>
  </cols>
  <sheetData>
    <row r="1" spans="2:10" ht="19.5" customHeight="1" thickBot="1">
      <c r="B1" s="1679" t="s">
        <v>508</v>
      </c>
      <c r="C1" s="1679"/>
      <c r="D1" s="1679"/>
    </row>
    <row r="2" spans="2:10" ht="19.5" customHeight="1" thickBot="1">
      <c r="B2" s="1674" t="s">
        <v>507</v>
      </c>
      <c r="C2" s="1678"/>
      <c r="D2" s="1675"/>
      <c r="E2" s="931"/>
      <c r="F2" s="365">
        <v>5.4407999999999998E-2</v>
      </c>
      <c r="H2" s="366" t="s">
        <v>341</v>
      </c>
      <c r="J2" s="917" t="s">
        <v>505</v>
      </c>
    </row>
    <row r="3" spans="2:10" ht="15.75" thickBot="1">
      <c r="B3" s="1685" t="s">
        <v>271</v>
      </c>
      <c r="C3" s="1686"/>
      <c r="D3" s="1687"/>
      <c r="J3" s="918">
        <v>0.98980000000000001</v>
      </c>
    </row>
    <row r="4" spans="2:10" ht="14.25">
      <c r="B4" s="932">
        <v>1</v>
      </c>
      <c r="C4" s="933" t="s">
        <v>272</v>
      </c>
      <c r="D4" s="932"/>
      <c r="F4" s="364"/>
      <c r="H4" s="364"/>
    </row>
    <row r="5" spans="2:10" ht="28.5">
      <c r="B5" s="427"/>
      <c r="C5" s="428" t="s">
        <v>273</v>
      </c>
      <c r="D5" s="916">
        <f>J5*(1+'R1 FC'!$C$18)</f>
        <v>82.876487779344004</v>
      </c>
      <c r="F5" s="364">
        <f>(H5*$F$2)+H5</f>
        <v>79.080600000000004</v>
      </c>
      <c r="H5" s="364">
        <v>75</v>
      </c>
      <c r="J5" s="429">
        <f>F5*$J$3</f>
        <v>78.273977880000004</v>
      </c>
    </row>
    <row r="6" spans="2:10" ht="28.5">
      <c r="B6" s="427"/>
      <c r="C6" s="428" t="s">
        <v>274</v>
      </c>
      <c r="D6" s="916">
        <f>J6*(1+'R1 FC'!$C$18)</f>
        <v>83.981507616401913</v>
      </c>
      <c r="F6" s="364">
        <f>(H6*$F$2)+H6</f>
        <v>80.135007999999999</v>
      </c>
      <c r="H6" s="364">
        <v>76</v>
      </c>
      <c r="J6" s="429">
        <f>F6*$J$3</f>
        <v>79.317630918399999</v>
      </c>
    </row>
    <row r="7" spans="2:10" ht="28.5">
      <c r="B7" s="427">
        <v>2</v>
      </c>
      <c r="C7" s="428" t="s">
        <v>275</v>
      </c>
      <c r="D7" s="916">
        <f>J7*(1+'R1 FC'!$C$18)</f>
        <v>0</v>
      </c>
      <c r="F7" s="364">
        <f>(H7*$F$2)+H7</f>
        <v>0</v>
      </c>
      <c r="H7" s="364"/>
      <c r="J7" s="429"/>
    </row>
    <row r="8" spans="2:10" ht="14.25">
      <c r="B8" s="427"/>
      <c r="C8" s="428" t="s">
        <v>276</v>
      </c>
      <c r="D8" s="916">
        <f>J8*(1+'R1 FC'!$C$18)</f>
        <v>88.401586964633594</v>
      </c>
      <c r="F8" s="364">
        <f>(H8*$F$2)+H8</f>
        <v>84.352639999999994</v>
      </c>
      <c r="H8" s="364">
        <v>80</v>
      </c>
      <c r="J8" s="429">
        <f>F8*$J$3</f>
        <v>83.492243071999994</v>
      </c>
    </row>
    <row r="9" spans="2:10" ht="14.25">
      <c r="B9" s="427"/>
      <c r="C9" s="428" t="s">
        <v>277</v>
      </c>
      <c r="D9" s="916">
        <f>J9*(1+'R1 FC'!$C$18)</f>
        <v>90.611626638749442</v>
      </c>
      <c r="F9" s="364">
        <f>(H9*$F$2)+H9</f>
        <v>86.461455999999998</v>
      </c>
      <c r="H9" s="364">
        <v>82</v>
      </c>
      <c r="J9" s="429">
        <f>F9*$J$3</f>
        <v>85.579549148799998</v>
      </c>
    </row>
    <row r="10" spans="2:10" ht="42.75">
      <c r="B10" s="427">
        <v>3</v>
      </c>
      <c r="C10" s="428" t="s">
        <v>278</v>
      </c>
      <c r="D10" s="429" t="s">
        <v>279</v>
      </c>
      <c r="F10" s="364" t="s">
        <v>279</v>
      </c>
      <c r="H10" s="364" t="s">
        <v>279</v>
      </c>
    </row>
    <row r="11" spans="2:10" ht="28.5">
      <c r="B11" s="427">
        <v>4</v>
      </c>
      <c r="C11" s="428" t="s">
        <v>280</v>
      </c>
      <c r="D11" s="429"/>
      <c r="F11" s="364"/>
      <c r="H11" s="364"/>
    </row>
    <row r="12" spans="2:10" ht="14.25">
      <c r="B12" s="427"/>
      <c r="C12" s="428" t="s">
        <v>281</v>
      </c>
      <c r="D12" s="916">
        <f>J12*(1+'R1 FC'!$C$18)</f>
        <v>8.8401586964633605</v>
      </c>
      <c r="F12" s="364">
        <f t="shared" ref="F12:F23" si="0">(H12*$F$2)+H12</f>
        <v>8.4352640000000001</v>
      </c>
      <c r="H12" s="364">
        <v>8</v>
      </c>
      <c r="J12" s="429">
        <f t="shared" ref="J12:J23" si="1">F12*$J$3</f>
        <v>8.3492243072000001</v>
      </c>
    </row>
    <row r="13" spans="2:10" ht="14.25">
      <c r="B13" s="427"/>
      <c r="C13" s="428" t="s">
        <v>282</v>
      </c>
      <c r="D13" s="916">
        <f>J13*(1+'R1 FC'!$C$18)</f>
        <v>7.7351388594054393</v>
      </c>
      <c r="F13" s="364">
        <f t="shared" si="0"/>
        <v>7.3808559999999996</v>
      </c>
      <c r="H13" s="364">
        <v>7</v>
      </c>
      <c r="J13" s="429">
        <f t="shared" si="1"/>
        <v>7.3055712687999996</v>
      </c>
    </row>
    <row r="14" spans="2:10" ht="14.25">
      <c r="B14" s="427"/>
      <c r="C14" s="428" t="s">
        <v>283</v>
      </c>
      <c r="D14" s="916">
        <f>J14*(1+'R1 FC'!$C$18)</f>
        <v>14.36525788175296</v>
      </c>
      <c r="F14" s="364">
        <f t="shared" si="0"/>
        <v>13.707304000000001</v>
      </c>
      <c r="H14" s="364">
        <v>13</v>
      </c>
      <c r="J14" s="429">
        <f t="shared" si="1"/>
        <v>13.567489499200001</v>
      </c>
    </row>
    <row r="15" spans="2:10" ht="14.25">
      <c r="B15" s="427"/>
      <c r="C15" s="428" t="s">
        <v>284</v>
      </c>
      <c r="D15" s="916">
        <f>J15*(1+'R1 FC'!$C$18)</f>
        <v>16.575297555868801</v>
      </c>
      <c r="F15" s="364">
        <f t="shared" si="0"/>
        <v>15.81612</v>
      </c>
      <c r="H15" s="364">
        <v>15</v>
      </c>
      <c r="J15" s="429">
        <f t="shared" si="1"/>
        <v>15.654795576</v>
      </c>
    </row>
    <row r="16" spans="2:10" ht="14.25">
      <c r="B16" s="427"/>
      <c r="C16" s="428" t="s">
        <v>285</v>
      </c>
      <c r="D16" s="916">
        <f>J16*(1+'R1 FC'!$C$18)</f>
        <v>9.9451785335212808</v>
      </c>
      <c r="F16" s="364">
        <f t="shared" si="0"/>
        <v>9.4896720000000006</v>
      </c>
      <c r="H16" s="364">
        <v>9</v>
      </c>
      <c r="J16" s="429">
        <f t="shared" si="1"/>
        <v>9.3928773456000005</v>
      </c>
    </row>
    <row r="17" spans="2:10" ht="14.25">
      <c r="B17" s="427"/>
      <c r="C17" s="428" t="s">
        <v>286</v>
      </c>
      <c r="D17" s="916">
        <f>J17*(1+'R1 FC'!$C$18)</f>
        <v>12.15521820763712</v>
      </c>
      <c r="F17" s="364">
        <f t="shared" si="0"/>
        <v>11.598488</v>
      </c>
      <c r="H17" s="364">
        <v>11</v>
      </c>
      <c r="J17" s="429">
        <f t="shared" si="1"/>
        <v>11.4801834224</v>
      </c>
    </row>
    <row r="18" spans="2:10" ht="14.25">
      <c r="B18" s="427"/>
      <c r="C18" s="428" t="s">
        <v>287</v>
      </c>
      <c r="D18" s="916">
        <f>J18*(1+'R1 FC'!$C$18)</f>
        <v>44.200793482316797</v>
      </c>
      <c r="F18" s="364">
        <f t="shared" si="0"/>
        <v>42.176319999999997</v>
      </c>
      <c r="H18" s="364">
        <v>40</v>
      </c>
      <c r="J18" s="429">
        <f t="shared" si="1"/>
        <v>41.746121535999997</v>
      </c>
    </row>
    <row r="19" spans="2:10" ht="14.25">
      <c r="B19" s="427"/>
      <c r="C19" s="428" t="s">
        <v>288</v>
      </c>
      <c r="D19" s="916">
        <f>J19*(1+'R1 FC'!$C$18)</f>
        <v>50.830912504664319</v>
      </c>
      <c r="F19" s="364">
        <f t="shared" si="0"/>
        <v>48.502768000000003</v>
      </c>
      <c r="H19" s="364">
        <v>46</v>
      </c>
      <c r="J19" s="429">
        <f t="shared" si="1"/>
        <v>48.008039766400003</v>
      </c>
    </row>
    <row r="20" spans="2:10" ht="14.25">
      <c r="B20" s="427"/>
      <c r="C20" s="428" t="s">
        <v>289</v>
      </c>
      <c r="D20" s="916">
        <f>J20*(1+'R1 FC'!$C$18)</f>
        <v>164.6479557216301</v>
      </c>
      <c r="F20" s="364">
        <f t="shared" si="0"/>
        <v>157.10679200000001</v>
      </c>
      <c r="H20" s="364">
        <v>149</v>
      </c>
      <c r="J20" s="429">
        <f t="shared" si="1"/>
        <v>155.50430272160003</v>
      </c>
    </row>
    <row r="21" spans="2:10" ht="14.25">
      <c r="B21" s="427"/>
      <c r="C21" s="428" t="s">
        <v>290</v>
      </c>
      <c r="D21" s="916">
        <f>J21*(1+'R1 FC'!$C$18)</f>
        <v>119.34214240225535</v>
      </c>
      <c r="F21" s="364">
        <f t="shared" si="0"/>
        <v>113.876064</v>
      </c>
      <c r="H21" s="364">
        <v>108</v>
      </c>
      <c r="J21" s="429">
        <f t="shared" si="1"/>
        <v>112.7145281472</v>
      </c>
    </row>
    <row r="22" spans="2:10" ht="14.25">
      <c r="B22" s="427"/>
      <c r="C22" s="428" t="s">
        <v>291</v>
      </c>
      <c r="D22" s="916">
        <f>J22*(1+'R1 FC'!$C$18)</f>
        <v>149.17767800281919</v>
      </c>
      <c r="F22" s="364">
        <f t="shared" si="0"/>
        <v>142.34508</v>
      </c>
      <c r="H22" s="364">
        <v>135</v>
      </c>
      <c r="J22" s="429">
        <f t="shared" si="1"/>
        <v>140.89316018400001</v>
      </c>
    </row>
    <row r="23" spans="2:10" ht="14.25">
      <c r="B23" s="427"/>
      <c r="C23" s="428" t="s">
        <v>292</v>
      </c>
      <c r="D23" s="916">
        <f>J23*(1+'R1 FC'!$C$18)</f>
        <v>114.92206305402368</v>
      </c>
      <c r="F23" s="364">
        <f t="shared" si="0"/>
        <v>109.658432</v>
      </c>
      <c r="H23" s="364">
        <v>104</v>
      </c>
      <c r="J23" s="429">
        <f t="shared" si="1"/>
        <v>108.5399159936</v>
      </c>
    </row>
    <row r="24" spans="2:10" ht="28.5">
      <c r="B24" s="427">
        <v>5</v>
      </c>
      <c r="C24" s="428" t="s">
        <v>293</v>
      </c>
      <c r="D24" s="429"/>
      <c r="F24" s="364"/>
      <c r="H24" s="364"/>
    </row>
    <row r="25" spans="2:10" ht="14.25">
      <c r="B25" s="427"/>
      <c r="C25" s="428" t="s">
        <v>281</v>
      </c>
      <c r="D25" s="916">
        <f>J25*(1+'R1 FC'!$C$18)</f>
        <v>47.515852993490562</v>
      </c>
      <c r="F25" s="364">
        <f t="shared" ref="F25:F38" si="2">(H25*$F$2)+H25</f>
        <v>45.339544000000004</v>
      </c>
      <c r="H25" s="364">
        <v>43</v>
      </c>
      <c r="J25" s="429">
        <f t="shared" ref="J25:J36" si="3">F25*$J$3</f>
        <v>44.877080651200004</v>
      </c>
    </row>
    <row r="26" spans="2:10" ht="14.25">
      <c r="B26" s="427"/>
      <c r="C26" s="428" t="s">
        <v>282</v>
      </c>
      <c r="D26" s="916">
        <f>J26*(1+'R1 FC'!$C$18)</f>
        <v>48.620872830548478</v>
      </c>
      <c r="F26" s="364">
        <f t="shared" si="2"/>
        <v>46.393951999999999</v>
      </c>
      <c r="H26" s="364">
        <v>44</v>
      </c>
      <c r="J26" s="429">
        <f t="shared" si="3"/>
        <v>45.920733689599999</v>
      </c>
    </row>
    <row r="27" spans="2:10" ht="14.25">
      <c r="B27" s="427"/>
      <c r="C27" s="428" t="s">
        <v>283</v>
      </c>
      <c r="D27" s="916">
        <f>J27*(1+'R1 FC'!$C$18)</f>
        <v>51.935932341722236</v>
      </c>
      <c r="F27" s="364">
        <f t="shared" si="2"/>
        <v>49.557175999999998</v>
      </c>
      <c r="H27" s="364">
        <v>47</v>
      </c>
      <c r="J27" s="429">
        <f t="shared" si="3"/>
        <v>49.051692804799998</v>
      </c>
    </row>
    <row r="28" spans="2:10" ht="14.25">
      <c r="B28" s="427"/>
      <c r="C28" s="428" t="s">
        <v>284</v>
      </c>
      <c r="D28" s="916">
        <f>J28*(1+'R1 FC'!$C$18)</f>
        <v>177.90819376632513</v>
      </c>
      <c r="F28" s="364">
        <f t="shared" si="2"/>
        <v>169.75968800000001</v>
      </c>
      <c r="H28" s="364">
        <v>161</v>
      </c>
      <c r="J28" s="429">
        <f t="shared" si="3"/>
        <v>168.02813918240003</v>
      </c>
    </row>
    <row r="29" spans="2:10" ht="14.25">
      <c r="B29" s="427"/>
      <c r="C29" s="428" t="s">
        <v>285</v>
      </c>
      <c r="D29" s="916">
        <f>J29*(1+'R1 FC'!$C$18)</f>
        <v>185.64333262573055</v>
      </c>
      <c r="F29" s="364">
        <f t="shared" si="2"/>
        <v>177.14054400000001</v>
      </c>
      <c r="H29" s="364">
        <v>168</v>
      </c>
      <c r="J29" s="429">
        <f t="shared" si="3"/>
        <v>175.33371045120001</v>
      </c>
    </row>
    <row r="30" spans="2:10" ht="14.25">
      <c r="B30" s="427"/>
      <c r="C30" s="428" t="s">
        <v>286</v>
      </c>
      <c r="D30" s="916">
        <f>J30*(1+'R1 FC'!$C$18)</f>
        <v>350.29128834736065</v>
      </c>
      <c r="F30" s="364">
        <f t="shared" si="2"/>
        <v>334.24733600000002</v>
      </c>
      <c r="H30" s="364">
        <v>317</v>
      </c>
      <c r="J30" s="429">
        <f t="shared" si="3"/>
        <v>330.8380131728</v>
      </c>
    </row>
    <row r="31" spans="2:10" ht="14.25">
      <c r="B31" s="427"/>
      <c r="C31" s="428" t="s">
        <v>287</v>
      </c>
      <c r="D31" s="916">
        <f>J31*(1+'R1 FC'!$C$18)</f>
        <v>366.86658590322941</v>
      </c>
      <c r="F31" s="364">
        <f t="shared" si="2"/>
        <v>350.06345599999997</v>
      </c>
      <c r="H31" s="364">
        <v>332</v>
      </c>
      <c r="J31" s="429">
        <f t="shared" si="3"/>
        <v>346.49280874879997</v>
      </c>
    </row>
    <row r="32" spans="2:10" ht="14.25">
      <c r="B32" s="427"/>
      <c r="C32" s="428" t="s">
        <v>288</v>
      </c>
      <c r="D32" s="916">
        <f>J32*(1+'R1 FC'!$C$18)</f>
        <v>1692.8903903727335</v>
      </c>
      <c r="F32" s="364">
        <f t="shared" si="2"/>
        <v>1615.3530559999999</v>
      </c>
      <c r="H32" s="364">
        <v>1532</v>
      </c>
      <c r="J32" s="429">
        <f t="shared" si="3"/>
        <v>1598.8764548288</v>
      </c>
    </row>
    <row r="33" spans="2:10" ht="14.25">
      <c r="B33" s="427"/>
      <c r="C33" s="428" t="s">
        <v>289</v>
      </c>
      <c r="D33" s="916">
        <f>J33*(1+'R1 FC'!$C$18)</f>
        <v>1857.5383460943633</v>
      </c>
      <c r="F33" s="364">
        <f t="shared" si="2"/>
        <v>1772.459848</v>
      </c>
      <c r="H33" s="364">
        <v>1681</v>
      </c>
      <c r="J33" s="429">
        <f t="shared" si="3"/>
        <v>1754.3807575503999</v>
      </c>
    </row>
    <row r="34" spans="2:10" ht="14.25">
      <c r="B34" s="427"/>
      <c r="C34" s="428" t="s">
        <v>290</v>
      </c>
      <c r="D34" s="916">
        <f>J34*(1+'R1 FC'!$C$18)</f>
        <v>1887.3738816949274</v>
      </c>
      <c r="F34" s="364">
        <f t="shared" si="2"/>
        <v>1800.928864</v>
      </c>
      <c r="H34" s="364">
        <v>1708</v>
      </c>
      <c r="J34" s="429">
        <f t="shared" si="3"/>
        <v>1782.5593895872</v>
      </c>
    </row>
    <row r="35" spans="2:10" ht="14.25">
      <c r="B35" s="427"/>
      <c r="C35" s="428" t="s">
        <v>291</v>
      </c>
      <c r="D35" s="916">
        <f>J35*(1+'R1 FC'!$C$18)</f>
        <v>3222.2378448608947</v>
      </c>
      <c r="F35" s="364">
        <f t="shared" si="2"/>
        <v>3074.6537280000002</v>
      </c>
      <c r="H35" s="364">
        <v>2916</v>
      </c>
      <c r="J35" s="429">
        <f t="shared" si="3"/>
        <v>3043.2922599744002</v>
      </c>
    </row>
    <row r="36" spans="2:10" ht="14.25">
      <c r="B36" s="427"/>
      <c r="C36" s="428" t="s">
        <v>292</v>
      </c>
      <c r="D36" s="916">
        <f>J36*(1+'R1 FC'!$C$18)</f>
        <v>5224.5337896098454</v>
      </c>
      <c r="F36" s="364">
        <f t="shared" si="2"/>
        <v>4985.2410239999999</v>
      </c>
      <c r="H36" s="364">
        <v>4728</v>
      </c>
      <c r="J36" s="429">
        <f t="shared" si="3"/>
        <v>4934.3915655552</v>
      </c>
    </row>
    <row r="37" spans="2:10" ht="19.5" customHeight="1">
      <c r="B37" s="109"/>
      <c r="C37" s="431"/>
      <c r="D37" s="434"/>
      <c r="F37" s="437"/>
      <c r="H37" s="437"/>
    </row>
    <row r="38" spans="2:10" ht="19.5" customHeight="1" thickBot="1">
      <c r="B38" s="432"/>
      <c r="C38" s="433"/>
      <c r="D38" s="435"/>
      <c r="F38" s="437">
        <f t="shared" si="2"/>
        <v>0</v>
      </c>
      <c r="H38" s="437"/>
    </row>
    <row r="39" spans="2:10" ht="15.75" thickBot="1">
      <c r="B39" s="1682" t="s">
        <v>271</v>
      </c>
      <c r="C39" s="1683"/>
      <c r="D39" s="1684"/>
      <c r="H39" s="436"/>
    </row>
    <row r="40" spans="2:10" ht="28.5">
      <c r="B40" s="932">
        <v>6</v>
      </c>
      <c r="C40" s="933" t="s">
        <v>294</v>
      </c>
      <c r="D40" s="934" t="s">
        <v>279</v>
      </c>
      <c r="F40" s="364" t="s">
        <v>279</v>
      </c>
      <c r="H40" s="364" t="s">
        <v>279</v>
      </c>
    </row>
    <row r="41" spans="2:10" ht="28.5">
      <c r="B41" s="427">
        <v>7</v>
      </c>
      <c r="C41" s="428" t="s">
        <v>295</v>
      </c>
      <c r="D41" s="429"/>
      <c r="F41" s="364"/>
      <c r="H41" s="364"/>
    </row>
    <row r="42" spans="2:10" ht="14.25">
      <c r="B42" s="427"/>
      <c r="C42" s="428" t="s">
        <v>296</v>
      </c>
      <c r="D42" s="916">
        <f>J42*(1+'R1 FC'!$C$18)</f>
        <v>118.23712256519744</v>
      </c>
      <c r="F42" s="364">
        <f>(H42*$F$2)+H42</f>
        <v>112.821656</v>
      </c>
      <c r="H42" s="364">
        <v>107</v>
      </c>
      <c r="J42" s="429">
        <f>F42*$J$3</f>
        <v>111.6708751088</v>
      </c>
    </row>
    <row r="43" spans="2:10" ht="14.25">
      <c r="B43" s="427"/>
      <c r="C43" s="428" t="s">
        <v>297</v>
      </c>
      <c r="D43" s="916">
        <f>J43*(1+'R1 FC'!$C$18)</f>
        <v>233.15918561922112</v>
      </c>
      <c r="F43" s="364">
        <f>(H43*$F$2)+H43</f>
        <v>222.48008799999999</v>
      </c>
      <c r="H43" s="364">
        <v>211</v>
      </c>
      <c r="J43" s="429">
        <f>F43*$J$3</f>
        <v>220.21079110240001</v>
      </c>
    </row>
    <row r="44" spans="2:10" ht="28.5">
      <c r="B44" s="427">
        <v>8</v>
      </c>
      <c r="C44" s="428" t="s">
        <v>298</v>
      </c>
      <c r="D44" s="429"/>
      <c r="F44" s="364"/>
      <c r="H44" s="364"/>
    </row>
    <row r="45" spans="2:10" ht="14.25">
      <c r="B45" s="427"/>
      <c r="C45" s="428" t="s">
        <v>296</v>
      </c>
      <c r="D45" s="916">
        <f>J45*(1+'R1 FC'!$C$18)</f>
        <v>110.50198370579199</v>
      </c>
      <c r="F45" s="364">
        <f>(H45*$F$2)+H45</f>
        <v>105.4408</v>
      </c>
      <c r="H45" s="364">
        <v>100</v>
      </c>
      <c r="J45" s="429">
        <f>F45*$J$3</f>
        <v>104.36530384</v>
      </c>
    </row>
    <row r="46" spans="2:10" ht="14.25">
      <c r="B46" s="427"/>
      <c r="C46" s="428" t="s">
        <v>297</v>
      </c>
      <c r="D46" s="916">
        <f>J46*(1+'R1 FC'!$C$18)</f>
        <v>224.31902692275779</v>
      </c>
      <c r="F46" s="364">
        <f>(H46*$F$2)+H46</f>
        <v>214.04482400000001</v>
      </c>
      <c r="H46" s="364">
        <v>203</v>
      </c>
      <c r="J46" s="429">
        <f>F46*$J$3</f>
        <v>211.86156679520002</v>
      </c>
    </row>
    <row r="47" spans="2:10" ht="15" customHeight="1">
      <c r="B47" s="427">
        <v>9</v>
      </c>
      <c r="C47" s="428" t="s">
        <v>299</v>
      </c>
      <c r="D47" s="916">
        <f>J47*(1+'R1 FC'!$C$18)</f>
        <v>37.570674459969275</v>
      </c>
      <c r="F47" s="364">
        <f>(H47*$F$2)+H47</f>
        <v>35.849871999999998</v>
      </c>
      <c r="H47" s="364">
        <v>34</v>
      </c>
      <c r="J47" s="429">
        <f>F47*$J$3</f>
        <v>35.484203305599998</v>
      </c>
    </row>
    <row r="48" spans="2:10" ht="28.5">
      <c r="B48" s="427">
        <v>10</v>
      </c>
      <c r="C48" s="428" t="s">
        <v>300</v>
      </c>
      <c r="D48" s="429"/>
      <c r="F48" s="364"/>
      <c r="H48" s="364"/>
    </row>
    <row r="49" spans="2:10" ht="14.25">
      <c r="B49" s="427">
        <v>11</v>
      </c>
      <c r="C49" s="428" t="s">
        <v>301</v>
      </c>
      <c r="D49" s="429"/>
      <c r="F49" s="364"/>
      <c r="H49" s="364"/>
    </row>
    <row r="50" spans="2:10" ht="14.25">
      <c r="B50" s="427"/>
      <c r="C50" s="430" t="s">
        <v>302</v>
      </c>
      <c r="D50" s="429" t="s">
        <v>303</v>
      </c>
      <c r="F50" s="364" t="s">
        <v>303</v>
      </c>
      <c r="H50" s="364" t="s">
        <v>303</v>
      </c>
    </row>
    <row r="51" spans="2:10" ht="15" customHeight="1">
      <c r="B51" s="427"/>
      <c r="C51" s="428" t="s">
        <v>304</v>
      </c>
      <c r="D51" s="916">
        <f>J51*(1+'R1 FC'!$C$18)</f>
        <v>17.680317392926721</v>
      </c>
      <c r="F51" s="364">
        <f>(H51*$F$2)+H51</f>
        <v>16.870528</v>
      </c>
      <c r="H51" s="364">
        <v>16</v>
      </c>
      <c r="J51" s="429">
        <f>F51*$J$3</f>
        <v>16.6984486144</v>
      </c>
    </row>
    <row r="52" spans="2:10" ht="15" customHeight="1">
      <c r="B52" s="427">
        <v>12</v>
      </c>
      <c r="C52" s="428" t="s">
        <v>305</v>
      </c>
      <c r="D52" s="429"/>
      <c r="F52" s="364"/>
      <c r="H52" s="364"/>
    </row>
    <row r="53" spans="2:10" ht="29.25" customHeight="1">
      <c r="B53" s="427"/>
      <c r="C53" s="428" t="s">
        <v>306</v>
      </c>
      <c r="D53" s="429" t="s">
        <v>279</v>
      </c>
      <c r="F53" s="364" t="s">
        <v>279</v>
      </c>
      <c r="H53" s="364" t="s">
        <v>279</v>
      </c>
    </row>
    <row r="54" spans="2:10" ht="31.5" customHeight="1">
      <c r="B54" s="427"/>
      <c r="C54" s="430" t="s">
        <v>307</v>
      </c>
      <c r="D54" s="916">
        <f>J54*(1+'R1 FC'!$C$18)</f>
        <v>45.305813319374721</v>
      </c>
      <c r="F54" s="364">
        <f>(H54*$F$2)+H54</f>
        <v>43.230727999999999</v>
      </c>
      <c r="H54" s="364">
        <v>41</v>
      </c>
      <c r="J54" s="429">
        <f>F54*$J$3</f>
        <v>42.789774574399999</v>
      </c>
    </row>
    <row r="55" spans="2:10" ht="28.5">
      <c r="B55" s="427">
        <v>13</v>
      </c>
      <c r="C55" s="428" t="s">
        <v>308</v>
      </c>
      <c r="D55" s="429"/>
      <c r="F55" s="364"/>
      <c r="H55" s="364"/>
    </row>
    <row r="56" spans="2:10" ht="15" customHeight="1">
      <c r="B56" s="427"/>
      <c r="C56" s="428" t="s">
        <v>309</v>
      </c>
      <c r="D56" s="916">
        <f>J56*(1+'R1 FC'!$C$18)</f>
        <v>8.8401586964633605</v>
      </c>
      <c r="F56" s="364">
        <f>(H56*$F$2)+H56</f>
        <v>8.4352640000000001</v>
      </c>
      <c r="H56" s="364">
        <v>8</v>
      </c>
      <c r="J56" s="429">
        <f>F56*$J$3</f>
        <v>8.3492243072000001</v>
      </c>
    </row>
    <row r="57" spans="2:10" ht="14.25">
      <c r="B57" s="427"/>
      <c r="C57" s="428" t="s">
        <v>310</v>
      </c>
      <c r="D57" s="916">
        <f>J57*(1+'R1 FC'!$C$18)</f>
        <v>8.8401586964633605</v>
      </c>
      <c r="F57" s="364">
        <f>(H57*$F$2)+H57</f>
        <v>8.4352640000000001</v>
      </c>
      <c r="H57" s="364">
        <v>8</v>
      </c>
      <c r="J57" s="429">
        <f>F57*$J$3</f>
        <v>8.3492243072000001</v>
      </c>
    </row>
    <row r="58" spans="2:10" ht="14.25">
      <c r="B58" s="427">
        <v>14</v>
      </c>
      <c r="C58" s="428" t="s">
        <v>311</v>
      </c>
      <c r="D58" s="916">
        <f>J58*(1+'R1 FC'!$C$18)</f>
        <v>44.200793482316797</v>
      </c>
      <c r="F58" s="364">
        <f>(H58*$F$2)+H58</f>
        <v>42.176319999999997</v>
      </c>
      <c r="H58" s="364">
        <v>40</v>
      </c>
      <c r="J58" s="429">
        <f>F58*$J$3</f>
        <v>41.746121535999997</v>
      </c>
    </row>
    <row r="59" spans="2:10" ht="19.5" customHeight="1" thickBot="1">
      <c r="B59" s="935"/>
      <c r="C59" s="936"/>
      <c r="D59" s="937"/>
      <c r="F59" s="364"/>
      <c r="H59" s="364"/>
    </row>
    <row r="60" spans="2:10" ht="15.75" thickBot="1">
      <c r="B60" s="1682" t="s">
        <v>312</v>
      </c>
      <c r="C60" s="1683"/>
      <c r="D60" s="1684"/>
      <c r="H60" s="363"/>
    </row>
    <row r="61" spans="2:10" ht="28.5">
      <c r="B61" s="425">
        <v>15</v>
      </c>
      <c r="C61" s="426" t="s">
        <v>313</v>
      </c>
      <c r="D61" s="916">
        <f>J61*(1+'R1 FC'!$C$18)</f>
        <v>274.04491959036415</v>
      </c>
      <c r="F61" s="364">
        <f t="shared" ref="F61:F66" si="4">(H61*$F$2)+H61</f>
        <v>261.49318399999999</v>
      </c>
      <c r="H61" s="364">
        <v>248</v>
      </c>
      <c r="J61" s="429">
        <f t="shared" ref="J61:J66" si="5">F61*$J$3</f>
        <v>258.82595352319998</v>
      </c>
    </row>
    <row r="62" spans="2:10" ht="28.5">
      <c r="B62" s="427"/>
      <c r="C62" s="428" t="s">
        <v>314</v>
      </c>
      <c r="D62" s="916">
        <f>J62*(1+'R1 FC'!$C$18)</f>
        <v>163.54293588457213</v>
      </c>
      <c r="F62" s="364">
        <f t="shared" si="4"/>
        <v>156.05238399999999</v>
      </c>
      <c r="H62" s="364">
        <v>148</v>
      </c>
      <c r="J62" s="429">
        <f t="shared" si="5"/>
        <v>154.46064968319999</v>
      </c>
    </row>
    <row r="63" spans="2:10" ht="14.25">
      <c r="B63" s="427">
        <v>16</v>
      </c>
      <c r="C63" s="428" t="s">
        <v>315</v>
      </c>
      <c r="D63" s="916">
        <f>J63*(1+'R1 FC'!$C$18)</f>
        <v>46.410833156432638</v>
      </c>
      <c r="F63" s="364">
        <f t="shared" si="4"/>
        <v>44.285136000000001</v>
      </c>
      <c r="H63" s="364">
        <v>42</v>
      </c>
      <c r="J63" s="429">
        <f t="shared" si="5"/>
        <v>43.833427612800001</v>
      </c>
    </row>
    <row r="64" spans="2:10" ht="14.25">
      <c r="B64" s="427">
        <v>17</v>
      </c>
      <c r="C64" s="428" t="s">
        <v>316</v>
      </c>
      <c r="D64" s="916"/>
      <c r="F64" s="364">
        <f t="shared" si="4"/>
        <v>0</v>
      </c>
      <c r="H64" s="364"/>
      <c r="J64" s="429">
        <f t="shared" si="5"/>
        <v>0</v>
      </c>
    </row>
    <row r="65" spans="2:10" ht="14.25">
      <c r="B65" s="427"/>
      <c r="C65" s="428" t="s">
        <v>317</v>
      </c>
      <c r="D65" s="916">
        <f>J65*(1+'R1 FC'!$C$18)</f>
        <v>163.54293588457213</v>
      </c>
      <c r="F65" s="364">
        <f t="shared" si="4"/>
        <v>156.05238399999999</v>
      </c>
      <c r="H65" s="364">
        <v>148</v>
      </c>
      <c r="J65" s="429">
        <f t="shared" si="5"/>
        <v>154.46064968319999</v>
      </c>
    </row>
    <row r="66" spans="2:10" ht="14.25">
      <c r="B66" s="427"/>
      <c r="C66" s="428" t="s">
        <v>318</v>
      </c>
      <c r="D66" s="916">
        <f>J66*(1+'R1 FC'!$C$18)</f>
        <v>274.04491959036415</v>
      </c>
      <c r="F66" s="364">
        <f t="shared" si="4"/>
        <v>261.49318399999999</v>
      </c>
      <c r="H66" s="364">
        <v>248</v>
      </c>
      <c r="J66" s="429">
        <f t="shared" si="5"/>
        <v>258.82595352319998</v>
      </c>
    </row>
    <row r="67" spans="2:10" ht="19.5" customHeight="1">
      <c r="B67" s="109"/>
      <c r="C67" s="431"/>
      <c r="D67" s="434"/>
      <c r="F67" s="364"/>
      <c r="H67" s="364"/>
    </row>
    <row r="68" spans="2:10" ht="19.5" customHeight="1" thickBot="1">
      <c r="B68" s="109"/>
      <c r="C68" s="938"/>
      <c r="D68" s="434"/>
      <c r="E68" s="367"/>
      <c r="F68" s="364"/>
      <c r="H68" s="364"/>
    </row>
    <row r="69" spans="2:10" ht="15.75" thickBot="1">
      <c r="B69" s="1682" t="s">
        <v>319</v>
      </c>
      <c r="C69" s="1683"/>
      <c r="D69" s="1684"/>
      <c r="H69" s="363"/>
    </row>
    <row r="70" spans="2:10" ht="14.25">
      <c r="B70" s="932">
        <v>18</v>
      </c>
      <c r="C70" s="933" t="s">
        <v>320</v>
      </c>
      <c r="D70" s="934"/>
      <c r="H70" s="363"/>
    </row>
    <row r="71" spans="2:10" ht="28.5">
      <c r="B71" s="427"/>
      <c r="C71" s="428" t="s">
        <v>321</v>
      </c>
      <c r="D71" s="916">
        <f>J71*(1+'R1 FC'!$C$18)</f>
        <v>38.675694297027199</v>
      </c>
      <c r="F71" s="364">
        <f>(H71*$F$2)+H71</f>
        <v>36.90428</v>
      </c>
      <c r="H71" s="364">
        <v>35</v>
      </c>
      <c r="J71" s="429">
        <f>F71*$J$3</f>
        <v>36.527856344</v>
      </c>
    </row>
    <row r="72" spans="2:10" ht="14.25">
      <c r="B72" s="427"/>
      <c r="C72" s="430" t="s">
        <v>322</v>
      </c>
      <c r="D72" s="916">
        <f>J72*(1+'R1 FC'!$C$18)</f>
        <v>38.675694297027199</v>
      </c>
      <c r="F72" s="364">
        <f>(H72*$F$2)+H72</f>
        <v>36.90428</v>
      </c>
      <c r="H72" s="364">
        <v>35</v>
      </c>
      <c r="J72" s="429">
        <f>F72*$J$3</f>
        <v>36.527856344</v>
      </c>
    </row>
    <row r="73" spans="2:10" ht="14.25">
      <c r="B73" s="427"/>
      <c r="C73" s="430" t="s">
        <v>323</v>
      </c>
      <c r="D73" s="916">
        <f>J73*(1+'R1 FC'!$C$18)</f>
        <v>33.150595111737601</v>
      </c>
      <c r="F73" s="364">
        <f>(H73*$F$2)+H73</f>
        <v>31.632239999999999</v>
      </c>
      <c r="H73" s="364">
        <v>30</v>
      </c>
      <c r="J73" s="429">
        <f>F73*$J$3</f>
        <v>31.309591151999999</v>
      </c>
    </row>
    <row r="74" spans="2:10" ht="14.25">
      <c r="B74" s="427">
        <v>19</v>
      </c>
      <c r="C74" s="428" t="s">
        <v>324</v>
      </c>
      <c r="D74" s="429"/>
      <c r="F74" s="364"/>
      <c r="H74" s="364"/>
    </row>
    <row r="75" spans="2:10" ht="14.25">
      <c r="B75" s="427"/>
      <c r="C75" s="428" t="s">
        <v>325</v>
      </c>
      <c r="D75" s="429" t="s">
        <v>326</v>
      </c>
      <c r="F75" s="364" t="s">
        <v>326</v>
      </c>
      <c r="H75" s="364" t="s">
        <v>326</v>
      </c>
    </row>
    <row r="76" spans="2:10" ht="14.25">
      <c r="B76" s="427"/>
      <c r="C76" s="428" t="s">
        <v>327</v>
      </c>
      <c r="D76" s="916">
        <f>J76*(1+'R1 FC'!$C$18)</f>
        <v>8.8401586964633605</v>
      </c>
      <c r="F76" s="364">
        <f>(H76*$F$2)+H76</f>
        <v>8.4352640000000001</v>
      </c>
      <c r="H76" s="364">
        <v>8</v>
      </c>
      <c r="J76" s="429">
        <f>F76*$J$3</f>
        <v>8.3492243072000001</v>
      </c>
    </row>
    <row r="77" spans="2:10" ht="14.25">
      <c r="B77" s="427"/>
      <c r="C77" s="428"/>
      <c r="D77" s="429"/>
      <c r="F77" s="364"/>
      <c r="H77" s="364"/>
    </row>
    <row r="78" spans="2:10" ht="48.75" customHeight="1">
      <c r="B78" s="427">
        <v>20</v>
      </c>
      <c r="C78" s="428" t="s">
        <v>328</v>
      </c>
      <c r="D78" s="429" t="s">
        <v>303</v>
      </c>
      <c r="F78" s="364" t="s">
        <v>303</v>
      </c>
      <c r="H78" s="364" t="s">
        <v>303</v>
      </c>
    </row>
    <row r="79" spans="2:10" ht="76.5" customHeight="1">
      <c r="B79" s="427">
        <v>21</v>
      </c>
      <c r="C79" s="428" t="s">
        <v>329</v>
      </c>
      <c r="D79" s="429" t="s">
        <v>303</v>
      </c>
      <c r="F79" s="364" t="s">
        <v>303</v>
      </c>
      <c r="H79" s="364" t="s">
        <v>303</v>
      </c>
    </row>
    <row r="80" spans="2:10" ht="16.5" customHeight="1" thickBot="1">
      <c r="B80" s="939"/>
      <c r="C80" s="940"/>
      <c r="D80" s="939"/>
      <c r="H80" s="363"/>
    </row>
    <row r="81" spans="2:10" ht="15.75" thickBot="1">
      <c r="B81" s="1682" t="s">
        <v>330</v>
      </c>
      <c r="C81" s="1683"/>
      <c r="D81" s="1684"/>
      <c r="H81" s="363"/>
    </row>
    <row r="82" spans="2:10" ht="14.25">
      <c r="B82" s="932">
        <v>22</v>
      </c>
      <c r="C82" s="933" t="s">
        <v>331</v>
      </c>
      <c r="D82" s="934"/>
      <c r="F82" s="364"/>
      <c r="H82" s="364"/>
    </row>
    <row r="83" spans="2:10" ht="14.25">
      <c r="B83" s="427"/>
      <c r="C83" s="428" t="s">
        <v>332</v>
      </c>
      <c r="D83" s="429" t="s">
        <v>303</v>
      </c>
      <c r="F83" s="364" t="s">
        <v>303</v>
      </c>
      <c r="H83" s="364" t="s">
        <v>303</v>
      </c>
    </row>
    <row r="84" spans="2:10" ht="14.25">
      <c r="B84" s="427"/>
      <c r="C84" s="430" t="s">
        <v>333</v>
      </c>
      <c r="D84" s="916">
        <f>J84*(1+'R1 FC'!$C$18)</f>
        <v>1.5801783669928255</v>
      </c>
      <c r="F84" s="364">
        <f>(H84*$F$2)+H84</f>
        <v>1.50780344</v>
      </c>
      <c r="H84" s="364">
        <v>1.43</v>
      </c>
      <c r="J84" s="429">
        <f>F84*$J$3</f>
        <v>1.492423844912</v>
      </c>
    </row>
    <row r="85" spans="2:10" ht="14.25">
      <c r="B85" s="427">
        <v>23</v>
      </c>
      <c r="C85" s="428" t="s">
        <v>334</v>
      </c>
      <c r="D85" s="429"/>
      <c r="F85" s="364"/>
      <c r="H85" s="364"/>
    </row>
    <row r="86" spans="2:10" ht="42.75" customHeight="1">
      <c r="B86" s="427"/>
      <c r="C86" s="430" t="s">
        <v>335</v>
      </c>
      <c r="D86" s="916">
        <f>J86*(1+'R1 FC'!$C$18)</f>
        <v>8.8401586964633605</v>
      </c>
      <c r="F86" s="364">
        <f>(H86*$F$2)+H86</f>
        <v>8.4352640000000001</v>
      </c>
      <c r="H86" s="364">
        <v>8</v>
      </c>
      <c r="J86" s="429">
        <f>F86*$J$3</f>
        <v>8.3492243072000001</v>
      </c>
    </row>
    <row r="87" spans="2:10" ht="45.75" customHeight="1">
      <c r="B87" s="427"/>
      <c r="C87" s="438" t="s">
        <v>336</v>
      </c>
      <c r="D87" s="916">
        <f>J87*(1+'R1 FC'!$C$18)</f>
        <v>20.995376904100478</v>
      </c>
      <c r="F87" s="364">
        <f>(H87*$F$2)+H87</f>
        <v>20.033752</v>
      </c>
      <c r="H87" s="364">
        <v>19</v>
      </c>
      <c r="J87" s="429">
        <f>F87*$J$3</f>
        <v>19.8294077296</v>
      </c>
    </row>
    <row r="88" spans="2:10" ht="42.75">
      <c r="B88" s="427"/>
      <c r="C88" s="428" t="s">
        <v>337</v>
      </c>
      <c r="D88" s="916">
        <f>J88*(1+'R1 FC'!$C$18)</f>
        <v>3.31505951117376</v>
      </c>
      <c r="F88" s="364">
        <f>(H88*$F$2)+H88</f>
        <v>3.163224</v>
      </c>
      <c r="H88" s="364">
        <v>3</v>
      </c>
      <c r="J88" s="429">
        <f>F88*$J$3</f>
        <v>3.1309591152</v>
      </c>
    </row>
    <row r="89" spans="2:10" ht="28.5">
      <c r="B89" s="427"/>
      <c r="C89" s="428" t="s">
        <v>338</v>
      </c>
      <c r="D89" s="916">
        <f>J89*(1+'R1 FC'!$C$18)</f>
        <v>20.995376904100478</v>
      </c>
      <c r="F89" s="364">
        <f>(H89*$F$2)+H89</f>
        <v>20.033752</v>
      </c>
      <c r="H89" s="364">
        <v>19</v>
      </c>
      <c r="J89" s="429">
        <f>F89*$J$3</f>
        <v>19.8294077296</v>
      </c>
    </row>
    <row r="90" spans="2:10" ht="57">
      <c r="B90" s="427"/>
      <c r="C90" s="428" t="s">
        <v>339</v>
      </c>
      <c r="D90" s="916">
        <f>J90*(1+'R1 FC'!$C$18)</f>
        <v>9.9451785335212808</v>
      </c>
      <c r="F90" s="364">
        <f>(H90*$F$2)+H90</f>
        <v>9.4896720000000006</v>
      </c>
      <c r="H90" s="364">
        <v>9</v>
      </c>
      <c r="J90" s="429">
        <f>F90*$J$3</f>
        <v>9.3928773456000005</v>
      </c>
    </row>
    <row r="91" spans="2:10" ht="42.75">
      <c r="B91" s="427"/>
      <c r="C91" s="428" t="s">
        <v>340</v>
      </c>
      <c r="D91" s="429" t="s">
        <v>303</v>
      </c>
      <c r="F91" s="364" t="s">
        <v>303</v>
      </c>
      <c r="H91" s="364" t="s">
        <v>303</v>
      </c>
    </row>
  </sheetData>
  <mergeCells count="7">
    <mergeCell ref="B1:D1"/>
    <mergeCell ref="B2:D2"/>
    <mergeCell ref="B81:D81"/>
    <mergeCell ref="B3:D3"/>
    <mergeCell ref="B60:D60"/>
    <mergeCell ref="B69:D69"/>
    <mergeCell ref="B39:D39"/>
  </mergeCells>
  <printOptions horizontalCentered="1"/>
  <pageMargins left="0.98425196850393704" right="0.59055118110236227" top="1.9685039370078741" bottom="1.0629921259842521" header="0.39370078740157483" footer="0.39370078740157483"/>
  <pageSetup paperSize="9" scale="95" fitToHeight="3" orientation="portrait" r:id="rId1"/>
  <headerFooter alignWithMargins="0"/>
  <rowBreaks count="2" manualBreakCount="2">
    <brk id="36" min="1" max="3" man="1"/>
    <brk id="66" min="1" max="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7030A0"/>
    <pageSetUpPr fitToPage="1"/>
  </sheetPr>
  <dimension ref="B1:AH101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157" customWidth="1"/>
    <col min="2" max="2" width="10" style="157" customWidth="1"/>
    <col min="3" max="8" width="17" style="157" customWidth="1"/>
    <col min="9" max="9" width="2.7109375" style="157" customWidth="1"/>
    <col min="10" max="13" width="11.5703125" style="157" customWidth="1"/>
    <col min="14" max="22" width="14.7109375" style="157" customWidth="1"/>
    <col min="23" max="23" width="11.5703125" style="157" customWidth="1"/>
    <col min="24" max="24" width="15.28515625" style="157" customWidth="1"/>
    <col min="25" max="25" width="9.42578125" style="157" customWidth="1"/>
    <col min="26" max="26" width="15.28515625" style="157" customWidth="1"/>
    <col min="27" max="27" width="10.42578125" style="157" customWidth="1"/>
    <col min="28" max="28" width="17.85546875" style="157" customWidth="1"/>
    <col min="29" max="29" width="13.5703125" style="157" customWidth="1"/>
    <col min="30" max="30" width="17.85546875" style="157" customWidth="1"/>
    <col min="31" max="31" width="11.5703125" style="157" customWidth="1"/>
    <col min="32" max="33" width="11.5703125" style="157"/>
    <col min="34" max="34" width="13.5703125" style="157" bestFit="1" customWidth="1"/>
    <col min="35" max="262" width="11.5703125" style="157"/>
    <col min="263" max="263" width="10" style="157" customWidth="1"/>
    <col min="264" max="269" width="17" style="157" customWidth="1"/>
    <col min="270" max="518" width="11.5703125" style="157"/>
    <col min="519" max="519" width="10" style="157" customWidth="1"/>
    <col min="520" max="525" width="17" style="157" customWidth="1"/>
    <col min="526" max="774" width="11.5703125" style="157"/>
    <col min="775" max="775" width="10" style="157" customWidth="1"/>
    <col min="776" max="781" width="17" style="157" customWidth="1"/>
    <col min="782" max="1030" width="11.5703125" style="157"/>
    <col min="1031" max="1031" width="10" style="157" customWidth="1"/>
    <col min="1032" max="1037" width="17" style="157" customWidth="1"/>
    <col min="1038" max="1286" width="11.5703125" style="157"/>
    <col min="1287" max="1287" width="10" style="157" customWidth="1"/>
    <col min="1288" max="1293" width="17" style="157" customWidth="1"/>
    <col min="1294" max="1542" width="11.5703125" style="157"/>
    <col min="1543" max="1543" width="10" style="157" customWidth="1"/>
    <col min="1544" max="1549" width="17" style="157" customWidth="1"/>
    <col min="1550" max="1798" width="11.5703125" style="157"/>
    <col min="1799" max="1799" width="10" style="157" customWidth="1"/>
    <col min="1800" max="1805" width="17" style="157" customWidth="1"/>
    <col min="1806" max="2054" width="11.5703125" style="157"/>
    <col min="2055" max="2055" width="10" style="157" customWidth="1"/>
    <col min="2056" max="2061" width="17" style="157" customWidth="1"/>
    <col min="2062" max="2310" width="11.5703125" style="157"/>
    <col min="2311" max="2311" width="10" style="157" customWidth="1"/>
    <col min="2312" max="2317" width="17" style="157" customWidth="1"/>
    <col min="2318" max="2566" width="11.5703125" style="157"/>
    <col min="2567" max="2567" width="10" style="157" customWidth="1"/>
    <col min="2568" max="2573" width="17" style="157" customWidth="1"/>
    <col min="2574" max="2822" width="11.5703125" style="157"/>
    <col min="2823" max="2823" width="10" style="157" customWidth="1"/>
    <col min="2824" max="2829" width="17" style="157" customWidth="1"/>
    <col min="2830" max="3078" width="11.5703125" style="157"/>
    <col min="3079" max="3079" width="10" style="157" customWidth="1"/>
    <col min="3080" max="3085" width="17" style="157" customWidth="1"/>
    <col min="3086" max="3334" width="11.5703125" style="157"/>
    <col min="3335" max="3335" width="10" style="157" customWidth="1"/>
    <col min="3336" max="3341" width="17" style="157" customWidth="1"/>
    <col min="3342" max="3590" width="11.5703125" style="157"/>
    <col min="3591" max="3591" width="10" style="157" customWidth="1"/>
    <col min="3592" max="3597" width="17" style="157" customWidth="1"/>
    <col min="3598" max="3846" width="11.5703125" style="157"/>
    <col min="3847" max="3847" width="10" style="157" customWidth="1"/>
    <col min="3848" max="3853" width="17" style="157" customWidth="1"/>
    <col min="3854" max="4102" width="11.5703125" style="157"/>
    <col min="4103" max="4103" width="10" style="157" customWidth="1"/>
    <col min="4104" max="4109" width="17" style="157" customWidth="1"/>
    <col min="4110" max="4358" width="11.5703125" style="157"/>
    <col min="4359" max="4359" width="10" style="157" customWidth="1"/>
    <col min="4360" max="4365" width="17" style="157" customWidth="1"/>
    <col min="4366" max="4614" width="11.5703125" style="157"/>
    <col min="4615" max="4615" width="10" style="157" customWidth="1"/>
    <col min="4616" max="4621" width="17" style="157" customWidth="1"/>
    <col min="4622" max="4870" width="11.5703125" style="157"/>
    <col min="4871" max="4871" width="10" style="157" customWidth="1"/>
    <col min="4872" max="4877" width="17" style="157" customWidth="1"/>
    <col min="4878" max="5126" width="11.5703125" style="157"/>
    <col min="5127" max="5127" width="10" style="157" customWidth="1"/>
    <col min="5128" max="5133" width="17" style="157" customWidth="1"/>
    <col min="5134" max="5382" width="11.5703125" style="157"/>
    <col min="5383" max="5383" width="10" style="157" customWidth="1"/>
    <col min="5384" max="5389" width="17" style="157" customWidth="1"/>
    <col min="5390" max="5638" width="11.5703125" style="157"/>
    <col min="5639" max="5639" width="10" style="157" customWidth="1"/>
    <col min="5640" max="5645" width="17" style="157" customWidth="1"/>
    <col min="5646" max="5894" width="11.5703125" style="157"/>
    <col min="5895" max="5895" width="10" style="157" customWidth="1"/>
    <col min="5896" max="5901" width="17" style="157" customWidth="1"/>
    <col min="5902" max="6150" width="11.5703125" style="157"/>
    <col min="6151" max="6151" width="10" style="157" customWidth="1"/>
    <col min="6152" max="6157" width="17" style="157" customWidth="1"/>
    <col min="6158" max="6406" width="11.5703125" style="157"/>
    <col min="6407" max="6407" width="10" style="157" customWidth="1"/>
    <col min="6408" max="6413" width="17" style="157" customWidth="1"/>
    <col min="6414" max="6662" width="11.5703125" style="157"/>
    <col min="6663" max="6663" width="10" style="157" customWidth="1"/>
    <col min="6664" max="6669" width="17" style="157" customWidth="1"/>
    <col min="6670" max="6918" width="11.5703125" style="157"/>
    <col min="6919" max="6919" width="10" style="157" customWidth="1"/>
    <col min="6920" max="6925" width="17" style="157" customWidth="1"/>
    <col min="6926" max="7174" width="11.5703125" style="157"/>
    <col min="7175" max="7175" width="10" style="157" customWidth="1"/>
    <col min="7176" max="7181" width="17" style="157" customWidth="1"/>
    <col min="7182" max="7430" width="11.5703125" style="157"/>
    <col min="7431" max="7431" width="10" style="157" customWidth="1"/>
    <col min="7432" max="7437" width="17" style="157" customWidth="1"/>
    <col min="7438" max="7686" width="11.5703125" style="157"/>
    <col min="7687" max="7687" width="10" style="157" customWidth="1"/>
    <col min="7688" max="7693" width="17" style="157" customWidth="1"/>
    <col min="7694" max="7942" width="11.5703125" style="157"/>
    <col min="7943" max="7943" width="10" style="157" customWidth="1"/>
    <col min="7944" max="7949" width="17" style="157" customWidth="1"/>
    <col min="7950" max="8198" width="11.5703125" style="157"/>
    <col min="8199" max="8199" width="10" style="157" customWidth="1"/>
    <col min="8200" max="8205" width="17" style="157" customWidth="1"/>
    <col min="8206" max="8454" width="11.5703125" style="157"/>
    <col min="8455" max="8455" width="10" style="157" customWidth="1"/>
    <col min="8456" max="8461" width="17" style="157" customWidth="1"/>
    <col min="8462" max="8710" width="11.5703125" style="157"/>
    <col min="8711" max="8711" width="10" style="157" customWidth="1"/>
    <col min="8712" max="8717" width="17" style="157" customWidth="1"/>
    <col min="8718" max="8966" width="11.5703125" style="157"/>
    <col min="8967" max="8967" width="10" style="157" customWidth="1"/>
    <col min="8968" max="8973" width="17" style="157" customWidth="1"/>
    <col min="8974" max="9222" width="11.5703125" style="157"/>
    <col min="9223" max="9223" width="10" style="157" customWidth="1"/>
    <col min="9224" max="9229" width="17" style="157" customWidth="1"/>
    <col min="9230" max="9478" width="11.5703125" style="157"/>
    <col min="9479" max="9479" width="10" style="157" customWidth="1"/>
    <col min="9480" max="9485" width="17" style="157" customWidth="1"/>
    <col min="9486" max="9734" width="11.5703125" style="157"/>
    <col min="9735" max="9735" width="10" style="157" customWidth="1"/>
    <col min="9736" max="9741" width="17" style="157" customWidth="1"/>
    <col min="9742" max="9990" width="11.5703125" style="157"/>
    <col min="9991" max="9991" width="10" style="157" customWidth="1"/>
    <col min="9992" max="9997" width="17" style="157" customWidth="1"/>
    <col min="9998" max="10246" width="11.5703125" style="157"/>
    <col min="10247" max="10247" width="10" style="157" customWidth="1"/>
    <col min="10248" max="10253" width="17" style="157" customWidth="1"/>
    <col min="10254" max="10502" width="11.5703125" style="157"/>
    <col min="10503" max="10503" width="10" style="157" customWidth="1"/>
    <col min="10504" max="10509" width="17" style="157" customWidth="1"/>
    <col min="10510" max="10758" width="11.5703125" style="157"/>
    <col min="10759" max="10759" width="10" style="157" customWidth="1"/>
    <col min="10760" max="10765" width="17" style="157" customWidth="1"/>
    <col min="10766" max="11014" width="11.5703125" style="157"/>
    <col min="11015" max="11015" width="10" style="157" customWidth="1"/>
    <col min="11016" max="11021" width="17" style="157" customWidth="1"/>
    <col min="11022" max="11270" width="11.5703125" style="157"/>
    <col min="11271" max="11271" width="10" style="157" customWidth="1"/>
    <col min="11272" max="11277" width="17" style="157" customWidth="1"/>
    <col min="11278" max="11526" width="11.5703125" style="157"/>
    <col min="11527" max="11527" width="10" style="157" customWidth="1"/>
    <col min="11528" max="11533" width="17" style="157" customWidth="1"/>
    <col min="11534" max="11782" width="11.5703125" style="157"/>
    <col min="11783" max="11783" width="10" style="157" customWidth="1"/>
    <col min="11784" max="11789" width="17" style="157" customWidth="1"/>
    <col min="11790" max="12038" width="11.5703125" style="157"/>
    <col min="12039" max="12039" width="10" style="157" customWidth="1"/>
    <col min="12040" max="12045" width="17" style="157" customWidth="1"/>
    <col min="12046" max="12294" width="11.5703125" style="157"/>
    <col min="12295" max="12295" width="10" style="157" customWidth="1"/>
    <col min="12296" max="12301" width="17" style="157" customWidth="1"/>
    <col min="12302" max="12550" width="11.5703125" style="157"/>
    <col min="12551" max="12551" width="10" style="157" customWidth="1"/>
    <col min="12552" max="12557" width="17" style="157" customWidth="1"/>
    <col min="12558" max="12806" width="11.5703125" style="157"/>
    <col min="12807" max="12807" width="10" style="157" customWidth="1"/>
    <col min="12808" max="12813" width="17" style="157" customWidth="1"/>
    <col min="12814" max="13062" width="11.5703125" style="157"/>
    <col min="13063" max="13063" width="10" style="157" customWidth="1"/>
    <col min="13064" max="13069" width="17" style="157" customWidth="1"/>
    <col min="13070" max="13318" width="11.5703125" style="157"/>
    <col min="13319" max="13319" width="10" style="157" customWidth="1"/>
    <col min="13320" max="13325" width="17" style="157" customWidth="1"/>
    <col min="13326" max="13574" width="11.5703125" style="157"/>
    <col min="13575" max="13575" width="10" style="157" customWidth="1"/>
    <col min="13576" max="13581" width="17" style="157" customWidth="1"/>
    <col min="13582" max="13830" width="11.5703125" style="157"/>
    <col min="13831" max="13831" width="10" style="157" customWidth="1"/>
    <col min="13832" max="13837" width="17" style="157" customWidth="1"/>
    <col min="13838" max="14086" width="11.5703125" style="157"/>
    <col min="14087" max="14087" width="10" style="157" customWidth="1"/>
    <col min="14088" max="14093" width="17" style="157" customWidth="1"/>
    <col min="14094" max="14342" width="11.5703125" style="157"/>
    <col min="14343" max="14343" width="10" style="157" customWidth="1"/>
    <col min="14344" max="14349" width="17" style="157" customWidth="1"/>
    <col min="14350" max="14598" width="11.5703125" style="157"/>
    <col min="14599" max="14599" width="10" style="157" customWidth="1"/>
    <col min="14600" max="14605" width="17" style="157" customWidth="1"/>
    <col min="14606" max="14854" width="11.5703125" style="157"/>
    <col min="14855" max="14855" width="10" style="157" customWidth="1"/>
    <col min="14856" max="14861" width="17" style="157" customWidth="1"/>
    <col min="14862" max="15110" width="11.5703125" style="157"/>
    <col min="15111" max="15111" width="10" style="157" customWidth="1"/>
    <col min="15112" max="15117" width="17" style="157" customWidth="1"/>
    <col min="15118" max="15366" width="11.5703125" style="157"/>
    <col min="15367" max="15367" width="10" style="157" customWidth="1"/>
    <col min="15368" max="15373" width="17" style="157" customWidth="1"/>
    <col min="15374" max="15622" width="11.5703125" style="157"/>
    <col min="15623" max="15623" width="10" style="157" customWidth="1"/>
    <col min="15624" max="15629" width="17" style="157" customWidth="1"/>
    <col min="15630" max="15878" width="11.5703125" style="157"/>
    <col min="15879" max="15879" width="10" style="157" customWidth="1"/>
    <col min="15880" max="15885" width="17" style="157" customWidth="1"/>
    <col min="15886" max="16134" width="11.5703125" style="157"/>
    <col min="16135" max="16135" width="10" style="157" customWidth="1"/>
    <col min="16136" max="16141" width="17" style="157" customWidth="1"/>
    <col min="16142" max="16384" width="11.5703125" style="157"/>
  </cols>
  <sheetData>
    <row r="1" spans="2:34" s="156" customFormat="1" ht="33" customHeight="1">
      <c r="B1" s="441"/>
      <c r="C1" s="1688" t="s">
        <v>116</v>
      </c>
      <c r="D1" s="1688"/>
      <c r="E1" s="1688"/>
      <c r="F1" s="1688"/>
      <c r="G1" s="1688"/>
      <c r="H1" s="442"/>
      <c r="K1" s="1109" t="s">
        <v>560</v>
      </c>
      <c r="L1" s="1110">
        <v>8.77E-2</v>
      </c>
      <c r="N1" s="588">
        <f>'12 R1 Tarifa'!N3</f>
        <v>0.98980000000000001</v>
      </c>
      <c r="O1" s="1113" t="s">
        <v>564</v>
      </c>
      <c r="P1" s="1112"/>
      <c r="Q1" s="1112"/>
      <c r="S1" s="1113" t="s">
        <v>563</v>
      </c>
    </row>
    <row r="2" spans="2:34" ht="15.75" thickBot="1">
      <c r="B2" s="441"/>
      <c r="C2" s="1108">
        <v>0.02</v>
      </c>
      <c r="D2" s="1108">
        <v>0.94</v>
      </c>
      <c r="E2" s="1108">
        <v>1.4999999999999999E-2</v>
      </c>
      <c r="F2" s="1108">
        <v>0.01</v>
      </c>
      <c r="G2" s="1108">
        <v>1.4999999999999999E-2</v>
      </c>
      <c r="H2" s="1108">
        <f>SUM(C2:G2)</f>
        <v>1</v>
      </c>
      <c r="L2" s="227"/>
      <c r="O2" s="228" t="s">
        <v>354</v>
      </c>
      <c r="P2" s="228" t="s">
        <v>355</v>
      </c>
      <c r="Q2" s="228" t="s">
        <v>356</v>
      </c>
      <c r="R2" s="228" t="s">
        <v>357</v>
      </c>
      <c r="S2" s="228" t="s">
        <v>354</v>
      </c>
      <c r="T2" s="228" t="s">
        <v>355</v>
      </c>
      <c r="U2" s="228" t="s">
        <v>356</v>
      </c>
      <c r="V2" s="228" t="s">
        <v>357</v>
      </c>
    </row>
    <row r="3" spans="2:34" ht="21.75" customHeight="1" thickBot="1">
      <c r="B3" s="1634" t="s">
        <v>1</v>
      </c>
      <c r="C3" s="1689" t="s">
        <v>117</v>
      </c>
      <c r="D3" s="1689"/>
      <c r="E3" s="1689"/>
      <c r="F3" s="1689"/>
      <c r="G3" s="1689"/>
      <c r="H3" s="1690"/>
      <c r="O3" s="587">
        <f>'R1 FC'!C18</f>
        <v>5.8799999999999998E-2</v>
      </c>
      <c r="P3" s="587">
        <f>'R1 FC'!D18</f>
        <v>5.8799999999999998E-2</v>
      </c>
      <c r="Q3" s="587">
        <f>'R1 FC'!E18</f>
        <v>5.8799999999999998E-2</v>
      </c>
      <c r="R3" s="587">
        <f>'R1 FC'!F18</f>
        <v>5.8799999999999998E-2</v>
      </c>
      <c r="S3" s="587">
        <f>'R1 FC'!C20</f>
        <v>0.9</v>
      </c>
      <c r="T3" s="587">
        <f>'R1 FC'!D20</f>
        <v>1</v>
      </c>
      <c r="U3" s="587">
        <f>'R1 FC'!E20</f>
        <v>1</v>
      </c>
      <c r="V3" s="587">
        <f>'R1 FC'!F20</f>
        <v>1</v>
      </c>
      <c r="X3" s="237">
        <f>X5/K5</f>
        <v>2.3381848962022564</v>
      </c>
      <c r="Y3" s="237"/>
      <c r="Z3" s="246">
        <f>Z5/M5</f>
        <v>1.8217399578233431</v>
      </c>
      <c r="AA3" s="246"/>
      <c r="AB3" s="237">
        <f>Z3/X3</f>
        <v>0.77912570591926356</v>
      </c>
    </row>
    <row r="4" spans="2:34" s="158" customFormat="1" ht="45.75" customHeight="1" thickBot="1">
      <c r="B4" s="1635"/>
      <c r="C4" s="414" t="s">
        <v>105</v>
      </c>
      <c r="D4" s="49" t="s">
        <v>118</v>
      </c>
      <c r="E4" s="49" t="s">
        <v>119</v>
      </c>
      <c r="F4" s="49" t="s">
        <v>114</v>
      </c>
      <c r="G4" s="49" t="s">
        <v>120</v>
      </c>
      <c r="H4" s="49" t="s">
        <v>0</v>
      </c>
      <c r="K4" s="231" t="s">
        <v>243</v>
      </c>
      <c r="L4" s="232" t="s">
        <v>399</v>
      </c>
      <c r="M4" s="232" t="s">
        <v>242</v>
      </c>
      <c r="N4" s="232" t="s">
        <v>393</v>
      </c>
      <c r="O4" s="232" t="s">
        <v>394</v>
      </c>
      <c r="P4" s="232" t="s">
        <v>561</v>
      </c>
      <c r="Q4" s="232" t="s">
        <v>560</v>
      </c>
      <c r="R4" s="232" t="s">
        <v>398</v>
      </c>
      <c r="S4" s="232" t="s">
        <v>395</v>
      </c>
      <c r="T4" s="232" t="s">
        <v>396</v>
      </c>
      <c r="U4" s="232" t="s">
        <v>397</v>
      </c>
      <c r="V4" s="232" t="s">
        <v>125</v>
      </c>
      <c r="X4" s="239" t="s">
        <v>244</v>
      </c>
      <c r="Y4" s="239"/>
      <c r="Z4" s="239" t="s">
        <v>245</v>
      </c>
      <c r="AA4" s="239"/>
      <c r="AB4" s="239" t="s">
        <v>247</v>
      </c>
      <c r="AC4" s="240"/>
      <c r="AD4" s="239" t="s">
        <v>246</v>
      </c>
    </row>
    <row r="5" spans="2:34" ht="20.25" customHeight="1">
      <c r="B5" s="443">
        <v>1</v>
      </c>
      <c r="C5" s="563">
        <f t="shared" ref="C5:C34" si="0">$C$2*V5</f>
        <v>47589.138598144586</v>
      </c>
      <c r="D5" s="564">
        <f t="shared" ref="D5:D34" si="1">$D$2*V5</f>
        <v>2236689.5141127952</v>
      </c>
      <c r="E5" s="564">
        <f t="shared" ref="E5:E34" si="2">$E$2*V5</f>
        <v>35691.853948608441</v>
      </c>
      <c r="F5" s="564">
        <f t="shared" ref="F5:F34" si="3">$F$2*V5</f>
        <v>23794.569299072293</v>
      </c>
      <c r="G5" s="564">
        <f t="shared" ref="G5:G34" si="4">$G$2*V5</f>
        <v>35691.853948608441</v>
      </c>
      <c r="H5" s="565">
        <f>SUM(C5:G5)</f>
        <v>2379456.9299072293</v>
      </c>
      <c r="K5" s="168">
        <f>'3 Vol'!F4</f>
        <v>721108.36546377453</v>
      </c>
      <c r="L5" s="562">
        <f>('2 R1 Lig'!E4/'2 R1 Lig'!C4)</f>
        <v>0.56000000000000005</v>
      </c>
      <c r="M5" s="227">
        <f>K5*L5</f>
        <v>403820.68465971376</v>
      </c>
      <c r="N5" s="581">
        <v>2.3143354102609934</v>
      </c>
      <c r="O5" s="580">
        <f>N5</f>
        <v>2.3143354102609934</v>
      </c>
      <c r="P5" s="1111">
        <v>0</v>
      </c>
      <c r="Q5" s="234">
        <f>O5*K5*$L$1*P5</f>
        <v>0</v>
      </c>
      <c r="R5" s="234">
        <f>O5*K5-Q5</f>
        <v>1668886.624828239</v>
      </c>
      <c r="S5" s="582">
        <v>1.7596183951739974</v>
      </c>
      <c r="T5" s="580">
        <f>S5</f>
        <v>1.7596183951739974</v>
      </c>
      <c r="U5" s="234">
        <f t="shared" ref="U5:U34" si="5">M5*T5</f>
        <v>710570.30507899041</v>
      </c>
      <c r="V5" s="230">
        <f t="shared" ref="V5:V34" si="6">R5+U5</f>
        <v>2379456.9299072293</v>
      </c>
      <c r="X5" s="241">
        <v>1686084.6886524945</v>
      </c>
      <c r="Y5" s="247">
        <f t="shared" ref="Y5:Y34" si="7">X5/K5</f>
        <v>2.3381848962022564</v>
      </c>
      <c r="Z5" s="241">
        <v>735656.27704018052</v>
      </c>
      <c r="AA5" s="241">
        <f t="shared" ref="AA5:AA34" si="8">Z5/M5</f>
        <v>1.8217399578233431</v>
      </c>
      <c r="AB5" s="242">
        <f t="shared" ref="AB5:AB34" si="9">X5+Z5</f>
        <v>2421740.9656926747</v>
      </c>
      <c r="AC5" s="243"/>
      <c r="AD5" s="241">
        <v>24217.409656926749</v>
      </c>
      <c r="AH5" s="235"/>
    </row>
    <row r="6" spans="2:34" ht="20.25" customHeight="1">
      <c r="B6" s="444">
        <v>2</v>
      </c>
      <c r="C6" s="563">
        <f t="shared" si="0"/>
        <v>48724.155582586507</v>
      </c>
      <c r="D6" s="564">
        <f t="shared" si="1"/>
        <v>2290035.3123815656</v>
      </c>
      <c r="E6" s="564">
        <f t="shared" si="2"/>
        <v>36543.11668693988</v>
      </c>
      <c r="F6" s="564">
        <f t="shared" si="3"/>
        <v>24362.077791293254</v>
      </c>
      <c r="G6" s="564">
        <f t="shared" si="4"/>
        <v>36543.11668693988</v>
      </c>
      <c r="H6" s="565">
        <f t="shared" ref="H6:H34" si="10">SUM(C6:G6)</f>
        <v>2436207.7791293245</v>
      </c>
      <c r="K6" s="168">
        <f>'3 Vol'!F5</f>
        <v>734665.34911619837</v>
      </c>
      <c r="L6" s="562">
        <f>('2 R1 Lig'!E5/'2 R1 Lig'!C5)</f>
        <v>0.56000000000000005</v>
      </c>
      <c r="M6" s="227">
        <f t="shared" ref="M6:M34" si="11">K6*L6</f>
        <v>411412.59550507111</v>
      </c>
      <c r="N6" s="581">
        <v>2.3306919403946198</v>
      </c>
      <c r="O6" s="580">
        <f>N6</f>
        <v>2.3306919403946198</v>
      </c>
      <c r="P6" s="1111">
        <v>0</v>
      </c>
      <c r="Q6" s="234">
        <f t="shared" ref="Q6:Q34" si="12">O6*K6*$L$1*P6</f>
        <v>0</v>
      </c>
      <c r="R6" s="234">
        <f t="shared" ref="R6:R34" si="13">O6*K6-Q6</f>
        <v>1712278.6080723233</v>
      </c>
      <c r="S6" s="581">
        <v>1.7596183951739974</v>
      </c>
      <c r="T6" s="580">
        <f>S6</f>
        <v>1.7596183951739974</v>
      </c>
      <c r="U6" s="234">
        <f t="shared" si="5"/>
        <v>723929.17105700215</v>
      </c>
      <c r="V6" s="230">
        <f t="shared" si="6"/>
        <v>2436207.7791293254</v>
      </c>
      <c r="X6" s="241">
        <v>1729923.8311500538</v>
      </c>
      <c r="Y6" s="247">
        <f t="shared" si="7"/>
        <v>2.3547099822131945</v>
      </c>
      <c r="Z6" s="241">
        <v>802391.09993413684</v>
      </c>
      <c r="AA6" s="241">
        <f t="shared" si="8"/>
        <v>1.9503318777809429</v>
      </c>
      <c r="AB6" s="242">
        <f t="shared" si="9"/>
        <v>2532314.9310841905</v>
      </c>
      <c r="AC6" s="243"/>
      <c r="AD6" s="241">
        <v>25323.149310841905</v>
      </c>
      <c r="AH6" s="235"/>
    </row>
    <row r="7" spans="2:34" ht="20.25" customHeight="1">
      <c r="B7" s="444">
        <v>3</v>
      </c>
      <c r="C7" s="563">
        <f t="shared" si="0"/>
        <v>50000.322967149601</v>
      </c>
      <c r="D7" s="564">
        <f t="shared" si="1"/>
        <v>2350015.1794560309</v>
      </c>
      <c r="E7" s="564">
        <f t="shared" si="2"/>
        <v>37500.242225362199</v>
      </c>
      <c r="F7" s="564">
        <f t="shared" si="3"/>
        <v>25000.161483574801</v>
      </c>
      <c r="G7" s="564">
        <f t="shared" si="4"/>
        <v>37500.242225362199</v>
      </c>
      <c r="H7" s="565">
        <f t="shared" si="10"/>
        <v>2500016.1483574794</v>
      </c>
      <c r="K7" s="168">
        <f>'3 Vol'!F6</f>
        <v>748265.46883539215</v>
      </c>
      <c r="L7" s="562">
        <f>('2 R1 Lig'!E6/'2 R1 Lig'!C6)</f>
        <v>0.56000000000000005</v>
      </c>
      <c r="M7" s="227">
        <f t="shared" si="11"/>
        <v>419028.66254781967</v>
      </c>
      <c r="N7" s="581">
        <v>2.3490236988265485</v>
      </c>
      <c r="O7" s="580">
        <f>N7</f>
        <v>2.3490236988265485</v>
      </c>
      <c r="P7" s="1111">
        <v>0</v>
      </c>
      <c r="Q7" s="234">
        <f t="shared" si="12"/>
        <v>0</v>
      </c>
      <c r="R7" s="234">
        <f t="shared" si="13"/>
        <v>1757693.3193078942</v>
      </c>
      <c r="S7" s="581">
        <v>1.7715323446755191</v>
      </c>
      <c r="T7" s="580">
        <f>S7</f>
        <v>1.7715323446755191</v>
      </c>
      <c r="U7" s="234">
        <f t="shared" si="5"/>
        <v>742322.82904958585</v>
      </c>
      <c r="V7" s="230">
        <f t="shared" si="6"/>
        <v>2500016.1483574798</v>
      </c>
      <c r="X7" s="241">
        <v>1775806.5460778887</v>
      </c>
      <c r="Y7" s="247">
        <f t="shared" si="7"/>
        <v>2.3732306514715584</v>
      </c>
      <c r="Z7" s="241">
        <v>928943.27098225581</v>
      </c>
      <c r="AA7" s="241">
        <f t="shared" si="8"/>
        <v>2.2168967280997025</v>
      </c>
      <c r="AB7" s="242">
        <f t="shared" si="9"/>
        <v>2704749.8170601446</v>
      </c>
      <c r="AC7" s="243"/>
      <c r="AD7" s="241">
        <v>27047.498170601448</v>
      </c>
      <c r="AH7" s="235"/>
    </row>
    <row r="8" spans="2:34" ht="20.25" customHeight="1">
      <c r="B8" s="444">
        <v>4</v>
      </c>
      <c r="C8" s="915">
        <f t="shared" si="0"/>
        <v>51700.456022109465</v>
      </c>
      <c r="D8" s="892">
        <f t="shared" si="1"/>
        <v>2429921.4330391446</v>
      </c>
      <c r="E8" s="892">
        <f t="shared" si="2"/>
        <v>38775.342016582093</v>
      </c>
      <c r="F8" s="892">
        <f t="shared" si="3"/>
        <v>25850.228011054733</v>
      </c>
      <c r="G8" s="892">
        <f t="shared" si="4"/>
        <v>38775.342016582093</v>
      </c>
      <c r="H8" s="893">
        <f t="shared" si="10"/>
        <v>2585022.8011054727</v>
      </c>
      <c r="K8" s="168">
        <f>'3 Vol'!F7</f>
        <v>761947.00884768926</v>
      </c>
      <c r="L8" s="562">
        <f>('2 R1 Lig'!E7/'2 R1 Lig'!C7)</f>
        <v>0.56000000000000005</v>
      </c>
      <c r="M8" s="227">
        <f t="shared" si="11"/>
        <v>426690.32495470601</v>
      </c>
      <c r="N8" s="581">
        <v>2.3675227280762523</v>
      </c>
      <c r="O8" s="580">
        <f>N8</f>
        <v>2.3675227280762523</v>
      </c>
      <c r="P8" s="1111">
        <v>0</v>
      </c>
      <c r="Q8" s="234">
        <f t="shared" si="12"/>
        <v>0</v>
      </c>
      <c r="R8" s="234">
        <f t="shared" si="13"/>
        <v>1803926.8610366217</v>
      </c>
      <c r="S8" s="581">
        <v>1.8305921048286389</v>
      </c>
      <c r="T8" s="580">
        <f>S8</f>
        <v>1.8305921048286389</v>
      </c>
      <c r="U8" s="234">
        <f t="shared" si="5"/>
        <v>781095.94006885123</v>
      </c>
      <c r="V8" s="230">
        <f t="shared" si="6"/>
        <v>2585022.8011054732</v>
      </c>
      <c r="X8" s="241">
        <v>1822516.5296389388</v>
      </c>
      <c r="Y8" s="247">
        <f t="shared" si="7"/>
        <v>2.391920315292233</v>
      </c>
      <c r="Z8" s="241">
        <v>1047282.8221336296</v>
      </c>
      <c r="AA8" s="241">
        <f t="shared" si="8"/>
        <v>2.4544330182429159</v>
      </c>
      <c r="AB8" s="242">
        <f t="shared" si="9"/>
        <v>2869799.3517725682</v>
      </c>
      <c r="AC8" s="243"/>
      <c r="AD8" s="241">
        <v>28697.993517725681</v>
      </c>
      <c r="AH8" s="235"/>
    </row>
    <row r="9" spans="2:34" ht="20.25" customHeight="1">
      <c r="B9" s="98">
        <v>5</v>
      </c>
      <c r="C9" s="915">
        <f t="shared" si="0"/>
        <v>57562.885914838058</v>
      </c>
      <c r="D9" s="892">
        <f t="shared" si="1"/>
        <v>2705455.6379973884</v>
      </c>
      <c r="E9" s="892">
        <f t="shared" si="2"/>
        <v>43172.164436128536</v>
      </c>
      <c r="F9" s="892">
        <f t="shared" si="3"/>
        <v>28781.442957419029</v>
      </c>
      <c r="G9" s="892">
        <f t="shared" si="4"/>
        <v>43172.164436128536</v>
      </c>
      <c r="H9" s="893">
        <f t="shared" si="10"/>
        <v>2878144.2957419022</v>
      </c>
      <c r="K9" s="168">
        <f>'3 Vol'!F8</f>
        <v>775557.955523276</v>
      </c>
      <c r="L9" s="562">
        <f>('2 R1 Lig'!E8/'2 R1 Lig'!C8)</f>
        <v>0.56000000000000005</v>
      </c>
      <c r="M9" s="227">
        <f t="shared" si="11"/>
        <v>434312.4550930346</v>
      </c>
      <c r="N9" s="581">
        <v>2.3860867537380153</v>
      </c>
      <c r="O9" s="589">
        <f>N9*(1+O$3)</f>
        <v>2.5263886548578105</v>
      </c>
      <c r="P9" s="1111">
        <v>0.4</v>
      </c>
      <c r="Q9" s="234">
        <f t="shared" si="12"/>
        <v>68734.377566256808</v>
      </c>
      <c r="R9" s="234">
        <f t="shared" si="13"/>
        <v>1890626.4424524661</v>
      </c>
      <c r="S9" s="581">
        <v>1.848763677658215</v>
      </c>
      <c r="T9" s="589">
        <f>O9*$S$3</f>
        <v>2.2737497893720295</v>
      </c>
      <c r="U9" s="234">
        <f t="shared" si="5"/>
        <v>987517.85328943643</v>
      </c>
      <c r="V9" s="230">
        <f t="shared" si="6"/>
        <v>2878144.2957419027</v>
      </c>
      <c r="X9" s="241">
        <v>1869618.6749143519</v>
      </c>
      <c r="Y9" s="247">
        <f t="shared" si="7"/>
        <v>2.410675645320282</v>
      </c>
      <c r="Z9" s="241">
        <v>1148344.0049364793</v>
      </c>
      <c r="AA9" s="241">
        <f t="shared" si="8"/>
        <v>2.6440503639033128</v>
      </c>
      <c r="AB9" s="242">
        <f t="shared" si="9"/>
        <v>3017962.6798508312</v>
      </c>
      <c r="AC9" s="243"/>
      <c r="AD9" s="241">
        <v>30179.62679850831</v>
      </c>
      <c r="AH9" s="235"/>
    </row>
    <row r="10" spans="2:34" ht="20.25" customHeight="1">
      <c r="B10" s="98">
        <v>6</v>
      </c>
      <c r="C10" s="915">
        <f t="shared" si="0"/>
        <v>65355.711703916299</v>
      </c>
      <c r="D10" s="892">
        <f t="shared" si="1"/>
        <v>3071718.4500840656</v>
      </c>
      <c r="E10" s="892">
        <f t="shared" si="2"/>
        <v>49016.78377793722</v>
      </c>
      <c r="F10" s="892">
        <f t="shared" si="3"/>
        <v>32677.855851958149</v>
      </c>
      <c r="G10" s="892">
        <f t="shared" si="4"/>
        <v>49016.78377793722</v>
      </c>
      <c r="H10" s="893">
        <f t="shared" si="10"/>
        <v>3267785.5851958143</v>
      </c>
      <c r="K10" s="168">
        <f>'3 Vol'!F9</f>
        <v>789248.253318078</v>
      </c>
      <c r="L10" s="562">
        <f>('2 R1 Lig'!E9/'2 R1 Lig'!C9)</f>
        <v>0.57999999999999996</v>
      </c>
      <c r="M10" s="227">
        <f t="shared" si="11"/>
        <v>457763.98692448519</v>
      </c>
      <c r="N10" s="581">
        <v>2.4042434015879799</v>
      </c>
      <c r="O10" s="590">
        <f>N10*(1+O$3)*(1+$P$3)</f>
        <v>2.6952949529211123</v>
      </c>
      <c r="P10" s="1111">
        <v>0.5</v>
      </c>
      <c r="Q10" s="234">
        <f t="shared" si="12"/>
        <v>93280.212160815339</v>
      </c>
      <c r="R10" s="234">
        <f t="shared" si="13"/>
        <v>2033976.6216092038</v>
      </c>
      <c r="S10" s="581">
        <v>1.8455921995718654</v>
      </c>
      <c r="T10" s="590">
        <f>O10*$T$3</f>
        <v>2.6952949529211123</v>
      </c>
      <c r="U10" s="234">
        <f t="shared" si="5"/>
        <v>1233808.963586611</v>
      </c>
      <c r="V10" s="230">
        <f t="shared" si="6"/>
        <v>3267785.5851958147</v>
      </c>
      <c r="X10" s="241">
        <v>1917099.3183015026</v>
      </c>
      <c r="Y10" s="247">
        <f t="shared" si="7"/>
        <v>2.4290193994624971</v>
      </c>
      <c r="Z10" s="241">
        <v>1268688.4652026508</v>
      </c>
      <c r="AA10" s="241">
        <f t="shared" si="8"/>
        <v>2.7714903344109927</v>
      </c>
      <c r="AB10" s="242">
        <f t="shared" si="9"/>
        <v>3185787.7835041536</v>
      </c>
      <c r="AC10" s="243"/>
      <c r="AD10" s="241">
        <v>31857.877835041538</v>
      </c>
      <c r="AH10" s="235"/>
    </row>
    <row r="11" spans="2:34" ht="20.25" customHeight="1">
      <c r="B11" s="98">
        <v>7</v>
      </c>
      <c r="C11" s="915">
        <f t="shared" si="0"/>
        <v>73432.512577964138</v>
      </c>
      <c r="D11" s="892">
        <f t="shared" si="1"/>
        <v>3451328.0911643142</v>
      </c>
      <c r="E11" s="892">
        <f t="shared" si="2"/>
        <v>55074.384433473097</v>
      </c>
      <c r="F11" s="892">
        <f t="shared" si="3"/>
        <v>36716.256288982069</v>
      </c>
      <c r="G11" s="892">
        <f t="shared" si="4"/>
        <v>55074.384433473097</v>
      </c>
      <c r="H11" s="893">
        <f t="shared" si="10"/>
        <v>3671625.6288982062</v>
      </c>
      <c r="K11" s="168">
        <f>'3 Vol'!F10</f>
        <v>790449.57940503443</v>
      </c>
      <c r="L11" s="562">
        <f>('2 R1 Lig'!E10/'2 R1 Lig'!C10)</f>
        <v>0.68</v>
      </c>
      <c r="M11" s="227">
        <f t="shared" si="11"/>
        <v>537505.7139954234</v>
      </c>
      <c r="N11" s="581">
        <v>2.4046587182777057</v>
      </c>
      <c r="O11" s="590">
        <f>N11*(1+O$3)*(1+$P$3)*(1+$Q$3)</f>
        <v>2.8542712669371073</v>
      </c>
      <c r="P11" s="1111">
        <v>0.6</v>
      </c>
      <c r="Q11" s="234">
        <f t="shared" si="12"/>
        <v>118719.00883175633</v>
      </c>
      <c r="R11" s="234">
        <f t="shared" si="13"/>
        <v>2137438.513626555</v>
      </c>
      <c r="S11" s="581">
        <v>1.8515993644287023</v>
      </c>
      <c r="T11" s="590">
        <f t="shared" ref="T11" si="14">O11*$U$3</f>
        <v>2.8542712669371073</v>
      </c>
      <c r="U11" s="234">
        <f t="shared" si="5"/>
        <v>1534187.1152716517</v>
      </c>
      <c r="V11" s="230">
        <f t="shared" si="6"/>
        <v>3671625.6288982066</v>
      </c>
      <c r="X11" s="241">
        <v>1920349.0326078618</v>
      </c>
      <c r="Y11" s="247">
        <f t="shared" si="7"/>
        <v>2.4294389960372862</v>
      </c>
      <c r="Z11" s="241">
        <v>1377321.7720152314</v>
      </c>
      <c r="AA11" s="241">
        <f t="shared" si="8"/>
        <v>2.5624318703093056</v>
      </c>
      <c r="AB11" s="242">
        <f t="shared" si="9"/>
        <v>3297670.8046230935</v>
      </c>
      <c r="AC11" s="243"/>
      <c r="AD11" s="241">
        <v>32976.708046230939</v>
      </c>
      <c r="AH11" s="235"/>
    </row>
    <row r="12" spans="2:34" ht="20.25" customHeight="1">
      <c r="B12" s="98">
        <v>8</v>
      </c>
      <c r="C12" s="915">
        <f t="shared" si="0"/>
        <v>79366.920698204791</v>
      </c>
      <c r="D12" s="892">
        <f t="shared" si="1"/>
        <v>3730245.2728156247</v>
      </c>
      <c r="E12" s="892">
        <f t="shared" si="2"/>
        <v>59525.190523653589</v>
      </c>
      <c r="F12" s="892">
        <f t="shared" si="3"/>
        <v>39683.460349102395</v>
      </c>
      <c r="G12" s="892">
        <f t="shared" si="4"/>
        <v>59525.190523653589</v>
      </c>
      <c r="H12" s="893">
        <f t="shared" si="10"/>
        <v>3968346.0349102397</v>
      </c>
      <c r="K12" s="168">
        <f>'3 Vol'!F11</f>
        <v>791650.90549199085</v>
      </c>
      <c r="L12" s="562">
        <f>('2 R1 Lig'!E11/'2 R1 Lig'!C11)</f>
        <v>0.72</v>
      </c>
      <c r="M12" s="227">
        <f t="shared" si="11"/>
        <v>569988.65195423341</v>
      </c>
      <c r="N12" s="581">
        <v>2.404782552116334</v>
      </c>
      <c r="O12" s="590">
        <f>N12*(1+O$3)*(1+$P$3)*(1+$Q$3)*(1+$R$3)</f>
        <v>3.0222580480596073</v>
      </c>
      <c r="P12" s="1111">
        <v>0.7</v>
      </c>
      <c r="Q12" s="234">
        <f t="shared" si="12"/>
        <v>146880.07613793452</v>
      </c>
      <c r="R12" s="234">
        <f t="shared" si="13"/>
        <v>2245693.2442389107</v>
      </c>
      <c r="S12" s="581">
        <v>1.8655600402974646</v>
      </c>
      <c r="T12" s="590">
        <f>O12*$V$3</f>
        <v>3.0222580480596073</v>
      </c>
      <c r="U12" s="234">
        <f t="shared" si="5"/>
        <v>1722652.7906713283</v>
      </c>
      <c r="V12" s="230">
        <f t="shared" si="6"/>
        <v>3968346.0349102393</v>
      </c>
      <c r="X12" s="241">
        <v>1923366.6244637668</v>
      </c>
      <c r="Y12" s="247">
        <f t="shared" si="7"/>
        <v>2.4295641059975086</v>
      </c>
      <c r="Z12" s="241">
        <v>1478527.1604132766</v>
      </c>
      <c r="AA12" s="241">
        <f t="shared" si="8"/>
        <v>2.5939589417159015</v>
      </c>
      <c r="AB12" s="242">
        <f t="shared" si="9"/>
        <v>3401893.7848770432</v>
      </c>
      <c r="AC12" s="243"/>
      <c r="AD12" s="241">
        <v>34018.937848770431</v>
      </c>
      <c r="AH12" s="235"/>
    </row>
    <row r="13" spans="2:34" ht="20.25" customHeight="1">
      <c r="B13" s="98">
        <v>9</v>
      </c>
      <c r="C13" s="915">
        <f t="shared" si="0"/>
        <v>80667.325843020182</v>
      </c>
      <c r="D13" s="892">
        <f t="shared" si="1"/>
        <v>3791364.3146219482</v>
      </c>
      <c r="E13" s="892">
        <f t="shared" si="2"/>
        <v>60500.494382265126</v>
      </c>
      <c r="F13" s="892">
        <f t="shared" si="3"/>
        <v>40333.662921510091</v>
      </c>
      <c r="G13" s="892">
        <f t="shared" si="4"/>
        <v>60500.494382265126</v>
      </c>
      <c r="H13" s="893">
        <f t="shared" si="10"/>
        <v>4033366.2921510087</v>
      </c>
      <c r="K13" s="168">
        <f>'3 Vol'!F12</f>
        <v>792852.23157894751</v>
      </c>
      <c r="L13" s="562">
        <f>('2 R1 Lig'!E12/'2 R1 Lig'!C12)</f>
        <v>0.75</v>
      </c>
      <c r="M13" s="227">
        <f t="shared" si="11"/>
        <v>594639.17368421063</v>
      </c>
      <c r="N13" s="581">
        <v>2.4046162280643255</v>
      </c>
      <c r="O13" s="590">
        <f t="shared" ref="O13:O34" si="15">N13*(1+O$3)*(1+$P$3)*(1+$Q$3)*(1+$R$3)</f>
        <v>3.0220490170167267</v>
      </c>
      <c r="P13" s="1111">
        <v>0.76</v>
      </c>
      <c r="Q13" s="234">
        <f t="shared" si="12"/>
        <v>159700.74524367455</v>
      </c>
      <c r="R13" s="234">
        <f t="shared" si="13"/>
        <v>2236337.5618390017</v>
      </c>
      <c r="S13" s="581">
        <v>1.9233271651184656</v>
      </c>
      <c r="T13" s="590">
        <f t="shared" ref="T13:T34" si="16">O13*$V$3</f>
        <v>3.0220490170167267</v>
      </c>
      <c r="U13" s="234">
        <f t="shared" si="5"/>
        <v>1797028.7303120072</v>
      </c>
      <c r="V13" s="230">
        <f t="shared" si="6"/>
        <v>4033366.2921510087</v>
      </c>
      <c r="X13" s="241">
        <v>1926152.0938692177</v>
      </c>
      <c r="Y13" s="247">
        <f t="shared" si="7"/>
        <v>2.4293960679574917</v>
      </c>
      <c r="Z13" s="241">
        <v>1526622.9321473935</v>
      </c>
      <c r="AA13" s="241">
        <f t="shared" si="8"/>
        <v>2.5673097227834547</v>
      </c>
      <c r="AB13" s="242">
        <f t="shared" si="9"/>
        <v>3452775.0260166111</v>
      </c>
      <c r="AC13" s="243"/>
      <c r="AD13" s="241">
        <v>34527.750260166111</v>
      </c>
      <c r="AH13" s="235"/>
    </row>
    <row r="14" spans="2:34" ht="20.25" customHeight="1">
      <c r="B14" s="98">
        <v>10</v>
      </c>
      <c r="C14" s="915">
        <f t="shared" si="0"/>
        <v>82545.166933678149</v>
      </c>
      <c r="D14" s="892">
        <f t="shared" si="1"/>
        <v>3879622.8458828726</v>
      </c>
      <c r="E14" s="892">
        <f t="shared" si="2"/>
        <v>61908.875200258604</v>
      </c>
      <c r="F14" s="892">
        <f t="shared" si="3"/>
        <v>41272.583466839074</v>
      </c>
      <c r="G14" s="892">
        <f t="shared" si="4"/>
        <v>61908.875200258604</v>
      </c>
      <c r="H14" s="893">
        <f t="shared" si="10"/>
        <v>4127258.3466839069</v>
      </c>
      <c r="K14" s="168">
        <f>'3 Vol'!F13</f>
        <v>794111.95766590373</v>
      </c>
      <c r="L14" s="562">
        <f>('2 R1 Lig'!E13/'2 R1 Lig'!C13)</f>
        <v>0.79</v>
      </c>
      <c r="M14" s="227">
        <f t="shared" si="11"/>
        <v>627348.44655606395</v>
      </c>
      <c r="N14" s="581">
        <v>2.4045629038797096</v>
      </c>
      <c r="O14" s="590">
        <f t="shared" si="15"/>
        <v>3.0219820007927569</v>
      </c>
      <c r="P14" s="1111">
        <v>0.8</v>
      </c>
      <c r="Q14" s="234">
        <f t="shared" si="12"/>
        <v>168369.40971447516</v>
      </c>
      <c r="R14" s="234">
        <f t="shared" si="13"/>
        <v>2231422.6329661855</v>
      </c>
      <c r="S14" s="581">
        <v>1.9233126912028902</v>
      </c>
      <c r="T14" s="590">
        <f t="shared" si="16"/>
        <v>3.0219820007927569</v>
      </c>
      <c r="U14" s="234">
        <f t="shared" si="5"/>
        <v>1895835.7137177221</v>
      </c>
      <c r="V14" s="230">
        <f t="shared" si="6"/>
        <v>4127258.3466839073</v>
      </c>
      <c r="X14" s="241">
        <v>1929169.6857251227</v>
      </c>
      <c r="Y14" s="247">
        <f t="shared" si="7"/>
        <v>2.4293421942611735</v>
      </c>
      <c r="Z14" s="241">
        <v>1529037.0056321176</v>
      </c>
      <c r="AA14" s="241">
        <f t="shared" si="8"/>
        <v>2.4373010151312662</v>
      </c>
      <c r="AB14" s="242">
        <f t="shared" si="9"/>
        <v>3458206.6913572401</v>
      </c>
      <c r="AC14" s="243"/>
      <c r="AD14" s="241">
        <v>34582.066913572402</v>
      </c>
      <c r="AH14" s="235"/>
    </row>
    <row r="15" spans="2:34" ht="20.25" customHeight="1">
      <c r="B15" s="98">
        <v>11</v>
      </c>
      <c r="C15" s="915">
        <f t="shared" si="0"/>
        <v>86435.640285638729</v>
      </c>
      <c r="D15" s="892">
        <f t="shared" si="1"/>
        <v>4062475.0934250196</v>
      </c>
      <c r="E15" s="892">
        <f t="shared" si="2"/>
        <v>64826.730214229035</v>
      </c>
      <c r="F15" s="892">
        <f t="shared" si="3"/>
        <v>43217.820142819364</v>
      </c>
      <c r="G15" s="892">
        <f t="shared" si="4"/>
        <v>64826.730214229035</v>
      </c>
      <c r="H15" s="893">
        <f t="shared" si="10"/>
        <v>4321782.014281936</v>
      </c>
      <c r="K15" s="168">
        <f>'3 Vol'!F14</f>
        <v>795351.92196796346</v>
      </c>
      <c r="L15" s="562">
        <f>('2 R1 Lig'!E14/'2 R1 Lig'!C14)</f>
        <v>0.87</v>
      </c>
      <c r="M15" s="227">
        <f t="shared" si="11"/>
        <v>691956.17211212823</v>
      </c>
      <c r="N15" s="581">
        <v>2.4045694924802548</v>
      </c>
      <c r="O15" s="590">
        <f t="shared" si="15"/>
        <v>3.0219902811468398</v>
      </c>
      <c r="P15" s="1111">
        <v>0.82</v>
      </c>
      <c r="Q15" s="234">
        <f t="shared" si="12"/>
        <v>172848.59109913048</v>
      </c>
      <c r="R15" s="234">
        <f t="shared" si="13"/>
        <v>2230697.1871795147</v>
      </c>
      <c r="S15" s="581">
        <v>1.9231128328821623</v>
      </c>
      <c r="T15" s="590">
        <f t="shared" si="16"/>
        <v>3.0219902811468398</v>
      </c>
      <c r="U15" s="234">
        <f t="shared" si="5"/>
        <v>2091084.8271024216</v>
      </c>
      <c r="V15" s="230">
        <f t="shared" si="6"/>
        <v>4321782.014281936</v>
      </c>
      <c r="X15" s="241">
        <v>1932187.2775810277</v>
      </c>
      <c r="Y15" s="247">
        <f t="shared" si="7"/>
        <v>2.4293488507579863</v>
      </c>
      <c r="Z15" s="241">
        <v>1531265.3811564781</v>
      </c>
      <c r="AA15" s="241">
        <f t="shared" si="8"/>
        <v>2.2129514019398671</v>
      </c>
      <c r="AB15" s="242">
        <f t="shared" si="9"/>
        <v>3463452.6587375058</v>
      </c>
      <c r="AC15" s="243"/>
      <c r="AD15" s="241">
        <v>34634.526587375061</v>
      </c>
      <c r="AH15" s="235"/>
    </row>
    <row r="16" spans="2:34" ht="20.25" customHeight="1">
      <c r="B16" s="98">
        <v>12</v>
      </c>
      <c r="C16" s="104">
        <f t="shared" si="0"/>
        <v>92338.617866593122</v>
      </c>
      <c r="D16" s="105">
        <f t="shared" si="1"/>
        <v>4339915.0397298764</v>
      </c>
      <c r="E16" s="105">
        <f t="shared" si="2"/>
        <v>69253.963399944827</v>
      </c>
      <c r="F16" s="105">
        <f t="shared" si="3"/>
        <v>46169.308933296561</v>
      </c>
      <c r="G16" s="105">
        <f t="shared" si="4"/>
        <v>69253.963399944827</v>
      </c>
      <c r="H16" s="106">
        <f t="shared" si="10"/>
        <v>4616930.8933296558</v>
      </c>
      <c r="K16" s="168">
        <f>'3 Vol'!F15</f>
        <v>796494.84805491997</v>
      </c>
      <c r="L16" s="233">
        <f>('2 R1 Lig'!E15/'2 R1 Lig'!C15)</f>
        <v>0.99090909090909107</v>
      </c>
      <c r="M16" s="227">
        <f t="shared" si="11"/>
        <v>789253.98579987534</v>
      </c>
      <c r="N16" s="581">
        <v>2.4045805564773186</v>
      </c>
      <c r="O16" s="590">
        <f t="shared" si="15"/>
        <v>3.022004186044037</v>
      </c>
      <c r="P16" s="1111">
        <v>0.83</v>
      </c>
      <c r="Q16" s="234">
        <f t="shared" si="12"/>
        <v>175208.72059398508</v>
      </c>
      <c r="R16" s="234">
        <f t="shared" si="13"/>
        <v>2231802.0443904921</v>
      </c>
      <c r="S16" s="581">
        <v>1.9231478683308969</v>
      </c>
      <c r="T16" s="590">
        <f t="shared" si="16"/>
        <v>3.022004186044037</v>
      </c>
      <c r="U16" s="234">
        <f t="shared" si="5"/>
        <v>2385128.8489391641</v>
      </c>
      <c r="V16" s="230">
        <f t="shared" si="6"/>
        <v>4616930.8933296558</v>
      </c>
      <c r="X16" s="241">
        <v>1934972.7469864786</v>
      </c>
      <c r="Y16" s="247">
        <f t="shared" si="7"/>
        <v>2.4293600287707804</v>
      </c>
      <c r="Z16" s="241">
        <v>1533493.7566808388</v>
      </c>
      <c r="AA16" s="241">
        <f t="shared" si="8"/>
        <v>1.9429661227832864</v>
      </c>
      <c r="AB16" s="242">
        <f t="shared" si="9"/>
        <v>3468466.5036673173</v>
      </c>
      <c r="AC16" s="243"/>
      <c r="AD16" s="241">
        <v>34684.665036673177</v>
      </c>
      <c r="AH16" s="235"/>
    </row>
    <row r="17" spans="2:34" ht="20.25" customHeight="1">
      <c r="B17" s="98">
        <v>13</v>
      </c>
      <c r="C17" s="104">
        <f t="shared" si="0"/>
        <v>92386.983450928106</v>
      </c>
      <c r="D17" s="105">
        <f t="shared" si="1"/>
        <v>4342188.2221936211</v>
      </c>
      <c r="E17" s="105">
        <f t="shared" si="2"/>
        <v>69290.237588196076</v>
      </c>
      <c r="F17" s="105">
        <f t="shared" si="3"/>
        <v>46193.491725464053</v>
      </c>
      <c r="G17" s="105">
        <f t="shared" si="4"/>
        <v>69290.237588196076</v>
      </c>
      <c r="H17" s="106">
        <f t="shared" si="10"/>
        <v>4619349.1725464053</v>
      </c>
      <c r="K17" s="168">
        <f>'3 Vol'!F16</f>
        <v>797637.77414187649</v>
      </c>
      <c r="L17" s="233">
        <f>('2 R1 Lig'!E16/'2 R1 Lig'!C16)</f>
        <v>0.99090909090909096</v>
      </c>
      <c r="M17" s="227">
        <f t="shared" si="11"/>
        <v>790386.52164967766</v>
      </c>
      <c r="N17" s="581">
        <v>2.4045915887674303</v>
      </c>
      <c r="O17" s="590">
        <f t="shared" si="15"/>
        <v>3.0220180510928953</v>
      </c>
      <c r="P17" s="1111">
        <v>0.85</v>
      </c>
      <c r="Q17" s="234">
        <f t="shared" si="12"/>
        <v>179688.91490975406</v>
      </c>
      <c r="R17" s="234">
        <f t="shared" si="13"/>
        <v>2230786.8367805546</v>
      </c>
      <c r="S17" s="581">
        <v>1.9231828033758402</v>
      </c>
      <c r="T17" s="590">
        <f t="shared" si="16"/>
        <v>3.0220180510928953</v>
      </c>
      <c r="U17" s="234">
        <f t="shared" si="5"/>
        <v>2388562.3357658512</v>
      </c>
      <c r="V17" s="230">
        <f t="shared" si="6"/>
        <v>4619349.1725464053</v>
      </c>
      <c r="X17" s="241">
        <v>1937758.2163919292</v>
      </c>
      <c r="Y17" s="247">
        <f t="shared" si="7"/>
        <v>2.4293711747498792</v>
      </c>
      <c r="Z17" s="241">
        <v>1535722.1322051995</v>
      </c>
      <c r="AA17" s="241">
        <f t="shared" si="8"/>
        <v>1.9430014178377857</v>
      </c>
      <c r="AB17" s="242">
        <f t="shared" si="9"/>
        <v>3473480.3485971289</v>
      </c>
      <c r="AC17" s="243"/>
      <c r="AD17" s="241">
        <v>34734.803485971286</v>
      </c>
      <c r="AH17" s="235"/>
    </row>
    <row r="18" spans="2:34" ht="20.25" customHeight="1">
      <c r="B18" s="98">
        <v>14</v>
      </c>
      <c r="C18" s="104">
        <f t="shared" si="0"/>
        <v>92519.786972898786</v>
      </c>
      <c r="D18" s="105">
        <f t="shared" si="1"/>
        <v>4348429.9877262423</v>
      </c>
      <c r="E18" s="105">
        <f t="shared" si="2"/>
        <v>69389.840229674082</v>
      </c>
      <c r="F18" s="105">
        <f t="shared" si="3"/>
        <v>46259.893486449393</v>
      </c>
      <c r="G18" s="105">
        <f t="shared" si="4"/>
        <v>69389.840229674082</v>
      </c>
      <c r="H18" s="106">
        <f t="shared" si="10"/>
        <v>4625989.3486449393</v>
      </c>
      <c r="K18" s="168">
        <f>'3 Vol'!F17</f>
        <v>798780.70022883313</v>
      </c>
      <c r="L18" s="233">
        <f>('2 R1 Lig'!E17/'2 R1 Lig'!C17)</f>
        <v>0.99090909090909107</v>
      </c>
      <c r="M18" s="227">
        <f t="shared" si="11"/>
        <v>791519.0574994802</v>
      </c>
      <c r="N18" s="581">
        <v>2.4046025894866938</v>
      </c>
      <c r="O18" s="590">
        <f t="shared" si="15"/>
        <v>3.0220318764644656</v>
      </c>
      <c r="P18" s="1111">
        <v>0.85</v>
      </c>
      <c r="Q18" s="234">
        <f t="shared" si="12"/>
        <v>179947.21234374025</v>
      </c>
      <c r="R18" s="234">
        <f t="shared" si="13"/>
        <v>2233993.5260524</v>
      </c>
      <c r="S18" s="581">
        <v>1.9232176384479767</v>
      </c>
      <c r="T18" s="590">
        <f t="shared" si="16"/>
        <v>3.0220318764644656</v>
      </c>
      <c r="U18" s="234">
        <f t="shared" si="5"/>
        <v>2391995.8225925392</v>
      </c>
      <c r="V18" s="230">
        <f t="shared" si="6"/>
        <v>4625989.3486449393</v>
      </c>
      <c r="X18" s="241">
        <v>1940543.6857973801</v>
      </c>
      <c r="Y18" s="247">
        <f t="shared" si="7"/>
        <v>2.4293822888327883</v>
      </c>
      <c r="Z18" s="241">
        <v>1537950.5077295601</v>
      </c>
      <c r="AA18" s="241">
        <f t="shared" si="8"/>
        <v>1.943036611889247</v>
      </c>
      <c r="AB18" s="242">
        <f t="shared" si="9"/>
        <v>3478494.1935269404</v>
      </c>
      <c r="AC18" s="243"/>
      <c r="AD18" s="241">
        <v>34784.941935269402</v>
      </c>
      <c r="AH18" s="235"/>
    </row>
    <row r="19" spans="2:34" ht="20.25" customHeight="1">
      <c r="B19" s="98">
        <v>15</v>
      </c>
      <c r="C19" s="104">
        <f t="shared" si="0"/>
        <v>92652.590494869481</v>
      </c>
      <c r="D19" s="105">
        <f t="shared" si="1"/>
        <v>4354671.7532588653</v>
      </c>
      <c r="E19" s="105">
        <f t="shared" si="2"/>
        <v>69489.442871152103</v>
      </c>
      <c r="F19" s="105">
        <f t="shared" si="3"/>
        <v>46326.29524743474</v>
      </c>
      <c r="G19" s="105">
        <f t="shared" si="4"/>
        <v>69489.442871152103</v>
      </c>
      <c r="H19" s="106">
        <f t="shared" si="10"/>
        <v>4632629.5247434741</v>
      </c>
      <c r="K19" s="168">
        <f>'3 Vol'!F18</f>
        <v>799923.62631578965</v>
      </c>
      <c r="L19" s="233">
        <f>('2 R1 Lig'!E18/'2 R1 Lig'!C18)</f>
        <v>0.99090909090909096</v>
      </c>
      <c r="M19" s="227">
        <f t="shared" si="11"/>
        <v>792651.59334928251</v>
      </c>
      <c r="N19" s="581">
        <v>2.4046135587704347</v>
      </c>
      <c r="O19" s="590">
        <f t="shared" si="15"/>
        <v>3.022045662328821</v>
      </c>
      <c r="P19" s="1111">
        <v>0.85</v>
      </c>
      <c r="Q19" s="234">
        <f t="shared" si="12"/>
        <v>180205.50977772658</v>
      </c>
      <c r="R19" s="234">
        <f t="shared" si="13"/>
        <v>2237200.2153242463</v>
      </c>
      <c r="S19" s="581">
        <v>1.9232523739758285</v>
      </c>
      <c r="T19" s="590">
        <f t="shared" si="16"/>
        <v>3.022045662328821</v>
      </c>
      <c r="U19" s="234">
        <f t="shared" si="5"/>
        <v>2395429.3094192278</v>
      </c>
      <c r="V19" s="230">
        <f t="shared" si="6"/>
        <v>4632629.5247434741</v>
      </c>
      <c r="X19" s="241">
        <v>1943329.1552028309</v>
      </c>
      <c r="Y19" s="247">
        <f t="shared" si="7"/>
        <v>2.4293933711562281</v>
      </c>
      <c r="Z19" s="241">
        <v>1540178.8832539206</v>
      </c>
      <c r="AA19" s="241">
        <f t="shared" si="8"/>
        <v>1.9430717053706086</v>
      </c>
      <c r="AB19" s="242">
        <f t="shared" si="9"/>
        <v>3483508.0384567515</v>
      </c>
      <c r="AC19" s="243"/>
      <c r="AD19" s="241">
        <v>34835.080384567518</v>
      </c>
      <c r="AH19" s="235"/>
    </row>
    <row r="20" spans="2:34" ht="20.25" customHeight="1">
      <c r="B20" s="98">
        <v>16</v>
      </c>
      <c r="C20" s="104">
        <f t="shared" si="0"/>
        <v>92774.327056675887</v>
      </c>
      <c r="D20" s="105">
        <f t="shared" si="1"/>
        <v>4360393.3716637669</v>
      </c>
      <c r="E20" s="105">
        <f t="shared" si="2"/>
        <v>69580.745292506908</v>
      </c>
      <c r="F20" s="105">
        <f t="shared" si="3"/>
        <v>46387.163528337944</v>
      </c>
      <c r="G20" s="105">
        <f t="shared" si="4"/>
        <v>69580.745292506908</v>
      </c>
      <c r="H20" s="106">
        <f t="shared" si="10"/>
        <v>4638716.3528337954</v>
      </c>
      <c r="K20" s="168">
        <f>'3 Vol'!F19</f>
        <v>800835.60846681916</v>
      </c>
      <c r="L20" s="233">
        <f>('2 R1 Lig'!E19/'2 R1 Lig'!C19)</f>
        <v>0.99090909090909107</v>
      </c>
      <c r="M20" s="227">
        <f t="shared" si="11"/>
        <v>793555.28475348454</v>
      </c>
      <c r="N20" s="581">
        <v>2.405031045414133</v>
      </c>
      <c r="O20" s="590">
        <f t="shared" si="15"/>
        <v>3.0225703469277523</v>
      </c>
      <c r="P20" s="1111">
        <v>0.85</v>
      </c>
      <c r="Q20" s="234">
        <f t="shared" si="12"/>
        <v>180442.28242554722</v>
      </c>
      <c r="R20" s="234">
        <f t="shared" si="13"/>
        <v>2240139.680490104</v>
      </c>
      <c r="S20" s="581">
        <v>1.9236100246900563</v>
      </c>
      <c r="T20" s="590">
        <f t="shared" si="16"/>
        <v>3.0225703469277523</v>
      </c>
      <c r="U20" s="234">
        <f t="shared" si="5"/>
        <v>2398576.6723436909</v>
      </c>
      <c r="V20" s="230">
        <f t="shared" si="6"/>
        <v>4638716.3528337944</v>
      </c>
      <c r="X20" s="241">
        <v>1945882.5021578274</v>
      </c>
      <c r="Y20" s="247">
        <f t="shared" si="7"/>
        <v>2.4298151600466085</v>
      </c>
      <c r="Z20" s="241">
        <v>1542221.5608179178</v>
      </c>
      <c r="AA20" s="241">
        <f t="shared" si="8"/>
        <v>1.943433041715555</v>
      </c>
      <c r="AB20" s="242">
        <f t="shared" si="9"/>
        <v>3488104.0629757452</v>
      </c>
      <c r="AC20" s="243"/>
      <c r="AD20" s="241">
        <v>34881.040629757452</v>
      </c>
      <c r="AH20" s="235"/>
    </row>
    <row r="21" spans="2:34" ht="20.25" customHeight="1">
      <c r="B21" s="98">
        <v>17</v>
      </c>
      <c r="C21" s="104">
        <f t="shared" si="0"/>
        <v>92884.996658318123</v>
      </c>
      <c r="D21" s="105">
        <f t="shared" si="1"/>
        <v>4365594.8429409517</v>
      </c>
      <c r="E21" s="105">
        <f t="shared" si="2"/>
        <v>69663.747493738585</v>
      </c>
      <c r="F21" s="105">
        <f t="shared" si="3"/>
        <v>46442.498329159062</v>
      </c>
      <c r="G21" s="105">
        <f t="shared" si="4"/>
        <v>69663.747493738585</v>
      </c>
      <c r="H21" s="106">
        <f t="shared" si="10"/>
        <v>4644249.8329159049</v>
      </c>
      <c r="K21" s="168">
        <f>'3 Vol'!F20</f>
        <v>801765.58169336373</v>
      </c>
      <c r="L21" s="233">
        <f>('2 R1 Lig'!E20/'2 R1 Lig'!C20)</f>
        <v>0.99090909090909107</v>
      </c>
      <c r="M21" s="227">
        <f t="shared" si="11"/>
        <v>794476.80367796961</v>
      </c>
      <c r="N21" s="581">
        <v>2.4051070446023544</v>
      </c>
      <c r="O21" s="590">
        <f t="shared" si="15"/>
        <v>3.0226658604111005</v>
      </c>
      <c r="P21" s="1111">
        <v>0.85</v>
      </c>
      <c r="Q21" s="234">
        <f t="shared" si="12"/>
        <v>180657.53028720242</v>
      </c>
      <c r="R21" s="234">
        <f t="shared" si="13"/>
        <v>2242811.9215499754</v>
      </c>
      <c r="S21" s="581">
        <v>1.9236923371884111</v>
      </c>
      <c r="T21" s="590">
        <f t="shared" si="16"/>
        <v>3.0226658604111005</v>
      </c>
      <c r="U21" s="234">
        <f t="shared" si="5"/>
        <v>2401437.9113659309</v>
      </c>
      <c r="V21" s="230">
        <f t="shared" si="6"/>
        <v>4644249.8329159059</v>
      </c>
      <c r="X21" s="241">
        <v>1948203.7266623697</v>
      </c>
      <c r="Y21" s="247">
        <f t="shared" si="7"/>
        <v>2.4298919424149874</v>
      </c>
      <c r="Z21" s="241">
        <v>1544078.5404215518</v>
      </c>
      <c r="AA21" s="241">
        <f t="shared" si="8"/>
        <v>1.9435162024534363</v>
      </c>
      <c r="AB21" s="242">
        <f t="shared" si="9"/>
        <v>3492282.2670839215</v>
      </c>
      <c r="AC21" s="243"/>
      <c r="AD21" s="241">
        <v>34922.822670839218</v>
      </c>
      <c r="AH21" s="235"/>
    </row>
    <row r="22" spans="2:34" ht="20.25" customHeight="1">
      <c r="B22" s="98">
        <v>18</v>
      </c>
      <c r="C22" s="104">
        <f t="shared" si="0"/>
        <v>92995.666259960344</v>
      </c>
      <c r="D22" s="105">
        <f t="shared" si="1"/>
        <v>4370796.3142181356</v>
      </c>
      <c r="E22" s="105">
        <f t="shared" si="2"/>
        <v>69746.749694970262</v>
      </c>
      <c r="F22" s="105">
        <f t="shared" si="3"/>
        <v>46497.833129980172</v>
      </c>
      <c r="G22" s="105">
        <f t="shared" si="4"/>
        <v>69746.749694970262</v>
      </c>
      <c r="H22" s="106">
        <f t="shared" si="10"/>
        <v>4649783.3129980173</v>
      </c>
      <c r="K22" s="168">
        <f>'3 Vol'!F21</f>
        <v>802695.55491990852</v>
      </c>
      <c r="L22" s="233">
        <f>('2 R1 Lig'!E21/'2 R1 Lig'!C21)</f>
        <v>0.99090909090909096</v>
      </c>
      <c r="M22" s="227">
        <f t="shared" si="11"/>
        <v>795398.32260245481</v>
      </c>
      <c r="N22" s="581">
        <v>2.4051828676909071</v>
      </c>
      <c r="O22" s="590">
        <f t="shared" si="15"/>
        <v>3.0227611525777061</v>
      </c>
      <c r="P22" s="1111">
        <v>0.85</v>
      </c>
      <c r="Q22" s="234">
        <f t="shared" si="12"/>
        <v>180872.77814885761</v>
      </c>
      <c r="R22" s="234">
        <f t="shared" si="13"/>
        <v>2245484.1626098468</v>
      </c>
      <c r="S22" s="581">
        <v>1.923774458958365</v>
      </c>
      <c r="T22" s="590">
        <f t="shared" si="16"/>
        <v>3.0227611525777061</v>
      </c>
      <c r="U22" s="234">
        <f t="shared" si="5"/>
        <v>2404299.1503881705</v>
      </c>
      <c r="V22" s="230">
        <f t="shared" si="6"/>
        <v>4649783.3129980173</v>
      </c>
      <c r="X22" s="241">
        <v>1950524.951166912</v>
      </c>
      <c r="Y22" s="247">
        <f t="shared" si="7"/>
        <v>2.4299685468689707</v>
      </c>
      <c r="Z22" s="241">
        <v>1545935.5200251855</v>
      </c>
      <c r="AA22" s="241">
        <f t="shared" si="8"/>
        <v>1.9435991704974389</v>
      </c>
      <c r="AB22" s="242">
        <f t="shared" si="9"/>
        <v>3496460.4711920973</v>
      </c>
      <c r="AC22" s="243"/>
      <c r="AD22" s="241">
        <v>34964.604711920976</v>
      </c>
      <c r="AH22" s="235"/>
    </row>
    <row r="23" spans="2:34" s="158" customFormat="1" ht="20.25" customHeight="1">
      <c r="B23" s="98">
        <v>19</v>
      </c>
      <c r="C23" s="104">
        <f t="shared" si="0"/>
        <v>93106.335861602536</v>
      </c>
      <c r="D23" s="105">
        <f t="shared" si="1"/>
        <v>4375997.7854953194</v>
      </c>
      <c r="E23" s="105">
        <f t="shared" si="2"/>
        <v>69829.751896201895</v>
      </c>
      <c r="F23" s="105">
        <f t="shared" si="3"/>
        <v>46553.167930801268</v>
      </c>
      <c r="G23" s="105">
        <f t="shared" si="4"/>
        <v>69829.751896201895</v>
      </c>
      <c r="H23" s="106">
        <f t="shared" si="10"/>
        <v>4655316.7930801269</v>
      </c>
      <c r="K23" s="168">
        <f>'3 Vol'!F22</f>
        <v>803625.5281464532</v>
      </c>
      <c r="L23" s="233">
        <f>('2 R1 Lig'!E22/'2 R1 Lig'!C22)</f>
        <v>0.99090909090909085</v>
      </c>
      <c r="M23" s="227">
        <f t="shared" si="11"/>
        <v>796319.84152694</v>
      </c>
      <c r="N23" s="581">
        <v>2.4052585152911514</v>
      </c>
      <c r="O23" s="590">
        <f t="shared" si="15"/>
        <v>3.0228562241959085</v>
      </c>
      <c r="P23" s="1111">
        <v>0.85</v>
      </c>
      <c r="Q23" s="234">
        <f t="shared" si="12"/>
        <v>181088.02601051275</v>
      </c>
      <c r="R23" s="234">
        <f t="shared" si="13"/>
        <v>2248156.4036697173</v>
      </c>
      <c r="S23" s="581">
        <v>1.9236255740585051</v>
      </c>
      <c r="T23" s="590">
        <f t="shared" si="16"/>
        <v>3.0228562241959085</v>
      </c>
      <c r="U23" s="234">
        <f t="shared" si="5"/>
        <v>2407160.3894104101</v>
      </c>
      <c r="V23" s="230">
        <f t="shared" si="6"/>
        <v>4655316.7930801269</v>
      </c>
      <c r="X23" s="244">
        <v>1952846.1756714543</v>
      </c>
      <c r="Y23" s="247">
        <f t="shared" si="7"/>
        <v>2.4300449740262189</v>
      </c>
      <c r="Z23" s="244">
        <v>1547606.8016684561</v>
      </c>
      <c r="AA23" s="241">
        <f t="shared" si="8"/>
        <v>1.9434487513219894</v>
      </c>
      <c r="AB23" s="242">
        <f t="shared" si="9"/>
        <v>3500452.9773399103</v>
      </c>
      <c r="AC23" s="240"/>
      <c r="AD23" s="244">
        <v>35004.529773399103</v>
      </c>
      <c r="AH23" s="236"/>
    </row>
    <row r="24" spans="2:34" ht="20.25" customHeight="1">
      <c r="B24" s="98">
        <v>20</v>
      </c>
      <c r="C24" s="104">
        <f t="shared" si="0"/>
        <v>93205.938503080572</v>
      </c>
      <c r="D24" s="105">
        <f t="shared" si="1"/>
        <v>4380679.1096447865</v>
      </c>
      <c r="E24" s="105">
        <f t="shared" si="2"/>
        <v>69904.453877310429</v>
      </c>
      <c r="F24" s="105">
        <f t="shared" si="3"/>
        <v>46602.969251540286</v>
      </c>
      <c r="G24" s="105">
        <f t="shared" si="4"/>
        <v>69904.453877310429</v>
      </c>
      <c r="H24" s="106">
        <f t="shared" si="10"/>
        <v>4660296.9251540285</v>
      </c>
      <c r="K24" s="168">
        <f>'3 Vol'!F23</f>
        <v>804555.50137299765</v>
      </c>
      <c r="L24" s="233">
        <f>('2 R1 Lig'!E23/'2 R1 Lig'!C23)</f>
        <v>0.99090909090909096</v>
      </c>
      <c r="M24" s="227">
        <f t="shared" si="11"/>
        <v>797241.36045142496</v>
      </c>
      <c r="N24" s="581">
        <v>2.4050484206379994</v>
      </c>
      <c r="O24" s="590">
        <f t="shared" si="15"/>
        <v>3.0225921835840941</v>
      </c>
      <c r="P24" s="1111">
        <v>0.85</v>
      </c>
      <c r="Q24" s="234">
        <f t="shared" si="12"/>
        <v>181281.74908600247</v>
      </c>
      <c r="R24" s="234">
        <f t="shared" si="13"/>
        <v>2250561.4206236023</v>
      </c>
      <c r="S24" s="581">
        <v>1.9234770333461393</v>
      </c>
      <c r="T24" s="590">
        <f t="shared" si="16"/>
        <v>3.0225921835840941</v>
      </c>
      <c r="U24" s="234">
        <f t="shared" si="5"/>
        <v>2409735.5045304266</v>
      </c>
      <c r="V24" s="230">
        <f t="shared" si="6"/>
        <v>4660296.9251540285</v>
      </c>
      <c r="X24" s="241">
        <v>1954935.2777255424</v>
      </c>
      <c r="Y24" s="247">
        <f t="shared" si="7"/>
        <v>2.4298327143241054</v>
      </c>
      <c r="Z24" s="241">
        <v>1549278.0833117266</v>
      </c>
      <c r="AA24" s="241">
        <f t="shared" si="8"/>
        <v>1.9432986798809246</v>
      </c>
      <c r="AB24" s="242">
        <f t="shared" si="9"/>
        <v>3504213.3610372692</v>
      </c>
      <c r="AC24" s="243"/>
      <c r="AD24" s="241">
        <v>35042.133610372694</v>
      </c>
      <c r="AH24" s="235"/>
    </row>
    <row r="25" spans="2:34" ht="20.25" customHeight="1">
      <c r="B25" s="98">
        <v>21</v>
      </c>
      <c r="C25" s="104">
        <f t="shared" si="0"/>
        <v>93327.675064887051</v>
      </c>
      <c r="D25" s="105">
        <f t="shared" si="1"/>
        <v>4386400.7280496908</v>
      </c>
      <c r="E25" s="105">
        <f t="shared" si="2"/>
        <v>69995.756298665292</v>
      </c>
      <c r="F25" s="105">
        <f t="shared" si="3"/>
        <v>46663.837532443526</v>
      </c>
      <c r="G25" s="105">
        <f t="shared" si="4"/>
        <v>69995.756298665292</v>
      </c>
      <c r="H25" s="106">
        <f t="shared" si="10"/>
        <v>4666383.7532443516</v>
      </c>
      <c r="K25" s="168">
        <f>'3 Vol'!F24</f>
        <v>805699.31281464512</v>
      </c>
      <c r="L25" s="233">
        <f>('2 R1 Lig'!E24/'2 R1 Lig'!C24)</f>
        <v>0.99090909090909085</v>
      </c>
      <c r="M25" s="227">
        <f t="shared" si="11"/>
        <v>798374.77360723924</v>
      </c>
      <c r="N25" s="581">
        <v>2.4047708740624603</v>
      </c>
      <c r="O25" s="590">
        <f t="shared" si="15"/>
        <v>3.0222433714343655</v>
      </c>
      <c r="P25" s="1111">
        <v>0.85</v>
      </c>
      <c r="Q25" s="234">
        <f t="shared" si="12"/>
        <v>181518.52173382323</v>
      </c>
      <c r="R25" s="234">
        <f t="shared" si="13"/>
        <v>2253500.8857894614</v>
      </c>
      <c r="S25" s="581">
        <v>1.9232788157584999</v>
      </c>
      <c r="T25" s="590">
        <f t="shared" si="16"/>
        <v>3.0222433714343655</v>
      </c>
      <c r="U25" s="234">
        <f t="shared" si="5"/>
        <v>2412882.8674548911</v>
      </c>
      <c r="V25" s="230">
        <f t="shared" si="6"/>
        <v>4666383.7532443525</v>
      </c>
      <c r="X25" s="241">
        <v>1957488.6246805391</v>
      </c>
      <c r="Y25" s="247">
        <f t="shared" si="7"/>
        <v>2.4295523075999799</v>
      </c>
      <c r="Z25" s="241">
        <v>1551320.7608757238</v>
      </c>
      <c r="AA25" s="241">
        <f t="shared" si="8"/>
        <v>1.9430984196388157</v>
      </c>
      <c r="AB25" s="242">
        <f t="shared" si="9"/>
        <v>3508809.3855562629</v>
      </c>
      <c r="AC25" s="243"/>
      <c r="AD25" s="241">
        <v>35088.093855562627</v>
      </c>
      <c r="AH25" s="235"/>
    </row>
    <row r="26" spans="2:34" ht="20.25" customHeight="1">
      <c r="B26" s="98">
        <v>22</v>
      </c>
      <c r="C26" s="104">
        <f t="shared" si="0"/>
        <v>93449.411626693458</v>
      </c>
      <c r="D26" s="105">
        <f t="shared" si="1"/>
        <v>4392122.3464545924</v>
      </c>
      <c r="E26" s="105">
        <f t="shared" si="2"/>
        <v>70087.058720020097</v>
      </c>
      <c r="F26" s="105">
        <f t="shared" si="3"/>
        <v>46724.705813346729</v>
      </c>
      <c r="G26" s="105">
        <f t="shared" si="4"/>
        <v>70087.058720020097</v>
      </c>
      <c r="H26" s="106">
        <f t="shared" si="10"/>
        <v>4672470.5813346719</v>
      </c>
      <c r="K26" s="168">
        <f>'3 Vol'!F25</f>
        <v>806493.60961098387</v>
      </c>
      <c r="L26" s="233">
        <f>('2 R1 Lig'!E25/'2 R1 Lig'!C25)</f>
        <v>0.99090909090909096</v>
      </c>
      <c r="M26" s="227">
        <f t="shared" si="11"/>
        <v>799161.84952361137</v>
      </c>
      <c r="N26" s="581">
        <v>2.4055361634677372</v>
      </c>
      <c r="O26" s="590">
        <f t="shared" si="15"/>
        <v>3.0232051640347635</v>
      </c>
      <c r="P26" s="1111">
        <v>0.85</v>
      </c>
      <c r="Q26" s="234">
        <f t="shared" si="12"/>
        <v>181755.29438164388</v>
      </c>
      <c r="R26" s="234">
        <f t="shared" si="13"/>
        <v>2256440.3509553187</v>
      </c>
      <c r="S26" s="581">
        <v>1.9236845808429042</v>
      </c>
      <c r="T26" s="590">
        <f t="shared" si="16"/>
        <v>3.0232051640347635</v>
      </c>
      <c r="U26" s="234">
        <f t="shared" si="5"/>
        <v>2416030.2303793547</v>
      </c>
      <c r="V26" s="230">
        <f t="shared" si="6"/>
        <v>4672470.5813346729</v>
      </c>
      <c r="X26" s="241">
        <v>1960041.9716355356</v>
      </c>
      <c r="Y26" s="247">
        <f t="shared" si="7"/>
        <v>2.4303254833984007</v>
      </c>
      <c r="Z26" s="241">
        <v>1553177.7404793578</v>
      </c>
      <c r="AA26" s="241">
        <f t="shared" si="8"/>
        <v>1.9435083661779189</v>
      </c>
      <c r="AB26" s="242">
        <f t="shared" si="9"/>
        <v>3513219.7121148934</v>
      </c>
      <c r="AC26" s="243"/>
      <c r="AD26" s="241">
        <v>35132.197121148936</v>
      </c>
      <c r="AH26" s="235"/>
    </row>
    <row r="27" spans="2:34" s="158" customFormat="1" ht="20.25" customHeight="1">
      <c r="B27" s="98">
        <v>23</v>
      </c>
      <c r="C27" s="104">
        <f t="shared" si="0"/>
        <v>93537.947308007264</v>
      </c>
      <c r="D27" s="105">
        <f t="shared" si="1"/>
        <v>4396283.5234763408</v>
      </c>
      <c r="E27" s="105">
        <f t="shared" si="2"/>
        <v>70153.460481005444</v>
      </c>
      <c r="F27" s="105">
        <f t="shared" si="3"/>
        <v>46768.973654003632</v>
      </c>
      <c r="G27" s="105">
        <f t="shared" si="4"/>
        <v>70153.460481005444</v>
      </c>
      <c r="H27" s="106">
        <f t="shared" si="10"/>
        <v>4676897.3654003637</v>
      </c>
      <c r="K27" s="168">
        <f>'3 Vol'!F26</f>
        <v>807287.90640732273</v>
      </c>
      <c r="L27" s="233">
        <f>('2 R1 Lig'!E26/'2 R1 Lig'!C26)</f>
        <v>0.99090909090909107</v>
      </c>
      <c r="M27" s="227">
        <f t="shared" si="11"/>
        <v>799948.92543998361</v>
      </c>
      <c r="N27" s="581">
        <v>2.4054461444598143</v>
      </c>
      <c r="O27" s="590">
        <f t="shared" si="15"/>
        <v>3.0230920308656404</v>
      </c>
      <c r="P27" s="1111">
        <v>0.85</v>
      </c>
      <c r="Q27" s="234">
        <f t="shared" si="12"/>
        <v>181927.49267096806</v>
      </c>
      <c r="R27" s="234">
        <f t="shared" si="13"/>
        <v>2258578.1438032161</v>
      </c>
      <c r="S27" s="581">
        <v>1.9236300085151614</v>
      </c>
      <c r="T27" s="590">
        <f t="shared" si="16"/>
        <v>3.0230920308656404</v>
      </c>
      <c r="U27" s="234">
        <f t="shared" si="5"/>
        <v>2418319.2215971467</v>
      </c>
      <c r="V27" s="230">
        <f t="shared" si="6"/>
        <v>4676897.3654003628</v>
      </c>
      <c r="X27" s="244">
        <v>1961898.9512391693</v>
      </c>
      <c r="Y27" s="247">
        <f t="shared" si="7"/>
        <v>2.4302345367345062</v>
      </c>
      <c r="Z27" s="244">
        <v>1554663.3241622648</v>
      </c>
      <c r="AA27" s="241">
        <f t="shared" si="8"/>
        <v>1.9434532314762187</v>
      </c>
      <c r="AB27" s="242">
        <f t="shared" si="9"/>
        <v>3516562.2754014339</v>
      </c>
      <c r="AC27" s="240"/>
      <c r="AD27" s="244">
        <v>35165.622754014337</v>
      </c>
      <c r="AH27" s="236"/>
    </row>
    <row r="28" spans="2:34" s="158" customFormat="1" ht="20.25" customHeight="1">
      <c r="B28" s="98">
        <v>24</v>
      </c>
      <c r="C28" s="104">
        <f t="shared" si="0"/>
        <v>93626.482989321041</v>
      </c>
      <c r="D28" s="105">
        <f t="shared" si="1"/>
        <v>4400444.7004980883</v>
      </c>
      <c r="E28" s="105">
        <f t="shared" si="2"/>
        <v>70219.862241990777</v>
      </c>
      <c r="F28" s="105">
        <f t="shared" si="3"/>
        <v>46813.24149466052</v>
      </c>
      <c r="G28" s="105">
        <f t="shared" si="4"/>
        <v>70219.862241990777</v>
      </c>
      <c r="H28" s="106">
        <f t="shared" si="10"/>
        <v>4681324.1494660517</v>
      </c>
      <c r="K28" s="168">
        <f>'3 Vol'!F27</f>
        <v>808082.20320366137</v>
      </c>
      <c r="L28" s="233">
        <f>('2 R1 Lig'!E27/'2 R1 Lig'!C27)</f>
        <v>0.99090909090909096</v>
      </c>
      <c r="M28" s="227">
        <f t="shared" si="11"/>
        <v>800736.00135635538</v>
      </c>
      <c r="N28" s="581">
        <v>2.4053563024185656</v>
      </c>
      <c r="O28" s="590">
        <f t="shared" si="15"/>
        <v>3.0229791201028857</v>
      </c>
      <c r="P28" s="1111">
        <v>0.85</v>
      </c>
      <c r="Q28" s="234">
        <f t="shared" si="12"/>
        <v>182099.69096029221</v>
      </c>
      <c r="R28" s="234">
        <f t="shared" si="13"/>
        <v>2260715.9366511134</v>
      </c>
      <c r="S28" s="581">
        <v>1.9238050870910706</v>
      </c>
      <c r="T28" s="590">
        <f t="shared" si="16"/>
        <v>3.0229791201028857</v>
      </c>
      <c r="U28" s="234">
        <f t="shared" si="5"/>
        <v>2420608.2128149383</v>
      </c>
      <c r="V28" s="230">
        <f t="shared" si="6"/>
        <v>4681324.1494660517</v>
      </c>
      <c r="X28" s="244">
        <v>1963755.9308428033</v>
      </c>
      <c r="Y28" s="247">
        <f t="shared" si="7"/>
        <v>2.4301437688609471</v>
      </c>
      <c r="Z28" s="244">
        <v>1556334.6058055353</v>
      </c>
      <c r="AA28" s="241">
        <f t="shared" si="8"/>
        <v>1.9436301142564867</v>
      </c>
      <c r="AB28" s="242">
        <f t="shared" si="9"/>
        <v>3520090.5366483387</v>
      </c>
      <c r="AC28" s="240"/>
      <c r="AD28" s="244">
        <v>35200.905366483385</v>
      </c>
      <c r="AH28" s="236"/>
    </row>
    <row r="29" spans="2:34" ht="20.25" customHeight="1">
      <c r="B29" s="98">
        <v>25</v>
      </c>
      <c r="C29" s="104">
        <f t="shared" si="0"/>
        <v>93715.018670634818</v>
      </c>
      <c r="D29" s="105">
        <f t="shared" si="1"/>
        <v>4404605.8775198357</v>
      </c>
      <c r="E29" s="105">
        <f t="shared" si="2"/>
        <v>70286.26400297611</v>
      </c>
      <c r="F29" s="105">
        <f t="shared" si="3"/>
        <v>46857.509335317409</v>
      </c>
      <c r="G29" s="105">
        <f t="shared" si="4"/>
        <v>70286.26400297611</v>
      </c>
      <c r="H29" s="106">
        <f t="shared" si="10"/>
        <v>4685750.9335317397</v>
      </c>
      <c r="K29" s="168">
        <f>'3 Vol'!F28</f>
        <v>808876.50000000012</v>
      </c>
      <c r="L29" s="233">
        <f>('2 R1 Lig'!E28/'2 R1 Lig'!C28)</f>
        <v>0.99090909090909085</v>
      </c>
      <c r="M29" s="227">
        <f t="shared" si="11"/>
        <v>801523.07727272739</v>
      </c>
      <c r="N29" s="581">
        <v>2.4052666368226587</v>
      </c>
      <c r="O29" s="590">
        <f t="shared" si="15"/>
        <v>3.0228664310913054</v>
      </c>
      <c r="P29" s="1111">
        <v>0.85</v>
      </c>
      <c r="Q29" s="234">
        <f t="shared" si="12"/>
        <v>182271.88924961639</v>
      </c>
      <c r="R29" s="234">
        <f t="shared" si="13"/>
        <v>2262853.7294990104</v>
      </c>
      <c r="S29" s="581">
        <v>1.9239798218212822</v>
      </c>
      <c r="T29" s="590">
        <f t="shared" si="16"/>
        <v>3.0228664310913054</v>
      </c>
      <c r="U29" s="234">
        <f t="shared" si="5"/>
        <v>2422897.2040327298</v>
      </c>
      <c r="V29" s="230">
        <f t="shared" si="6"/>
        <v>4685750.9335317407</v>
      </c>
      <c r="X29" s="241">
        <v>1965612.9104464371</v>
      </c>
      <c r="Y29" s="247">
        <f t="shared" si="7"/>
        <v>2.4300531792510189</v>
      </c>
      <c r="Z29" s="241">
        <v>1558005.8874488056</v>
      </c>
      <c r="AA29" s="241">
        <f t="shared" si="8"/>
        <v>1.9438066496476887</v>
      </c>
      <c r="AB29" s="242">
        <f t="shared" si="9"/>
        <v>3523618.7978952425</v>
      </c>
      <c r="AC29" s="243"/>
      <c r="AD29" s="241">
        <v>35236.187978952425</v>
      </c>
      <c r="AH29" s="235"/>
    </row>
    <row r="30" spans="2:34" ht="20.25" customHeight="1">
      <c r="B30" s="98">
        <v>26</v>
      </c>
      <c r="C30" s="104">
        <f t="shared" si="0"/>
        <v>93825.688272277039</v>
      </c>
      <c r="D30" s="105">
        <f t="shared" si="1"/>
        <v>4409807.3487970205</v>
      </c>
      <c r="E30" s="105">
        <f t="shared" si="2"/>
        <v>70369.266204207786</v>
      </c>
      <c r="F30" s="105">
        <f t="shared" si="3"/>
        <v>46912.844136138519</v>
      </c>
      <c r="G30" s="105">
        <f t="shared" si="4"/>
        <v>70369.266204207786</v>
      </c>
      <c r="H30" s="106">
        <f t="shared" si="10"/>
        <v>4691284.4136138521</v>
      </c>
      <c r="K30" s="168">
        <f>'3 Vol'!F29</f>
        <v>810020.31144164759</v>
      </c>
      <c r="L30" s="233">
        <f>('2 R1 Lig'!E29/'2 R1 Lig'!C29)</f>
        <v>0.99090909090909118</v>
      </c>
      <c r="M30" s="227">
        <f t="shared" si="11"/>
        <v>802656.4904285419</v>
      </c>
      <c r="N30" s="581">
        <v>2.4047066218719135</v>
      </c>
      <c r="O30" s="590">
        <f t="shared" si="15"/>
        <v>3.0221626212227446</v>
      </c>
      <c r="P30" s="1111">
        <v>0.85</v>
      </c>
      <c r="Q30" s="234">
        <f t="shared" si="12"/>
        <v>182487.13711127159</v>
      </c>
      <c r="R30" s="234">
        <f t="shared" si="13"/>
        <v>2265525.9705588818</v>
      </c>
      <c r="S30" s="581">
        <v>1.9235529572360173</v>
      </c>
      <c r="T30" s="590">
        <f t="shared" si="16"/>
        <v>3.0221626212227446</v>
      </c>
      <c r="U30" s="234">
        <f t="shared" si="5"/>
        <v>2425758.4430549708</v>
      </c>
      <c r="V30" s="230">
        <f t="shared" si="6"/>
        <v>4691284.4136138521</v>
      </c>
      <c r="X30" s="241">
        <v>1967934.1349509794</v>
      </c>
      <c r="Y30" s="247">
        <f t="shared" si="7"/>
        <v>2.429487393283404</v>
      </c>
      <c r="Z30" s="241">
        <v>1559862.8670524396</v>
      </c>
      <c r="AA30" s="241">
        <f t="shared" si="8"/>
        <v>1.9433753861750023</v>
      </c>
      <c r="AB30" s="242">
        <f t="shared" si="9"/>
        <v>3527797.0020034192</v>
      </c>
      <c r="AC30" s="243"/>
      <c r="AD30" s="241">
        <v>35277.97002003419</v>
      </c>
      <c r="AH30" s="235"/>
    </row>
    <row r="31" spans="2:34" ht="20.25" customHeight="1">
      <c r="B31" s="98">
        <v>27</v>
      </c>
      <c r="C31" s="104">
        <f t="shared" si="0"/>
        <v>93936.357873919231</v>
      </c>
      <c r="D31" s="105">
        <f t="shared" si="1"/>
        <v>4415008.8200742034</v>
      </c>
      <c r="E31" s="105">
        <f t="shared" si="2"/>
        <v>70452.268405439419</v>
      </c>
      <c r="F31" s="105">
        <f t="shared" si="3"/>
        <v>46968.178936959615</v>
      </c>
      <c r="G31" s="105">
        <f t="shared" si="4"/>
        <v>70452.268405439419</v>
      </c>
      <c r="H31" s="106">
        <f t="shared" si="10"/>
        <v>4696817.8936959608</v>
      </c>
      <c r="K31" s="168">
        <f>'3 Vol'!F30</f>
        <v>810853.24645308929</v>
      </c>
      <c r="L31" s="233">
        <f>('2 R1 Lig'!E30/'2 R1 Lig'!C30)</f>
        <v>0.99090909090909085</v>
      </c>
      <c r="M31" s="227">
        <f t="shared" si="11"/>
        <v>803481.8533035157</v>
      </c>
      <c r="N31" s="581">
        <v>2.4050699227260219</v>
      </c>
      <c r="O31" s="590">
        <f t="shared" si="15"/>
        <v>3.0226192067586086</v>
      </c>
      <c r="P31" s="1111">
        <v>0.85</v>
      </c>
      <c r="Q31" s="234">
        <f t="shared" si="12"/>
        <v>182702.38497292672</v>
      </c>
      <c r="R31" s="234">
        <f t="shared" si="13"/>
        <v>2268198.2116187527</v>
      </c>
      <c r="S31" s="581">
        <v>1.9238646123302778</v>
      </c>
      <c r="T31" s="590">
        <f t="shared" si="16"/>
        <v>3.0226192067586086</v>
      </c>
      <c r="U31" s="234">
        <f t="shared" si="5"/>
        <v>2428619.6820772095</v>
      </c>
      <c r="V31" s="230">
        <f t="shared" si="6"/>
        <v>4696817.8936959617</v>
      </c>
      <c r="X31" s="241">
        <v>1970255.3594555217</v>
      </c>
      <c r="Y31" s="247">
        <f t="shared" si="7"/>
        <v>2.4298544379935563</v>
      </c>
      <c r="Z31" s="241">
        <v>1561719.8466560734</v>
      </c>
      <c r="AA31" s="241">
        <f t="shared" si="8"/>
        <v>1.9436902529099593</v>
      </c>
      <c r="AB31" s="242">
        <f t="shared" si="9"/>
        <v>3531975.206111595</v>
      </c>
      <c r="AC31" s="243"/>
      <c r="AD31" s="241">
        <v>35319.752061115949</v>
      </c>
      <c r="AH31" s="235"/>
    </row>
    <row r="32" spans="2:34" ht="20.25" customHeight="1">
      <c r="B32" s="98">
        <v>28</v>
      </c>
      <c r="C32" s="104">
        <f t="shared" si="0"/>
        <v>94035.960515397252</v>
      </c>
      <c r="D32" s="105">
        <f t="shared" si="1"/>
        <v>4419690.1442236705</v>
      </c>
      <c r="E32" s="105">
        <f t="shared" si="2"/>
        <v>70526.970386547939</v>
      </c>
      <c r="F32" s="105">
        <f t="shared" si="3"/>
        <v>47017.980257698626</v>
      </c>
      <c r="G32" s="105">
        <f t="shared" si="4"/>
        <v>70526.970386547939</v>
      </c>
      <c r="H32" s="106">
        <f t="shared" si="10"/>
        <v>4701798.0257698623</v>
      </c>
      <c r="K32" s="168">
        <f>'3 Vol'!F31</f>
        <v>811705.94324942806</v>
      </c>
      <c r="L32" s="233">
        <f>('2 R1 Lig'!E31/'2 R1 Lig'!C31)</f>
        <v>0.99090909090909107</v>
      </c>
      <c r="M32" s="227">
        <f t="shared" si="11"/>
        <v>804326.79831079708</v>
      </c>
      <c r="N32" s="581">
        <v>2.405090863554654</v>
      </c>
      <c r="O32" s="590">
        <f t="shared" si="15"/>
        <v>3.0226455245592803</v>
      </c>
      <c r="P32" s="1111">
        <v>0.85</v>
      </c>
      <c r="Q32" s="234">
        <f t="shared" si="12"/>
        <v>182896.10804841641</v>
      </c>
      <c r="R32" s="234">
        <f t="shared" si="13"/>
        <v>2270603.2285726368</v>
      </c>
      <c r="S32" s="581">
        <v>1.9236717441206668</v>
      </c>
      <c r="T32" s="590">
        <f t="shared" si="16"/>
        <v>3.0226455245592803</v>
      </c>
      <c r="U32" s="234">
        <f t="shared" si="5"/>
        <v>2431194.7971972255</v>
      </c>
      <c r="V32" s="230">
        <f t="shared" si="6"/>
        <v>4701798.0257698623</v>
      </c>
      <c r="X32" s="241">
        <v>1972344.4615096098</v>
      </c>
      <c r="Y32" s="247">
        <f t="shared" si="7"/>
        <v>2.4298755946197756</v>
      </c>
      <c r="Z32" s="241">
        <v>1563205.4303389804</v>
      </c>
      <c r="AA32" s="241">
        <f t="shared" si="8"/>
        <v>1.9434953971718194</v>
      </c>
      <c r="AB32" s="242">
        <f t="shared" si="9"/>
        <v>3535549.8918485902</v>
      </c>
      <c r="AC32" s="243"/>
      <c r="AD32" s="241">
        <v>35355.498918485901</v>
      </c>
      <c r="AH32" s="235"/>
    </row>
    <row r="33" spans="2:34" ht="20.25" customHeight="1">
      <c r="B33" s="98">
        <v>29</v>
      </c>
      <c r="C33" s="104">
        <f t="shared" si="0"/>
        <v>94146.630117039502</v>
      </c>
      <c r="D33" s="105">
        <f t="shared" si="1"/>
        <v>4424891.6155008562</v>
      </c>
      <c r="E33" s="105">
        <f t="shared" si="2"/>
        <v>70609.972587779615</v>
      </c>
      <c r="F33" s="105">
        <f t="shared" si="3"/>
        <v>47073.315058519751</v>
      </c>
      <c r="G33" s="105">
        <f t="shared" si="4"/>
        <v>70609.972587779615</v>
      </c>
      <c r="H33" s="106">
        <f t="shared" si="10"/>
        <v>4707331.5058519738</v>
      </c>
      <c r="K33" s="168">
        <f>'3 Vol'!F32</f>
        <v>812597.27826086967</v>
      </c>
      <c r="L33" s="233">
        <f>('2 R1 Lig'!E32/'2 R1 Lig'!C32)</f>
        <v>0.99090909090909118</v>
      </c>
      <c r="M33" s="227">
        <f t="shared" si="11"/>
        <v>805210.03027668013</v>
      </c>
      <c r="N33" s="581">
        <v>2.405280140981894</v>
      </c>
      <c r="O33" s="590">
        <f t="shared" si="15"/>
        <v>3.0228834027105878</v>
      </c>
      <c r="P33" s="1111">
        <v>0.85</v>
      </c>
      <c r="Q33" s="234">
        <f t="shared" si="12"/>
        <v>183111.35591007161</v>
      </c>
      <c r="R33" s="234">
        <f t="shared" si="13"/>
        <v>2273275.4696325082</v>
      </c>
      <c r="S33" s="581">
        <v>1.9236160893174736</v>
      </c>
      <c r="T33" s="590">
        <f t="shared" si="16"/>
        <v>3.0228834027105878</v>
      </c>
      <c r="U33" s="234">
        <f t="shared" si="5"/>
        <v>2434056.036219466</v>
      </c>
      <c r="V33" s="230">
        <f t="shared" si="6"/>
        <v>4707331.5058519747</v>
      </c>
      <c r="X33" s="241">
        <v>1974665.6860141521</v>
      </c>
      <c r="Y33" s="247">
        <f t="shared" si="7"/>
        <v>2.4300668225721296</v>
      </c>
      <c r="Z33" s="241">
        <v>1564876.7119822509</v>
      </c>
      <c r="AA33" s="241">
        <f t="shared" si="8"/>
        <v>1.943439168839638</v>
      </c>
      <c r="AB33" s="242">
        <f t="shared" si="9"/>
        <v>3539542.3979964033</v>
      </c>
      <c r="AC33" s="243"/>
      <c r="AD33" s="241">
        <v>35395.423979964035</v>
      </c>
      <c r="AH33" s="235"/>
    </row>
    <row r="34" spans="2:34" ht="20.25" customHeight="1" thickBot="1">
      <c r="B34" s="445">
        <v>30</v>
      </c>
      <c r="C34" s="104">
        <f t="shared" si="0"/>
        <v>94224.098838189064</v>
      </c>
      <c r="D34" s="105">
        <f t="shared" si="1"/>
        <v>4428532.6453948859</v>
      </c>
      <c r="E34" s="105">
        <f t="shared" si="2"/>
        <v>70668.074128641791</v>
      </c>
      <c r="F34" s="105">
        <f t="shared" si="3"/>
        <v>47112.049419094532</v>
      </c>
      <c r="G34" s="105">
        <f t="shared" si="4"/>
        <v>70668.074128641791</v>
      </c>
      <c r="H34" s="106">
        <f t="shared" si="10"/>
        <v>4711204.9419094529</v>
      </c>
      <c r="K34" s="168">
        <f>'3 Vol'!F33</f>
        <v>813081.58398169349</v>
      </c>
      <c r="L34" s="233">
        <f>L33</f>
        <v>0.99090909090909118</v>
      </c>
      <c r="M34" s="227">
        <f t="shared" si="11"/>
        <v>805689.93321822374</v>
      </c>
      <c r="N34" s="581">
        <v>2.4058254647064632</v>
      </c>
      <c r="O34" s="590">
        <f t="shared" si="15"/>
        <v>3.0235687490900047</v>
      </c>
      <c r="P34" s="1111">
        <v>0.85</v>
      </c>
      <c r="Q34" s="234">
        <f t="shared" si="12"/>
        <v>183262.02941323025</v>
      </c>
      <c r="R34" s="234">
        <f t="shared" si="13"/>
        <v>2275146.0383744184</v>
      </c>
      <c r="S34" s="581">
        <v>1.9240672279671251</v>
      </c>
      <c r="T34" s="590">
        <f t="shared" si="16"/>
        <v>3.0235687490900047</v>
      </c>
      <c r="U34" s="234">
        <f t="shared" si="5"/>
        <v>2436058.903535034</v>
      </c>
      <c r="V34" s="230">
        <f t="shared" si="6"/>
        <v>4711204.9419094529</v>
      </c>
      <c r="X34" s="241">
        <v>1976290.5431673317</v>
      </c>
      <c r="Y34" s="247">
        <f t="shared" si="7"/>
        <v>2.4306177659188353</v>
      </c>
      <c r="Z34" s="241">
        <v>1566176.5977047947</v>
      </c>
      <c r="AA34" s="241">
        <f t="shared" si="8"/>
        <v>1.9438949565236665</v>
      </c>
      <c r="AB34" s="242">
        <f t="shared" si="9"/>
        <v>3542467.1408721264</v>
      </c>
      <c r="AC34" s="243"/>
      <c r="AD34" s="241">
        <v>35424.671408721268</v>
      </c>
      <c r="AH34" s="235"/>
    </row>
    <row r="35" spans="2:34" ht="20.25" customHeight="1" thickBot="1">
      <c r="B35" s="413" t="s">
        <v>121</v>
      </c>
      <c r="C35" s="948">
        <f t="shared" ref="C35:H35" si="17">SUM(C5:C34)</f>
        <v>2496070.7515285434</v>
      </c>
      <c r="D35" s="948">
        <f t="shared" si="17"/>
        <v>117315325.32184152</v>
      </c>
      <c r="E35" s="948">
        <f t="shared" si="17"/>
        <v>1872053.0636464073</v>
      </c>
      <c r="F35" s="948">
        <f t="shared" si="17"/>
        <v>1248035.3757642717</v>
      </c>
      <c r="G35" s="948">
        <f t="shared" si="17"/>
        <v>1872053.0636464073</v>
      </c>
      <c r="H35" s="948">
        <f t="shared" si="17"/>
        <v>124803537.57642715</v>
      </c>
      <c r="Q35" s="238">
        <f>SUM(Q5:Q34)</f>
        <v>4371957.0487896316</v>
      </c>
      <c r="R35" s="238">
        <f>SUM(R5:R34)</f>
        <v>64754751.794103161</v>
      </c>
      <c r="S35" s="238"/>
      <c r="U35" s="238">
        <f>SUM(U5:U34)</f>
        <v>60048785.782323979</v>
      </c>
      <c r="V35" s="238">
        <f>SUM(V5:V34)</f>
        <v>124803537.57642716</v>
      </c>
      <c r="X35" s="245">
        <f>SUM(X5:X34)</f>
        <v>57611559.314687014</v>
      </c>
      <c r="Y35" s="247"/>
      <c r="Z35" s="245">
        <f>SUM(Z5:Z34)</f>
        <v>42839889.75021442</v>
      </c>
      <c r="AA35" s="245"/>
      <c r="AB35" s="245">
        <f>SUM(AB5:AB34)</f>
        <v>100451449.06490144</v>
      </c>
      <c r="AC35" s="243"/>
      <c r="AD35" s="245">
        <f>SUM(AD5:AD34)</f>
        <v>1004514.4906490145</v>
      </c>
    </row>
    <row r="36" spans="2:34" ht="21" customHeight="1">
      <c r="Z36" s="237">
        <f>Z35+X35</f>
        <v>100451449.06490144</v>
      </c>
      <c r="AD36" s="242">
        <f>AB35+AD35</f>
        <v>101455963.55555046</v>
      </c>
    </row>
    <row r="37" spans="2:34" ht="21" customHeight="1">
      <c r="B37" s="159"/>
      <c r="C37" s="159"/>
      <c r="D37" s="159"/>
      <c r="E37" s="159"/>
      <c r="F37" s="159"/>
      <c r="G37" s="159"/>
      <c r="H37" s="159"/>
      <c r="Z37" s="237"/>
    </row>
    <row r="38" spans="2:34" ht="21" customHeight="1">
      <c r="B38" s="159" t="s">
        <v>241</v>
      </c>
      <c r="C38" s="226">
        <v>0.02</v>
      </c>
      <c r="D38" s="226">
        <v>0.92300000000000004</v>
      </c>
      <c r="E38" s="226">
        <v>4.7E-2</v>
      </c>
      <c r="F38" s="226">
        <v>8.0000000000000002E-3</v>
      </c>
      <c r="G38" s="226">
        <v>2E-3</v>
      </c>
      <c r="H38" s="226">
        <f>SUM(C38:G38)</f>
        <v>1</v>
      </c>
    </row>
    <row r="39" spans="2:34" ht="21" customHeight="1">
      <c r="B39" s="159"/>
      <c r="C39" s="225"/>
      <c r="D39" s="225"/>
      <c r="E39" s="225"/>
      <c r="F39" s="225"/>
      <c r="G39" s="225"/>
      <c r="H39" s="225"/>
    </row>
    <row r="40" spans="2:34" ht="21" customHeight="1">
      <c r="B40" s="159"/>
      <c r="C40" s="225"/>
      <c r="D40" s="225"/>
      <c r="E40" s="225"/>
      <c r="F40" s="225"/>
      <c r="G40" s="225"/>
      <c r="H40" s="225"/>
    </row>
    <row r="41" spans="2:34">
      <c r="B41" s="159"/>
      <c r="C41" s="225"/>
      <c r="D41" s="225"/>
      <c r="E41" s="225"/>
      <c r="F41" s="225"/>
      <c r="G41" s="225"/>
      <c r="H41" s="225"/>
    </row>
    <row r="42" spans="2:34">
      <c r="B42" s="159"/>
      <c r="C42" s="225"/>
      <c r="D42" s="225"/>
      <c r="E42" s="225"/>
      <c r="F42" s="225"/>
      <c r="G42" s="225"/>
      <c r="H42" s="225"/>
    </row>
    <row r="43" spans="2:34">
      <c r="B43" s="159"/>
      <c r="C43" s="225"/>
      <c r="D43" s="225"/>
      <c r="E43" s="225"/>
      <c r="F43" s="225"/>
      <c r="G43" s="225"/>
      <c r="H43" s="225"/>
    </row>
    <row r="44" spans="2:34">
      <c r="B44" s="159"/>
      <c r="C44" s="225"/>
      <c r="D44" s="225"/>
      <c r="E44" s="225"/>
      <c r="F44" s="225"/>
      <c r="G44" s="225"/>
      <c r="H44" s="225"/>
    </row>
    <row r="45" spans="2:34">
      <c r="B45" s="159"/>
      <c r="C45" s="159"/>
      <c r="D45" s="159"/>
      <c r="E45" s="159"/>
      <c r="F45" s="159"/>
      <c r="G45" s="159"/>
      <c r="H45" s="159"/>
    </row>
    <row r="46" spans="2:34">
      <c r="B46" s="159"/>
      <c r="C46" s="159"/>
      <c r="D46" s="159"/>
      <c r="E46" s="159"/>
      <c r="F46" s="159"/>
      <c r="G46" s="159"/>
      <c r="H46" s="159"/>
    </row>
    <row r="47" spans="2:34">
      <c r="B47" s="159"/>
      <c r="C47" s="159"/>
      <c r="D47" s="159"/>
      <c r="E47" s="159"/>
      <c r="F47" s="159"/>
      <c r="G47" s="159"/>
      <c r="H47" s="159"/>
    </row>
    <row r="48" spans="2:34">
      <c r="B48" s="159"/>
      <c r="C48" s="159"/>
      <c r="D48" s="159"/>
      <c r="E48" s="159"/>
      <c r="F48" s="159"/>
      <c r="G48" s="159"/>
      <c r="H48" s="159"/>
    </row>
    <row r="49" spans="2:8">
      <c r="B49" s="159"/>
      <c r="C49" s="159"/>
      <c r="D49" s="159"/>
      <c r="E49" s="159"/>
      <c r="F49" s="159"/>
      <c r="G49" s="159"/>
      <c r="H49" s="159"/>
    </row>
    <row r="50" spans="2:8">
      <c r="B50" s="159"/>
      <c r="C50" s="159"/>
      <c r="D50" s="159"/>
      <c r="E50" s="159"/>
      <c r="F50" s="159"/>
      <c r="G50" s="159"/>
      <c r="H50" s="159"/>
    </row>
    <row r="51" spans="2:8">
      <c r="B51" s="159"/>
      <c r="C51" s="159"/>
      <c r="D51" s="159"/>
      <c r="E51" s="159"/>
      <c r="F51" s="159"/>
      <c r="G51" s="159"/>
      <c r="H51" s="159"/>
    </row>
    <row r="52" spans="2:8">
      <c r="B52" s="159"/>
      <c r="C52" s="159"/>
      <c r="D52" s="159"/>
      <c r="E52" s="159"/>
      <c r="F52" s="159"/>
      <c r="G52" s="159"/>
      <c r="H52" s="159"/>
    </row>
    <row r="53" spans="2:8">
      <c r="B53" s="159"/>
      <c r="C53" s="159"/>
      <c r="D53" s="159"/>
      <c r="E53" s="159"/>
      <c r="F53" s="159"/>
      <c r="G53" s="159"/>
      <c r="H53" s="159"/>
    </row>
    <row r="54" spans="2:8">
      <c r="B54" s="159"/>
      <c r="C54" s="159"/>
      <c r="D54" s="159"/>
      <c r="E54" s="159"/>
      <c r="F54" s="159"/>
      <c r="G54" s="159"/>
      <c r="H54" s="159"/>
    </row>
    <row r="55" spans="2:8">
      <c r="B55" s="159"/>
      <c r="C55" s="159"/>
      <c r="D55" s="159"/>
      <c r="E55" s="159"/>
      <c r="F55" s="159"/>
      <c r="G55" s="159"/>
      <c r="H55" s="159"/>
    </row>
    <row r="56" spans="2:8">
      <c r="B56" s="159"/>
      <c r="C56" s="159"/>
      <c r="D56" s="159"/>
      <c r="E56" s="159"/>
      <c r="F56" s="159"/>
      <c r="G56" s="159"/>
      <c r="H56" s="159"/>
    </row>
    <row r="57" spans="2:8">
      <c r="B57" s="159"/>
      <c r="C57" s="159"/>
      <c r="D57" s="159"/>
      <c r="E57" s="159"/>
      <c r="F57" s="159"/>
      <c r="G57" s="159"/>
      <c r="H57" s="159"/>
    </row>
    <row r="58" spans="2:8">
      <c r="B58" s="159"/>
      <c r="C58" s="159"/>
      <c r="D58" s="159"/>
      <c r="E58" s="159"/>
      <c r="F58" s="159"/>
      <c r="G58" s="159"/>
      <c r="H58" s="159"/>
    </row>
    <row r="59" spans="2:8">
      <c r="B59" s="159"/>
      <c r="C59" s="159"/>
      <c r="D59" s="159"/>
      <c r="E59" s="159"/>
      <c r="F59" s="159"/>
      <c r="G59" s="159"/>
      <c r="H59" s="159"/>
    </row>
    <row r="60" spans="2:8">
      <c r="B60" s="159"/>
      <c r="C60" s="159"/>
      <c r="D60" s="159"/>
      <c r="E60" s="159"/>
      <c r="F60" s="159"/>
      <c r="G60" s="159"/>
      <c r="H60" s="159"/>
    </row>
    <row r="61" spans="2:8">
      <c r="B61" s="159"/>
      <c r="C61" s="159"/>
      <c r="D61" s="159"/>
      <c r="E61" s="159"/>
      <c r="F61" s="159"/>
      <c r="G61" s="159"/>
      <c r="H61" s="159"/>
    </row>
    <row r="62" spans="2:8">
      <c r="B62" s="159"/>
      <c r="C62" s="159"/>
      <c r="D62" s="159"/>
      <c r="E62" s="159"/>
      <c r="F62" s="159"/>
      <c r="G62" s="159"/>
      <c r="H62" s="159"/>
    </row>
    <row r="63" spans="2:8">
      <c r="B63" s="159"/>
      <c r="C63" s="159"/>
      <c r="D63" s="159"/>
      <c r="E63" s="159"/>
      <c r="F63" s="159"/>
      <c r="G63" s="159"/>
      <c r="H63" s="159"/>
    </row>
    <row r="64" spans="2:8">
      <c r="B64" s="159"/>
      <c r="C64" s="159"/>
      <c r="D64" s="159"/>
      <c r="E64" s="159"/>
      <c r="F64" s="159"/>
      <c r="G64" s="159"/>
      <c r="H64" s="159"/>
    </row>
    <row r="65" spans="2:8">
      <c r="B65" s="159"/>
      <c r="C65" s="159"/>
      <c r="D65" s="159"/>
      <c r="E65" s="159"/>
      <c r="F65" s="159"/>
      <c r="G65" s="159"/>
      <c r="H65" s="159"/>
    </row>
    <row r="66" spans="2:8">
      <c r="B66" s="159"/>
      <c r="C66" s="159"/>
      <c r="D66" s="159"/>
      <c r="E66" s="159"/>
      <c r="F66" s="159"/>
      <c r="G66" s="159"/>
      <c r="H66" s="159"/>
    </row>
    <row r="67" spans="2:8">
      <c r="B67" s="159"/>
      <c r="C67" s="159"/>
      <c r="D67" s="159"/>
      <c r="E67" s="159"/>
      <c r="F67" s="159"/>
      <c r="G67" s="159"/>
      <c r="H67" s="159"/>
    </row>
    <row r="68" spans="2:8">
      <c r="B68" s="159"/>
      <c r="C68" s="159"/>
      <c r="D68" s="159"/>
      <c r="E68" s="159"/>
      <c r="F68" s="159"/>
      <c r="G68" s="159"/>
      <c r="H68" s="159"/>
    </row>
    <row r="69" spans="2:8">
      <c r="B69" s="159"/>
      <c r="C69" s="159"/>
      <c r="D69" s="159"/>
      <c r="E69" s="159"/>
      <c r="F69" s="159"/>
      <c r="G69" s="159"/>
      <c r="H69" s="159"/>
    </row>
    <row r="70" spans="2:8">
      <c r="B70" s="159"/>
      <c r="C70" s="159"/>
      <c r="D70" s="159"/>
      <c r="E70" s="159"/>
      <c r="F70" s="159"/>
      <c r="G70" s="159"/>
      <c r="H70" s="159"/>
    </row>
    <row r="71" spans="2:8">
      <c r="B71" s="159"/>
      <c r="C71" s="159"/>
      <c r="D71" s="159"/>
      <c r="E71" s="159"/>
      <c r="F71" s="159"/>
      <c r="G71" s="159"/>
      <c r="H71" s="159"/>
    </row>
    <row r="72" spans="2:8">
      <c r="B72" s="159"/>
      <c r="C72" s="159"/>
      <c r="D72" s="159"/>
      <c r="E72" s="159"/>
      <c r="F72" s="159"/>
      <c r="G72" s="159"/>
      <c r="H72" s="159"/>
    </row>
    <row r="73" spans="2:8">
      <c r="B73" s="159"/>
      <c r="C73" s="159"/>
      <c r="D73" s="159"/>
      <c r="E73" s="159"/>
      <c r="F73" s="159"/>
      <c r="G73" s="159"/>
      <c r="H73" s="159"/>
    </row>
    <row r="74" spans="2:8">
      <c r="B74" s="159"/>
      <c r="C74" s="159"/>
      <c r="D74" s="159"/>
      <c r="E74" s="159"/>
      <c r="F74" s="159"/>
      <c r="G74" s="159"/>
      <c r="H74" s="159"/>
    </row>
    <row r="75" spans="2:8">
      <c r="B75" s="159"/>
      <c r="C75" s="159"/>
      <c r="D75" s="159"/>
      <c r="E75" s="159"/>
      <c r="F75" s="159"/>
      <c r="G75" s="159"/>
      <c r="H75" s="159"/>
    </row>
    <row r="76" spans="2:8">
      <c r="B76" s="159"/>
      <c r="C76" s="159"/>
      <c r="D76" s="159"/>
      <c r="E76" s="159"/>
      <c r="F76" s="159"/>
      <c r="G76" s="159"/>
      <c r="H76" s="159"/>
    </row>
    <row r="77" spans="2:8">
      <c r="B77" s="159"/>
      <c r="C77" s="159"/>
      <c r="D77" s="159"/>
      <c r="E77" s="159"/>
      <c r="F77" s="159"/>
      <c r="G77" s="159"/>
      <c r="H77" s="159"/>
    </row>
    <row r="78" spans="2:8">
      <c r="B78" s="159"/>
      <c r="C78" s="159"/>
      <c r="D78" s="159"/>
      <c r="E78" s="159"/>
      <c r="F78" s="159"/>
      <c r="G78" s="159"/>
      <c r="H78" s="159"/>
    </row>
    <row r="79" spans="2:8">
      <c r="B79" s="159"/>
      <c r="C79" s="159"/>
      <c r="D79" s="159"/>
      <c r="E79" s="159"/>
      <c r="F79" s="159"/>
      <c r="G79" s="159"/>
      <c r="H79" s="159"/>
    </row>
    <row r="80" spans="2:8">
      <c r="B80" s="159"/>
      <c r="C80" s="159"/>
      <c r="D80" s="159"/>
      <c r="E80" s="159"/>
      <c r="F80" s="159"/>
      <c r="G80" s="159"/>
      <c r="H80" s="159"/>
    </row>
    <row r="81" spans="2:8">
      <c r="B81" s="159"/>
      <c r="C81" s="159"/>
      <c r="D81" s="159"/>
      <c r="E81" s="159"/>
      <c r="F81" s="159"/>
      <c r="G81" s="159"/>
      <c r="H81" s="159"/>
    </row>
    <row r="82" spans="2:8">
      <c r="B82" s="159"/>
      <c r="C82" s="159"/>
      <c r="D82" s="159"/>
      <c r="E82" s="159"/>
      <c r="F82" s="159"/>
      <c r="G82" s="159"/>
      <c r="H82" s="159"/>
    </row>
    <row r="83" spans="2:8">
      <c r="B83" s="159"/>
      <c r="C83" s="159"/>
      <c r="D83" s="159"/>
      <c r="E83" s="159"/>
      <c r="F83" s="159"/>
      <c r="G83" s="159"/>
      <c r="H83" s="159"/>
    </row>
    <row r="84" spans="2:8">
      <c r="B84" s="159"/>
      <c r="C84" s="159"/>
      <c r="D84" s="159"/>
      <c r="E84" s="159"/>
      <c r="F84" s="159"/>
      <c r="G84" s="159"/>
      <c r="H84" s="159"/>
    </row>
    <row r="85" spans="2:8">
      <c r="B85" s="159"/>
      <c r="C85" s="159"/>
      <c r="D85" s="159"/>
      <c r="E85" s="159"/>
      <c r="F85" s="159"/>
      <c r="G85" s="159"/>
      <c r="H85" s="159"/>
    </row>
    <row r="86" spans="2:8">
      <c r="B86" s="159"/>
      <c r="C86" s="159"/>
      <c r="D86" s="159"/>
      <c r="E86" s="159"/>
      <c r="F86" s="159"/>
      <c r="G86" s="159"/>
      <c r="H86" s="159"/>
    </row>
    <row r="87" spans="2:8">
      <c r="B87" s="159"/>
      <c r="C87" s="159"/>
      <c r="D87" s="159"/>
      <c r="E87" s="159"/>
      <c r="F87" s="159"/>
      <c r="G87" s="159"/>
      <c r="H87" s="159"/>
    </row>
    <row r="88" spans="2:8">
      <c r="B88" s="159"/>
      <c r="C88" s="159"/>
      <c r="D88" s="159"/>
      <c r="E88" s="159"/>
      <c r="F88" s="159"/>
      <c r="G88" s="159"/>
      <c r="H88" s="159"/>
    </row>
    <row r="89" spans="2:8">
      <c r="B89" s="159"/>
      <c r="C89" s="159"/>
      <c r="D89" s="159"/>
      <c r="E89" s="159"/>
      <c r="F89" s="159"/>
      <c r="G89" s="159"/>
      <c r="H89" s="159"/>
    </row>
    <row r="90" spans="2:8">
      <c r="B90" s="159"/>
      <c r="C90" s="159"/>
      <c r="D90" s="159"/>
      <c r="E90" s="159"/>
      <c r="F90" s="159"/>
      <c r="G90" s="159"/>
      <c r="H90" s="159"/>
    </row>
    <row r="91" spans="2:8">
      <c r="B91" s="159"/>
      <c r="C91" s="159"/>
      <c r="D91" s="159"/>
      <c r="E91" s="159"/>
      <c r="F91" s="159"/>
      <c r="G91" s="159"/>
      <c r="H91" s="159"/>
    </row>
    <row r="92" spans="2:8">
      <c r="B92" s="159"/>
      <c r="C92" s="159"/>
      <c r="D92" s="159"/>
      <c r="E92" s="159"/>
      <c r="F92" s="159"/>
      <c r="G92" s="159"/>
      <c r="H92" s="159"/>
    </row>
    <row r="93" spans="2:8">
      <c r="B93" s="159"/>
      <c r="C93" s="159"/>
      <c r="D93" s="159"/>
      <c r="E93" s="159"/>
      <c r="F93" s="159"/>
      <c r="G93" s="159"/>
      <c r="H93" s="159"/>
    </row>
    <row r="94" spans="2:8">
      <c r="B94" s="159"/>
      <c r="C94" s="159"/>
      <c r="D94" s="159"/>
      <c r="E94" s="159"/>
      <c r="F94" s="159"/>
      <c r="G94" s="159"/>
      <c r="H94" s="159"/>
    </row>
    <row r="95" spans="2:8">
      <c r="B95" s="159"/>
      <c r="C95" s="159"/>
      <c r="D95" s="159"/>
      <c r="E95" s="159"/>
      <c r="F95" s="159"/>
      <c r="G95" s="159"/>
      <c r="H95" s="159"/>
    </row>
    <row r="96" spans="2:8">
      <c r="B96" s="159"/>
      <c r="C96" s="159"/>
      <c r="D96" s="159"/>
      <c r="E96" s="159"/>
      <c r="F96" s="159"/>
      <c r="G96" s="159"/>
      <c r="H96" s="159"/>
    </row>
    <row r="97" spans="2:8">
      <c r="B97" s="159"/>
      <c r="C97" s="159"/>
      <c r="D97" s="159"/>
      <c r="E97" s="159"/>
      <c r="F97" s="159"/>
      <c r="G97" s="159"/>
      <c r="H97" s="159"/>
    </row>
    <row r="98" spans="2:8">
      <c r="B98" s="159"/>
      <c r="C98" s="159"/>
      <c r="D98" s="159"/>
      <c r="E98" s="159"/>
      <c r="F98" s="159"/>
      <c r="G98" s="159"/>
      <c r="H98" s="159"/>
    </row>
    <row r="99" spans="2:8">
      <c r="B99" s="159"/>
      <c r="C99" s="159"/>
      <c r="D99" s="159"/>
      <c r="E99" s="159"/>
      <c r="F99" s="159"/>
      <c r="G99" s="159"/>
      <c r="H99" s="159"/>
    </row>
    <row r="100" spans="2:8">
      <c r="B100" s="159"/>
      <c r="C100" s="159"/>
      <c r="D100" s="159"/>
      <c r="E100" s="159"/>
      <c r="F100" s="159"/>
      <c r="G100" s="159"/>
      <c r="H100" s="159"/>
    </row>
    <row r="101" spans="2:8">
      <c r="B101" s="159"/>
      <c r="C101" s="159"/>
      <c r="D101" s="159"/>
      <c r="E101" s="159"/>
      <c r="F101" s="159"/>
      <c r="G101" s="159"/>
      <c r="H101" s="159"/>
    </row>
  </sheetData>
  <mergeCells count="3">
    <mergeCell ref="C1:G1"/>
    <mergeCell ref="B3:B4"/>
    <mergeCell ref="C3:H3"/>
  </mergeCells>
  <printOptions horizontalCentered="1"/>
  <pageMargins left="0.98425196850393704" right="0.59055118110236227" top="1.9685039370078741" bottom="1.0629921259842521" header="0.39370078740157483" footer="0.39370078740157483"/>
  <pageSetup paperSize="9" scale="71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</sheetPr>
  <dimension ref="B1:J35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157" customWidth="1"/>
    <col min="2" max="2" width="8.7109375" style="157" customWidth="1"/>
    <col min="3" max="6" width="17.85546875" style="157" customWidth="1"/>
    <col min="7" max="7" width="2.7109375" style="157" customWidth="1"/>
    <col min="8" max="8" width="11.5703125" style="157" customWidth="1"/>
    <col min="9" max="9" width="15.7109375" style="157" customWidth="1"/>
    <col min="10" max="10" width="15.5703125" style="157" customWidth="1"/>
    <col min="11" max="253" width="11.5703125" style="157"/>
    <col min="254" max="254" width="8.7109375" style="157" customWidth="1"/>
    <col min="255" max="258" width="17.85546875" style="157" customWidth="1"/>
    <col min="259" max="259" width="14.140625" style="157" customWidth="1"/>
    <col min="260" max="260" width="11.5703125" style="157" customWidth="1"/>
    <col min="261" max="261" width="18.140625" style="157" customWidth="1"/>
    <col min="262" max="262" width="17.5703125" style="157" customWidth="1"/>
    <col min="263" max="263" width="17.7109375" style="157" customWidth="1"/>
    <col min="264" max="264" width="17.140625" style="157" customWidth="1"/>
    <col min="265" max="265" width="15.7109375" style="157" customWidth="1"/>
    <col min="266" max="266" width="15.5703125" style="157" customWidth="1"/>
    <col min="267" max="509" width="11.5703125" style="157"/>
    <col min="510" max="510" width="8.7109375" style="157" customWidth="1"/>
    <col min="511" max="514" width="17.85546875" style="157" customWidth="1"/>
    <col min="515" max="515" width="14.140625" style="157" customWidth="1"/>
    <col min="516" max="516" width="11.5703125" style="157" customWidth="1"/>
    <col min="517" max="517" width="18.140625" style="157" customWidth="1"/>
    <col min="518" max="518" width="17.5703125" style="157" customWidth="1"/>
    <col min="519" max="519" width="17.7109375" style="157" customWidth="1"/>
    <col min="520" max="520" width="17.140625" style="157" customWidth="1"/>
    <col min="521" max="521" width="15.7109375" style="157" customWidth="1"/>
    <col min="522" max="522" width="15.5703125" style="157" customWidth="1"/>
    <col min="523" max="765" width="11.5703125" style="157"/>
    <col min="766" max="766" width="8.7109375" style="157" customWidth="1"/>
    <col min="767" max="770" width="17.85546875" style="157" customWidth="1"/>
    <col min="771" max="771" width="14.140625" style="157" customWidth="1"/>
    <col min="772" max="772" width="11.5703125" style="157" customWidth="1"/>
    <col min="773" max="773" width="18.140625" style="157" customWidth="1"/>
    <col min="774" max="774" width="17.5703125" style="157" customWidth="1"/>
    <col min="775" max="775" width="17.7109375" style="157" customWidth="1"/>
    <col min="776" max="776" width="17.140625" style="157" customWidth="1"/>
    <col min="777" max="777" width="15.7109375" style="157" customWidth="1"/>
    <col min="778" max="778" width="15.5703125" style="157" customWidth="1"/>
    <col min="779" max="1021" width="11.5703125" style="157"/>
    <col min="1022" max="1022" width="8.7109375" style="157" customWidth="1"/>
    <col min="1023" max="1026" width="17.85546875" style="157" customWidth="1"/>
    <col min="1027" max="1027" width="14.140625" style="157" customWidth="1"/>
    <col min="1028" max="1028" width="11.5703125" style="157" customWidth="1"/>
    <col min="1029" max="1029" width="18.140625" style="157" customWidth="1"/>
    <col min="1030" max="1030" width="17.5703125" style="157" customWidth="1"/>
    <col min="1031" max="1031" width="17.7109375" style="157" customWidth="1"/>
    <col min="1032" max="1032" width="17.140625" style="157" customWidth="1"/>
    <col min="1033" max="1033" width="15.7109375" style="157" customWidth="1"/>
    <col min="1034" max="1034" width="15.5703125" style="157" customWidth="1"/>
    <col min="1035" max="1277" width="11.5703125" style="157"/>
    <col min="1278" max="1278" width="8.7109375" style="157" customWidth="1"/>
    <col min="1279" max="1282" width="17.85546875" style="157" customWidth="1"/>
    <col min="1283" max="1283" width="14.140625" style="157" customWidth="1"/>
    <col min="1284" max="1284" width="11.5703125" style="157" customWidth="1"/>
    <col min="1285" max="1285" width="18.140625" style="157" customWidth="1"/>
    <col min="1286" max="1286" width="17.5703125" style="157" customWidth="1"/>
    <col min="1287" max="1287" width="17.7109375" style="157" customWidth="1"/>
    <col min="1288" max="1288" width="17.140625" style="157" customWidth="1"/>
    <col min="1289" max="1289" width="15.7109375" style="157" customWidth="1"/>
    <col min="1290" max="1290" width="15.5703125" style="157" customWidth="1"/>
    <col min="1291" max="1533" width="11.5703125" style="157"/>
    <col min="1534" max="1534" width="8.7109375" style="157" customWidth="1"/>
    <col min="1535" max="1538" width="17.85546875" style="157" customWidth="1"/>
    <col min="1539" max="1539" width="14.140625" style="157" customWidth="1"/>
    <col min="1540" max="1540" width="11.5703125" style="157" customWidth="1"/>
    <col min="1541" max="1541" width="18.140625" style="157" customWidth="1"/>
    <col min="1542" max="1542" width="17.5703125" style="157" customWidth="1"/>
    <col min="1543" max="1543" width="17.7109375" style="157" customWidth="1"/>
    <col min="1544" max="1544" width="17.140625" style="157" customWidth="1"/>
    <col min="1545" max="1545" width="15.7109375" style="157" customWidth="1"/>
    <col min="1546" max="1546" width="15.5703125" style="157" customWidth="1"/>
    <col min="1547" max="1789" width="11.5703125" style="157"/>
    <col min="1790" max="1790" width="8.7109375" style="157" customWidth="1"/>
    <col min="1791" max="1794" width="17.85546875" style="157" customWidth="1"/>
    <col min="1795" max="1795" width="14.140625" style="157" customWidth="1"/>
    <col min="1796" max="1796" width="11.5703125" style="157" customWidth="1"/>
    <col min="1797" max="1797" width="18.140625" style="157" customWidth="1"/>
    <col min="1798" max="1798" width="17.5703125" style="157" customWidth="1"/>
    <col min="1799" max="1799" width="17.7109375" style="157" customWidth="1"/>
    <col min="1800" max="1800" width="17.140625" style="157" customWidth="1"/>
    <col min="1801" max="1801" width="15.7109375" style="157" customWidth="1"/>
    <col min="1802" max="1802" width="15.5703125" style="157" customWidth="1"/>
    <col min="1803" max="2045" width="11.5703125" style="157"/>
    <col min="2046" max="2046" width="8.7109375" style="157" customWidth="1"/>
    <col min="2047" max="2050" width="17.85546875" style="157" customWidth="1"/>
    <col min="2051" max="2051" width="14.140625" style="157" customWidth="1"/>
    <col min="2052" max="2052" width="11.5703125" style="157" customWidth="1"/>
    <col min="2053" max="2053" width="18.140625" style="157" customWidth="1"/>
    <col min="2054" max="2054" width="17.5703125" style="157" customWidth="1"/>
    <col min="2055" max="2055" width="17.7109375" style="157" customWidth="1"/>
    <col min="2056" max="2056" width="17.140625" style="157" customWidth="1"/>
    <col min="2057" max="2057" width="15.7109375" style="157" customWidth="1"/>
    <col min="2058" max="2058" width="15.5703125" style="157" customWidth="1"/>
    <col min="2059" max="2301" width="11.5703125" style="157"/>
    <col min="2302" max="2302" width="8.7109375" style="157" customWidth="1"/>
    <col min="2303" max="2306" width="17.85546875" style="157" customWidth="1"/>
    <col min="2307" max="2307" width="14.140625" style="157" customWidth="1"/>
    <col min="2308" max="2308" width="11.5703125" style="157" customWidth="1"/>
    <col min="2309" max="2309" width="18.140625" style="157" customWidth="1"/>
    <col min="2310" max="2310" width="17.5703125" style="157" customWidth="1"/>
    <col min="2311" max="2311" width="17.7109375" style="157" customWidth="1"/>
    <col min="2312" max="2312" width="17.140625" style="157" customWidth="1"/>
    <col min="2313" max="2313" width="15.7109375" style="157" customWidth="1"/>
    <col min="2314" max="2314" width="15.5703125" style="157" customWidth="1"/>
    <col min="2315" max="2557" width="11.5703125" style="157"/>
    <col min="2558" max="2558" width="8.7109375" style="157" customWidth="1"/>
    <col min="2559" max="2562" width="17.85546875" style="157" customWidth="1"/>
    <col min="2563" max="2563" width="14.140625" style="157" customWidth="1"/>
    <col min="2564" max="2564" width="11.5703125" style="157" customWidth="1"/>
    <col min="2565" max="2565" width="18.140625" style="157" customWidth="1"/>
    <col min="2566" max="2566" width="17.5703125" style="157" customWidth="1"/>
    <col min="2567" max="2567" width="17.7109375" style="157" customWidth="1"/>
    <col min="2568" max="2568" width="17.140625" style="157" customWidth="1"/>
    <col min="2569" max="2569" width="15.7109375" style="157" customWidth="1"/>
    <col min="2570" max="2570" width="15.5703125" style="157" customWidth="1"/>
    <col min="2571" max="2813" width="11.5703125" style="157"/>
    <col min="2814" max="2814" width="8.7109375" style="157" customWidth="1"/>
    <col min="2815" max="2818" width="17.85546875" style="157" customWidth="1"/>
    <col min="2819" max="2819" width="14.140625" style="157" customWidth="1"/>
    <col min="2820" max="2820" width="11.5703125" style="157" customWidth="1"/>
    <col min="2821" max="2821" width="18.140625" style="157" customWidth="1"/>
    <col min="2822" max="2822" width="17.5703125" style="157" customWidth="1"/>
    <col min="2823" max="2823" width="17.7109375" style="157" customWidth="1"/>
    <col min="2824" max="2824" width="17.140625" style="157" customWidth="1"/>
    <col min="2825" max="2825" width="15.7109375" style="157" customWidth="1"/>
    <col min="2826" max="2826" width="15.5703125" style="157" customWidth="1"/>
    <col min="2827" max="3069" width="11.5703125" style="157"/>
    <col min="3070" max="3070" width="8.7109375" style="157" customWidth="1"/>
    <col min="3071" max="3074" width="17.85546875" style="157" customWidth="1"/>
    <col min="3075" max="3075" width="14.140625" style="157" customWidth="1"/>
    <col min="3076" max="3076" width="11.5703125" style="157" customWidth="1"/>
    <col min="3077" max="3077" width="18.140625" style="157" customWidth="1"/>
    <col min="3078" max="3078" width="17.5703125" style="157" customWidth="1"/>
    <col min="3079" max="3079" width="17.7109375" style="157" customWidth="1"/>
    <col min="3080" max="3080" width="17.140625" style="157" customWidth="1"/>
    <col min="3081" max="3081" width="15.7109375" style="157" customWidth="1"/>
    <col min="3082" max="3082" width="15.5703125" style="157" customWidth="1"/>
    <col min="3083" max="3325" width="11.5703125" style="157"/>
    <col min="3326" max="3326" width="8.7109375" style="157" customWidth="1"/>
    <col min="3327" max="3330" width="17.85546875" style="157" customWidth="1"/>
    <col min="3331" max="3331" width="14.140625" style="157" customWidth="1"/>
    <col min="3332" max="3332" width="11.5703125" style="157" customWidth="1"/>
    <col min="3333" max="3333" width="18.140625" style="157" customWidth="1"/>
    <col min="3334" max="3334" width="17.5703125" style="157" customWidth="1"/>
    <col min="3335" max="3335" width="17.7109375" style="157" customWidth="1"/>
    <col min="3336" max="3336" width="17.140625" style="157" customWidth="1"/>
    <col min="3337" max="3337" width="15.7109375" style="157" customWidth="1"/>
    <col min="3338" max="3338" width="15.5703125" style="157" customWidth="1"/>
    <col min="3339" max="3581" width="11.5703125" style="157"/>
    <col min="3582" max="3582" width="8.7109375" style="157" customWidth="1"/>
    <col min="3583" max="3586" width="17.85546875" style="157" customWidth="1"/>
    <col min="3587" max="3587" width="14.140625" style="157" customWidth="1"/>
    <col min="3588" max="3588" width="11.5703125" style="157" customWidth="1"/>
    <col min="3589" max="3589" width="18.140625" style="157" customWidth="1"/>
    <col min="3590" max="3590" width="17.5703125" style="157" customWidth="1"/>
    <col min="3591" max="3591" width="17.7109375" style="157" customWidth="1"/>
    <col min="3592" max="3592" width="17.140625" style="157" customWidth="1"/>
    <col min="3593" max="3593" width="15.7109375" style="157" customWidth="1"/>
    <col min="3594" max="3594" width="15.5703125" style="157" customWidth="1"/>
    <col min="3595" max="3837" width="11.5703125" style="157"/>
    <col min="3838" max="3838" width="8.7109375" style="157" customWidth="1"/>
    <col min="3839" max="3842" width="17.85546875" style="157" customWidth="1"/>
    <col min="3843" max="3843" width="14.140625" style="157" customWidth="1"/>
    <col min="3844" max="3844" width="11.5703125" style="157" customWidth="1"/>
    <col min="3845" max="3845" width="18.140625" style="157" customWidth="1"/>
    <col min="3846" max="3846" width="17.5703125" style="157" customWidth="1"/>
    <col min="3847" max="3847" width="17.7109375" style="157" customWidth="1"/>
    <col min="3848" max="3848" width="17.140625" style="157" customWidth="1"/>
    <col min="3849" max="3849" width="15.7109375" style="157" customWidth="1"/>
    <col min="3850" max="3850" width="15.5703125" style="157" customWidth="1"/>
    <col min="3851" max="4093" width="11.5703125" style="157"/>
    <col min="4094" max="4094" width="8.7109375" style="157" customWidth="1"/>
    <col min="4095" max="4098" width="17.85546875" style="157" customWidth="1"/>
    <col min="4099" max="4099" width="14.140625" style="157" customWidth="1"/>
    <col min="4100" max="4100" width="11.5703125" style="157" customWidth="1"/>
    <col min="4101" max="4101" width="18.140625" style="157" customWidth="1"/>
    <col min="4102" max="4102" width="17.5703125" style="157" customWidth="1"/>
    <col min="4103" max="4103" width="17.7109375" style="157" customWidth="1"/>
    <col min="4104" max="4104" width="17.140625" style="157" customWidth="1"/>
    <col min="4105" max="4105" width="15.7109375" style="157" customWidth="1"/>
    <col min="4106" max="4106" width="15.5703125" style="157" customWidth="1"/>
    <col min="4107" max="4349" width="11.5703125" style="157"/>
    <col min="4350" max="4350" width="8.7109375" style="157" customWidth="1"/>
    <col min="4351" max="4354" width="17.85546875" style="157" customWidth="1"/>
    <col min="4355" max="4355" width="14.140625" style="157" customWidth="1"/>
    <col min="4356" max="4356" width="11.5703125" style="157" customWidth="1"/>
    <col min="4357" max="4357" width="18.140625" style="157" customWidth="1"/>
    <col min="4358" max="4358" width="17.5703125" style="157" customWidth="1"/>
    <col min="4359" max="4359" width="17.7109375" style="157" customWidth="1"/>
    <col min="4360" max="4360" width="17.140625" style="157" customWidth="1"/>
    <col min="4361" max="4361" width="15.7109375" style="157" customWidth="1"/>
    <col min="4362" max="4362" width="15.5703125" style="157" customWidth="1"/>
    <col min="4363" max="4605" width="11.5703125" style="157"/>
    <col min="4606" max="4606" width="8.7109375" style="157" customWidth="1"/>
    <col min="4607" max="4610" width="17.85546875" style="157" customWidth="1"/>
    <col min="4611" max="4611" width="14.140625" style="157" customWidth="1"/>
    <col min="4612" max="4612" width="11.5703125" style="157" customWidth="1"/>
    <col min="4613" max="4613" width="18.140625" style="157" customWidth="1"/>
    <col min="4614" max="4614" width="17.5703125" style="157" customWidth="1"/>
    <col min="4615" max="4615" width="17.7109375" style="157" customWidth="1"/>
    <col min="4616" max="4616" width="17.140625" style="157" customWidth="1"/>
    <col min="4617" max="4617" width="15.7109375" style="157" customWidth="1"/>
    <col min="4618" max="4618" width="15.5703125" style="157" customWidth="1"/>
    <col min="4619" max="4861" width="11.5703125" style="157"/>
    <col min="4862" max="4862" width="8.7109375" style="157" customWidth="1"/>
    <col min="4863" max="4866" width="17.85546875" style="157" customWidth="1"/>
    <col min="4867" max="4867" width="14.140625" style="157" customWidth="1"/>
    <col min="4868" max="4868" width="11.5703125" style="157" customWidth="1"/>
    <col min="4869" max="4869" width="18.140625" style="157" customWidth="1"/>
    <col min="4870" max="4870" width="17.5703125" style="157" customWidth="1"/>
    <col min="4871" max="4871" width="17.7109375" style="157" customWidth="1"/>
    <col min="4872" max="4872" width="17.140625" style="157" customWidth="1"/>
    <col min="4873" max="4873" width="15.7109375" style="157" customWidth="1"/>
    <col min="4874" max="4874" width="15.5703125" style="157" customWidth="1"/>
    <col min="4875" max="5117" width="11.5703125" style="157"/>
    <col min="5118" max="5118" width="8.7109375" style="157" customWidth="1"/>
    <col min="5119" max="5122" width="17.85546875" style="157" customWidth="1"/>
    <col min="5123" max="5123" width="14.140625" style="157" customWidth="1"/>
    <col min="5124" max="5124" width="11.5703125" style="157" customWidth="1"/>
    <col min="5125" max="5125" width="18.140625" style="157" customWidth="1"/>
    <col min="5126" max="5126" width="17.5703125" style="157" customWidth="1"/>
    <col min="5127" max="5127" width="17.7109375" style="157" customWidth="1"/>
    <col min="5128" max="5128" width="17.140625" style="157" customWidth="1"/>
    <col min="5129" max="5129" width="15.7109375" style="157" customWidth="1"/>
    <col min="5130" max="5130" width="15.5703125" style="157" customWidth="1"/>
    <col min="5131" max="5373" width="11.5703125" style="157"/>
    <col min="5374" max="5374" width="8.7109375" style="157" customWidth="1"/>
    <col min="5375" max="5378" width="17.85546875" style="157" customWidth="1"/>
    <col min="5379" max="5379" width="14.140625" style="157" customWidth="1"/>
    <col min="5380" max="5380" width="11.5703125" style="157" customWidth="1"/>
    <col min="5381" max="5381" width="18.140625" style="157" customWidth="1"/>
    <col min="5382" max="5382" width="17.5703125" style="157" customWidth="1"/>
    <col min="5383" max="5383" width="17.7109375" style="157" customWidth="1"/>
    <col min="5384" max="5384" width="17.140625" style="157" customWidth="1"/>
    <col min="5385" max="5385" width="15.7109375" style="157" customWidth="1"/>
    <col min="5386" max="5386" width="15.5703125" style="157" customWidth="1"/>
    <col min="5387" max="5629" width="11.5703125" style="157"/>
    <col min="5630" max="5630" width="8.7109375" style="157" customWidth="1"/>
    <col min="5631" max="5634" width="17.85546875" style="157" customWidth="1"/>
    <col min="5635" max="5635" width="14.140625" style="157" customWidth="1"/>
    <col min="5636" max="5636" width="11.5703125" style="157" customWidth="1"/>
    <col min="5637" max="5637" width="18.140625" style="157" customWidth="1"/>
    <col min="5638" max="5638" width="17.5703125" style="157" customWidth="1"/>
    <col min="5639" max="5639" width="17.7109375" style="157" customWidth="1"/>
    <col min="5640" max="5640" width="17.140625" style="157" customWidth="1"/>
    <col min="5641" max="5641" width="15.7109375" style="157" customWidth="1"/>
    <col min="5642" max="5642" width="15.5703125" style="157" customWidth="1"/>
    <col min="5643" max="5885" width="11.5703125" style="157"/>
    <col min="5886" max="5886" width="8.7109375" style="157" customWidth="1"/>
    <col min="5887" max="5890" width="17.85546875" style="157" customWidth="1"/>
    <col min="5891" max="5891" width="14.140625" style="157" customWidth="1"/>
    <col min="5892" max="5892" width="11.5703125" style="157" customWidth="1"/>
    <col min="5893" max="5893" width="18.140625" style="157" customWidth="1"/>
    <col min="5894" max="5894" width="17.5703125" style="157" customWidth="1"/>
    <col min="5895" max="5895" width="17.7109375" style="157" customWidth="1"/>
    <col min="5896" max="5896" width="17.140625" style="157" customWidth="1"/>
    <col min="5897" max="5897" width="15.7109375" style="157" customWidth="1"/>
    <col min="5898" max="5898" width="15.5703125" style="157" customWidth="1"/>
    <col min="5899" max="6141" width="11.5703125" style="157"/>
    <col min="6142" max="6142" width="8.7109375" style="157" customWidth="1"/>
    <col min="6143" max="6146" width="17.85546875" style="157" customWidth="1"/>
    <col min="6147" max="6147" width="14.140625" style="157" customWidth="1"/>
    <col min="6148" max="6148" width="11.5703125" style="157" customWidth="1"/>
    <col min="6149" max="6149" width="18.140625" style="157" customWidth="1"/>
    <col min="6150" max="6150" width="17.5703125" style="157" customWidth="1"/>
    <col min="6151" max="6151" width="17.7109375" style="157" customWidth="1"/>
    <col min="6152" max="6152" width="17.140625" style="157" customWidth="1"/>
    <col min="6153" max="6153" width="15.7109375" style="157" customWidth="1"/>
    <col min="6154" max="6154" width="15.5703125" style="157" customWidth="1"/>
    <col min="6155" max="6397" width="11.5703125" style="157"/>
    <col min="6398" max="6398" width="8.7109375" style="157" customWidth="1"/>
    <col min="6399" max="6402" width="17.85546875" style="157" customWidth="1"/>
    <col min="6403" max="6403" width="14.140625" style="157" customWidth="1"/>
    <col min="6404" max="6404" width="11.5703125" style="157" customWidth="1"/>
    <col min="6405" max="6405" width="18.140625" style="157" customWidth="1"/>
    <col min="6406" max="6406" width="17.5703125" style="157" customWidth="1"/>
    <col min="6407" max="6407" width="17.7109375" style="157" customWidth="1"/>
    <col min="6408" max="6408" width="17.140625" style="157" customWidth="1"/>
    <col min="6409" max="6409" width="15.7109375" style="157" customWidth="1"/>
    <col min="6410" max="6410" width="15.5703125" style="157" customWidth="1"/>
    <col min="6411" max="6653" width="11.5703125" style="157"/>
    <col min="6654" max="6654" width="8.7109375" style="157" customWidth="1"/>
    <col min="6655" max="6658" width="17.85546875" style="157" customWidth="1"/>
    <col min="6659" max="6659" width="14.140625" style="157" customWidth="1"/>
    <col min="6660" max="6660" width="11.5703125" style="157" customWidth="1"/>
    <col min="6661" max="6661" width="18.140625" style="157" customWidth="1"/>
    <col min="6662" max="6662" width="17.5703125" style="157" customWidth="1"/>
    <col min="6663" max="6663" width="17.7109375" style="157" customWidth="1"/>
    <col min="6664" max="6664" width="17.140625" style="157" customWidth="1"/>
    <col min="6665" max="6665" width="15.7109375" style="157" customWidth="1"/>
    <col min="6666" max="6666" width="15.5703125" style="157" customWidth="1"/>
    <col min="6667" max="6909" width="11.5703125" style="157"/>
    <col min="6910" max="6910" width="8.7109375" style="157" customWidth="1"/>
    <col min="6911" max="6914" width="17.85546875" style="157" customWidth="1"/>
    <col min="6915" max="6915" width="14.140625" style="157" customWidth="1"/>
    <col min="6916" max="6916" width="11.5703125" style="157" customWidth="1"/>
    <col min="6917" max="6917" width="18.140625" style="157" customWidth="1"/>
    <col min="6918" max="6918" width="17.5703125" style="157" customWidth="1"/>
    <col min="6919" max="6919" width="17.7109375" style="157" customWidth="1"/>
    <col min="6920" max="6920" width="17.140625" style="157" customWidth="1"/>
    <col min="6921" max="6921" width="15.7109375" style="157" customWidth="1"/>
    <col min="6922" max="6922" width="15.5703125" style="157" customWidth="1"/>
    <col min="6923" max="7165" width="11.5703125" style="157"/>
    <col min="7166" max="7166" width="8.7109375" style="157" customWidth="1"/>
    <col min="7167" max="7170" width="17.85546875" style="157" customWidth="1"/>
    <col min="7171" max="7171" width="14.140625" style="157" customWidth="1"/>
    <col min="7172" max="7172" width="11.5703125" style="157" customWidth="1"/>
    <col min="7173" max="7173" width="18.140625" style="157" customWidth="1"/>
    <col min="7174" max="7174" width="17.5703125" style="157" customWidth="1"/>
    <col min="7175" max="7175" width="17.7109375" style="157" customWidth="1"/>
    <col min="7176" max="7176" width="17.140625" style="157" customWidth="1"/>
    <col min="7177" max="7177" width="15.7109375" style="157" customWidth="1"/>
    <col min="7178" max="7178" width="15.5703125" style="157" customWidth="1"/>
    <col min="7179" max="7421" width="11.5703125" style="157"/>
    <col min="7422" max="7422" width="8.7109375" style="157" customWidth="1"/>
    <col min="7423" max="7426" width="17.85546875" style="157" customWidth="1"/>
    <col min="7427" max="7427" width="14.140625" style="157" customWidth="1"/>
    <col min="7428" max="7428" width="11.5703125" style="157" customWidth="1"/>
    <col min="7429" max="7429" width="18.140625" style="157" customWidth="1"/>
    <col min="7430" max="7430" width="17.5703125" style="157" customWidth="1"/>
    <col min="7431" max="7431" width="17.7109375" style="157" customWidth="1"/>
    <col min="7432" max="7432" width="17.140625" style="157" customWidth="1"/>
    <col min="7433" max="7433" width="15.7109375" style="157" customWidth="1"/>
    <col min="7434" max="7434" width="15.5703125" style="157" customWidth="1"/>
    <col min="7435" max="7677" width="11.5703125" style="157"/>
    <col min="7678" max="7678" width="8.7109375" style="157" customWidth="1"/>
    <col min="7679" max="7682" width="17.85546875" style="157" customWidth="1"/>
    <col min="7683" max="7683" width="14.140625" style="157" customWidth="1"/>
    <col min="7684" max="7684" width="11.5703125" style="157" customWidth="1"/>
    <col min="7685" max="7685" width="18.140625" style="157" customWidth="1"/>
    <col min="7686" max="7686" width="17.5703125" style="157" customWidth="1"/>
    <col min="7687" max="7687" width="17.7109375" style="157" customWidth="1"/>
    <col min="7688" max="7688" width="17.140625" style="157" customWidth="1"/>
    <col min="7689" max="7689" width="15.7109375" style="157" customWidth="1"/>
    <col min="7690" max="7690" width="15.5703125" style="157" customWidth="1"/>
    <col min="7691" max="7933" width="11.5703125" style="157"/>
    <col min="7934" max="7934" width="8.7109375" style="157" customWidth="1"/>
    <col min="7935" max="7938" width="17.85546875" style="157" customWidth="1"/>
    <col min="7939" max="7939" width="14.140625" style="157" customWidth="1"/>
    <col min="7940" max="7940" width="11.5703125" style="157" customWidth="1"/>
    <col min="7941" max="7941" width="18.140625" style="157" customWidth="1"/>
    <col min="7942" max="7942" width="17.5703125" style="157" customWidth="1"/>
    <col min="7943" max="7943" width="17.7109375" style="157" customWidth="1"/>
    <col min="7944" max="7944" width="17.140625" style="157" customWidth="1"/>
    <col min="7945" max="7945" width="15.7109375" style="157" customWidth="1"/>
    <col min="7946" max="7946" width="15.5703125" style="157" customWidth="1"/>
    <col min="7947" max="8189" width="11.5703125" style="157"/>
    <col min="8190" max="8190" width="8.7109375" style="157" customWidth="1"/>
    <col min="8191" max="8194" width="17.85546875" style="157" customWidth="1"/>
    <col min="8195" max="8195" width="14.140625" style="157" customWidth="1"/>
    <col min="8196" max="8196" width="11.5703125" style="157" customWidth="1"/>
    <col min="8197" max="8197" width="18.140625" style="157" customWidth="1"/>
    <col min="8198" max="8198" width="17.5703125" style="157" customWidth="1"/>
    <col min="8199" max="8199" width="17.7109375" style="157" customWidth="1"/>
    <col min="8200" max="8200" width="17.140625" style="157" customWidth="1"/>
    <col min="8201" max="8201" width="15.7109375" style="157" customWidth="1"/>
    <col min="8202" max="8202" width="15.5703125" style="157" customWidth="1"/>
    <col min="8203" max="8445" width="11.5703125" style="157"/>
    <col min="8446" max="8446" width="8.7109375" style="157" customWidth="1"/>
    <col min="8447" max="8450" width="17.85546875" style="157" customWidth="1"/>
    <col min="8451" max="8451" width="14.140625" style="157" customWidth="1"/>
    <col min="8452" max="8452" width="11.5703125" style="157" customWidth="1"/>
    <col min="8453" max="8453" width="18.140625" style="157" customWidth="1"/>
    <col min="8454" max="8454" width="17.5703125" style="157" customWidth="1"/>
    <col min="8455" max="8455" width="17.7109375" style="157" customWidth="1"/>
    <col min="8456" max="8456" width="17.140625" style="157" customWidth="1"/>
    <col min="8457" max="8457" width="15.7109375" style="157" customWidth="1"/>
    <col min="8458" max="8458" width="15.5703125" style="157" customWidth="1"/>
    <col min="8459" max="8701" width="11.5703125" style="157"/>
    <col min="8702" max="8702" width="8.7109375" style="157" customWidth="1"/>
    <col min="8703" max="8706" width="17.85546875" style="157" customWidth="1"/>
    <col min="8707" max="8707" width="14.140625" style="157" customWidth="1"/>
    <col min="8708" max="8708" width="11.5703125" style="157" customWidth="1"/>
    <col min="8709" max="8709" width="18.140625" style="157" customWidth="1"/>
    <col min="8710" max="8710" width="17.5703125" style="157" customWidth="1"/>
    <col min="8711" max="8711" width="17.7109375" style="157" customWidth="1"/>
    <col min="8712" max="8712" width="17.140625" style="157" customWidth="1"/>
    <col min="8713" max="8713" width="15.7109375" style="157" customWidth="1"/>
    <col min="8714" max="8714" width="15.5703125" style="157" customWidth="1"/>
    <col min="8715" max="8957" width="11.5703125" style="157"/>
    <col min="8958" max="8958" width="8.7109375" style="157" customWidth="1"/>
    <col min="8959" max="8962" width="17.85546875" style="157" customWidth="1"/>
    <col min="8963" max="8963" width="14.140625" style="157" customWidth="1"/>
    <col min="8964" max="8964" width="11.5703125" style="157" customWidth="1"/>
    <col min="8965" max="8965" width="18.140625" style="157" customWidth="1"/>
    <col min="8966" max="8966" width="17.5703125" style="157" customWidth="1"/>
    <col min="8967" max="8967" width="17.7109375" style="157" customWidth="1"/>
    <col min="8968" max="8968" width="17.140625" style="157" customWidth="1"/>
    <col min="8969" max="8969" width="15.7109375" style="157" customWidth="1"/>
    <col min="8970" max="8970" width="15.5703125" style="157" customWidth="1"/>
    <col min="8971" max="9213" width="11.5703125" style="157"/>
    <col min="9214" max="9214" width="8.7109375" style="157" customWidth="1"/>
    <col min="9215" max="9218" width="17.85546875" style="157" customWidth="1"/>
    <col min="9219" max="9219" width="14.140625" style="157" customWidth="1"/>
    <col min="9220" max="9220" width="11.5703125" style="157" customWidth="1"/>
    <col min="9221" max="9221" width="18.140625" style="157" customWidth="1"/>
    <col min="9222" max="9222" width="17.5703125" style="157" customWidth="1"/>
    <col min="9223" max="9223" width="17.7109375" style="157" customWidth="1"/>
    <col min="9224" max="9224" width="17.140625" style="157" customWidth="1"/>
    <col min="9225" max="9225" width="15.7109375" style="157" customWidth="1"/>
    <col min="9226" max="9226" width="15.5703125" style="157" customWidth="1"/>
    <col min="9227" max="9469" width="11.5703125" style="157"/>
    <col min="9470" max="9470" width="8.7109375" style="157" customWidth="1"/>
    <col min="9471" max="9474" width="17.85546875" style="157" customWidth="1"/>
    <col min="9475" max="9475" width="14.140625" style="157" customWidth="1"/>
    <col min="9476" max="9476" width="11.5703125" style="157" customWidth="1"/>
    <col min="9477" max="9477" width="18.140625" style="157" customWidth="1"/>
    <col min="9478" max="9478" width="17.5703125" style="157" customWidth="1"/>
    <col min="9479" max="9479" width="17.7109375" style="157" customWidth="1"/>
    <col min="9480" max="9480" width="17.140625" style="157" customWidth="1"/>
    <col min="9481" max="9481" width="15.7109375" style="157" customWidth="1"/>
    <col min="9482" max="9482" width="15.5703125" style="157" customWidth="1"/>
    <col min="9483" max="9725" width="11.5703125" style="157"/>
    <col min="9726" max="9726" width="8.7109375" style="157" customWidth="1"/>
    <col min="9727" max="9730" width="17.85546875" style="157" customWidth="1"/>
    <col min="9731" max="9731" width="14.140625" style="157" customWidth="1"/>
    <col min="9732" max="9732" width="11.5703125" style="157" customWidth="1"/>
    <col min="9733" max="9733" width="18.140625" style="157" customWidth="1"/>
    <col min="9734" max="9734" width="17.5703125" style="157" customWidth="1"/>
    <col min="9735" max="9735" width="17.7109375" style="157" customWidth="1"/>
    <col min="9736" max="9736" width="17.140625" style="157" customWidth="1"/>
    <col min="9737" max="9737" width="15.7109375" style="157" customWidth="1"/>
    <col min="9738" max="9738" width="15.5703125" style="157" customWidth="1"/>
    <col min="9739" max="9981" width="11.5703125" style="157"/>
    <col min="9982" max="9982" width="8.7109375" style="157" customWidth="1"/>
    <col min="9983" max="9986" width="17.85546875" style="157" customWidth="1"/>
    <col min="9987" max="9987" width="14.140625" style="157" customWidth="1"/>
    <col min="9988" max="9988" width="11.5703125" style="157" customWidth="1"/>
    <col min="9989" max="9989" width="18.140625" style="157" customWidth="1"/>
    <col min="9990" max="9990" width="17.5703125" style="157" customWidth="1"/>
    <col min="9991" max="9991" width="17.7109375" style="157" customWidth="1"/>
    <col min="9992" max="9992" width="17.140625" style="157" customWidth="1"/>
    <col min="9993" max="9993" width="15.7109375" style="157" customWidth="1"/>
    <col min="9994" max="9994" width="15.5703125" style="157" customWidth="1"/>
    <col min="9995" max="10237" width="11.5703125" style="157"/>
    <col min="10238" max="10238" width="8.7109375" style="157" customWidth="1"/>
    <col min="10239" max="10242" width="17.85546875" style="157" customWidth="1"/>
    <col min="10243" max="10243" width="14.140625" style="157" customWidth="1"/>
    <col min="10244" max="10244" width="11.5703125" style="157" customWidth="1"/>
    <col min="10245" max="10245" width="18.140625" style="157" customWidth="1"/>
    <col min="10246" max="10246" width="17.5703125" style="157" customWidth="1"/>
    <col min="10247" max="10247" width="17.7109375" style="157" customWidth="1"/>
    <col min="10248" max="10248" width="17.140625" style="157" customWidth="1"/>
    <col min="10249" max="10249" width="15.7109375" style="157" customWidth="1"/>
    <col min="10250" max="10250" width="15.5703125" style="157" customWidth="1"/>
    <col min="10251" max="10493" width="11.5703125" style="157"/>
    <col min="10494" max="10494" width="8.7109375" style="157" customWidth="1"/>
    <col min="10495" max="10498" width="17.85546875" style="157" customWidth="1"/>
    <col min="10499" max="10499" width="14.140625" style="157" customWidth="1"/>
    <col min="10500" max="10500" width="11.5703125" style="157" customWidth="1"/>
    <col min="10501" max="10501" width="18.140625" style="157" customWidth="1"/>
    <col min="10502" max="10502" width="17.5703125" style="157" customWidth="1"/>
    <col min="10503" max="10503" width="17.7109375" style="157" customWidth="1"/>
    <col min="10504" max="10504" width="17.140625" style="157" customWidth="1"/>
    <col min="10505" max="10505" width="15.7109375" style="157" customWidth="1"/>
    <col min="10506" max="10506" width="15.5703125" style="157" customWidth="1"/>
    <col min="10507" max="10749" width="11.5703125" style="157"/>
    <col min="10750" max="10750" width="8.7109375" style="157" customWidth="1"/>
    <col min="10751" max="10754" width="17.85546875" style="157" customWidth="1"/>
    <col min="10755" max="10755" width="14.140625" style="157" customWidth="1"/>
    <col min="10756" max="10756" width="11.5703125" style="157" customWidth="1"/>
    <col min="10757" max="10757" width="18.140625" style="157" customWidth="1"/>
    <col min="10758" max="10758" width="17.5703125" style="157" customWidth="1"/>
    <col min="10759" max="10759" width="17.7109375" style="157" customWidth="1"/>
    <col min="10760" max="10760" width="17.140625" style="157" customWidth="1"/>
    <col min="10761" max="10761" width="15.7109375" style="157" customWidth="1"/>
    <col min="10762" max="10762" width="15.5703125" style="157" customWidth="1"/>
    <col min="10763" max="11005" width="11.5703125" style="157"/>
    <col min="11006" max="11006" width="8.7109375" style="157" customWidth="1"/>
    <col min="11007" max="11010" width="17.85546875" style="157" customWidth="1"/>
    <col min="11011" max="11011" width="14.140625" style="157" customWidth="1"/>
    <col min="11012" max="11012" width="11.5703125" style="157" customWidth="1"/>
    <col min="11013" max="11013" width="18.140625" style="157" customWidth="1"/>
    <col min="11014" max="11014" width="17.5703125" style="157" customWidth="1"/>
    <col min="11015" max="11015" width="17.7109375" style="157" customWidth="1"/>
    <col min="11016" max="11016" width="17.140625" style="157" customWidth="1"/>
    <col min="11017" max="11017" width="15.7109375" style="157" customWidth="1"/>
    <col min="11018" max="11018" width="15.5703125" style="157" customWidth="1"/>
    <col min="11019" max="11261" width="11.5703125" style="157"/>
    <col min="11262" max="11262" width="8.7109375" style="157" customWidth="1"/>
    <col min="11263" max="11266" width="17.85546875" style="157" customWidth="1"/>
    <col min="11267" max="11267" width="14.140625" style="157" customWidth="1"/>
    <col min="11268" max="11268" width="11.5703125" style="157" customWidth="1"/>
    <col min="11269" max="11269" width="18.140625" style="157" customWidth="1"/>
    <col min="11270" max="11270" width="17.5703125" style="157" customWidth="1"/>
    <col min="11271" max="11271" width="17.7109375" style="157" customWidth="1"/>
    <col min="11272" max="11272" width="17.140625" style="157" customWidth="1"/>
    <col min="11273" max="11273" width="15.7109375" style="157" customWidth="1"/>
    <col min="11274" max="11274" width="15.5703125" style="157" customWidth="1"/>
    <col min="11275" max="11517" width="11.5703125" style="157"/>
    <col min="11518" max="11518" width="8.7109375" style="157" customWidth="1"/>
    <col min="11519" max="11522" width="17.85546875" style="157" customWidth="1"/>
    <col min="11523" max="11523" width="14.140625" style="157" customWidth="1"/>
    <col min="11524" max="11524" width="11.5703125" style="157" customWidth="1"/>
    <col min="11525" max="11525" width="18.140625" style="157" customWidth="1"/>
    <col min="11526" max="11526" width="17.5703125" style="157" customWidth="1"/>
    <col min="11527" max="11527" width="17.7109375" style="157" customWidth="1"/>
    <col min="11528" max="11528" width="17.140625" style="157" customWidth="1"/>
    <col min="11529" max="11529" width="15.7109375" style="157" customWidth="1"/>
    <col min="11530" max="11530" width="15.5703125" style="157" customWidth="1"/>
    <col min="11531" max="11773" width="11.5703125" style="157"/>
    <col min="11774" max="11774" width="8.7109375" style="157" customWidth="1"/>
    <col min="11775" max="11778" width="17.85546875" style="157" customWidth="1"/>
    <col min="11779" max="11779" width="14.140625" style="157" customWidth="1"/>
    <col min="11780" max="11780" width="11.5703125" style="157" customWidth="1"/>
    <col min="11781" max="11781" width="18.140625" style="157" customWidth="1"/>
    <col min="11782" max="11782" width="17.5703125" style="157" customWidth="1"/>
    <col min="11783" max="11783" width="17.7109375" style="157" customWidth="1"/>
    <col min="11784" max="11784" width="17.140625" style="157" customWidth="1"/>
    <col min="11785" max="11785" width="15.7109375" style="157" customWidth="1"/>
    <col min="11786" max="11786" width="15.5703125" style="157" customWidth="1"/>
    <col min="11787" max="12029" width="11.5703125" style="157"/>
    <col min="12030" max="12030" width="8.7109375" style="157" customWidth="1"/>
    <col min="12031" max="12034" width="17.85546875" style="157" customWidth="1"/>
    <col min="12035" max="12035" width="14.140625" style="157" customWidth="1"/>
    <col min="12036" max="12036" width="11.5703125" style="157" customWidth="1"/>
    <col min="12037" max="12037" width="18.140625" style="157" customWidth="1"/>
    <col min="12038" max="12038" width="17.5703125" style="157" customWidth="1"/>
    <col min="12039" max="12039" width="17.7109375" style="157" customWidth="1"/>
    <col min="12040" max="12040" width="17.140625" style="157" customWidth="1"/>
    <col min="12041" max="12041" width="15.7109375" style="157" customWidth="1"/>
    <col min="12042" max="12042" width="15.5703125" style="157" customWidth="1"/>
    <col min="12043" max="12285" width="11.5703125" style="157"/>
    <col min="12286" max="12286" width="8.7109375" style="157" customWidth="1"/>
    <col min="12287" max="12290" width="17.85546875" style="157" customWidth="1"/>
    <col min="12291" max="12291" width="14.140625" style="157" customWidth="1"/>
    <col min="12292" max="12292" width="11.5703125" style="157" customWidth="1"/>
    <col min="12293" max="12293" width="18.140625" style="157" customWidth="1"/>
    <col min="12294" max="12294" width="17.5703125" style="157" customWidth="1"/>
    <col min="12295" max="12295" width="17.7109375" style="157" customWidth="1"/>
    <col min="12296" max="12296" width="17.140625" style="157" customWidth="1"/>
    <col min="12297" max="12297" width="15.7109375" style="157" customWidth="1"/>
    <col min="12298" max="12298" width="15.5703125" style="157" customWidth="1"/>
    <col min="12299" max="12541" width="11.5703125" style="157"/>
    <col min="12542" max="12542" width="8.7109375" style="157" customWidth="1"/>
    <col min="12543" max="12546" width="17.85546875" style="157" customWidth="1"/>
    <col min="12547" max="12547" width="14.140625" style="157" customWidth="1"/>
    <col min="12548" max="12548" width="11.5703125" style="157" customWidth="1"/>
    <col min="12549" max="12549" width="18.140625" style="157" customWidth="1"/>
    <col min="12550" max="12550" width="17.5703125" style="157" customWidth="1"/>
    <col min="12551" max="12551" width="17.7109375" style="157" customWidth="1"/>
    <col min="12552" max="12552" width="17.140625" style="157" customWidth="1"/>
    <col min="12553" max="12553" width="15.7109375" style="157" customWidth="1"/>
    <col min="12554" max="12554" width="15.5703125" style="157" customWidth="1"/>
    <col min="12555" max="12797" width="11.5703125" style="157"/>
    <col min="12798" max="12798" width="8.7109375" style="157" customWidth="1"/>
    <col min="12799" max="12802" width="17.85546875" style="157" customWidth="1"/>
    <col min="12803" max="12803" width="14.140625" style="157" customWidth="1"/>
    <col min="12804" max="12804" width="11.5703125" style="157" customWidth="1"/>
    <col min="12805" max="12805" width="18.140625" style="157" customWidth="1"/>
    <col min="12806" max="12806" width="17.5703125" style="157" customWidth="1"/>
    <col min="12807" max="12807" width="17.7109375" style="157" customWidth="1"/>
    <col min="12808" max="12808" width="17.140625" style="157" customWidth="1"/>
    <col min="12809" max="12809" width="15.7109375" style="157" customWidth="1"/>
    <col min="12810" max="12810" width="15.5703125" style="157" customWidth="1"/>
    <col min="12811" max="13053" width="11.5703125" style="157"/>
    <col min="13054" max="13054" width="8.7109375" style="157" customWidth="1"/>
    <col min="13055" max="13058" width="17.85546875" style="157" customWidth="1"/>
    <col min="13059" max="13059" width="14.140625" style="157" customWidth="1"/>
    <col min="13060" max="13060" width="11.5703125" style="157" customWidth="1"/>
    <col min="13061" max="13061" width="18.140625" style="157" customWidth="1"/>
    <col min="13062" max="13062" width="17.5703125" style="157" customWidth="1"/>
    <col min="13063" max="13063" width="17.7109375" style="157" customWidth="1"/>
    <col min="13064" max="13064" width="17.140625" style="157" customWidth="1"/>
    <col min="13065" max="13065" width="15.7109375" style="157" customWidth="1"/>
    <col min="13066" max="13066" width="15.5703125" style="157" customWidth="1"/>
    <col min="13067" max="13309" width="11.5703125" style="157"/>
    <col min="13310" max="13310" width="8.7109375" style="157" customWidth="1"/>
    <col min="13311" max="13314" width="17.85546875" style="157" customWidth="1"/>
    <col min="13315" max="13315" width="14.140625" style="157" customWidth="1"/>
    <col min="13316" max="13316" width="11.5703125" style="157" customWidth="1"/>
    <col min="13317" max="13317" width="18.140625" style="157" customWidth="1"/>
    <col min="13318" max="13318" width="17.5703125" style="157" customWidth="1"/>
    <col min="13319" max="13319" width="17.7109375" style="157" customWidth="1"/>
    <col min="13320" max="13320" width="17.140625" style="157" customWidth="1"/>
    <col min="13321" max="13321" width="15.7109375" style="157" customWidth="1"/>
    <col min="13322" max="13322" width="15.5703125" style="157" customWidth="1"/>
    <col min="13323" max="13565" width="11.5703125" style="157"/>
    <col min="13566" max="13566" width="8.7109375" style="157" customWidth="1"/>
    <col min="13567" max="13570" width="17.85546875" style="157" customWidth="1"/>
    <col min="13571" max="13571" width="14.140625" style="157" customWidth="1"/>
    <col min="13572" max="13572" width="11.5703125" style="157" customWidth="1"/>
    <col min="13573" max="13573" width="18.140625" style="157" customWidth="1"/>
    <col min="13574" max="13574" width="17.5703125" style="157" customWidth="1"/>
    <col min="13575" max="13575" width="17.7109375" style="157" customWidth="1"/>
    <col min="13576" max="13576" width="17.140625" style="157" customWidth="1"/>
    <col min="13577" max="13577" width="15.7109375" style="157" customWidth="1"/>
    <col min="13578" max="13578" width="15.5703125" style="157" customWidth="1"/>
    <col min="13579" max="13821" width="11.5703125" style="157"/>
    <col min="13822" max="13822" width="8.7109375" style="157" customWidth="1"/>
    <col min="13823" max="13826" width="17.85546875" style="157" customWidth="1"/>
    <col min="13827" max="13827" width="14.140625" style="157" customWidth="1"/>
    <col min="13828" max="13828" width="11.5703125" style="157" customWidth="1"/>
    <col min="13829" max="13829" width="18.140625" style="157" customWidth="1"/>
    <col min="13830" max="13830" width="17.5703125" style="157" customWidth="1"/>
    <col min="13831" max="13831" width="17.7109375" style="157" customWidth="1"/>
    <col min="13832" max="13832" width="17.140625" style="157" customWidth="1"/>
    <col min="13833" max="13833" width="15.7109375" style="157" customWidth="1"/>
    <col min="13834" max="13834" width="15.5703125" style="157" customWidth="1"/>
    <col min="13835" max="14077" width="11.5703125" style="157"/>
    <col min="14078" max="14078" width="8.7109375" style="157" customWidth="1"/>
    <col min="14079" max="14082" width="17.85546875" style="157" customWidth="1"/>
    <col min="14083" max="14083" width="14.140625" style="157" customWidth="1"/>
    <col min="14084" max="14084" width="11.5703125" style="157" customWidth="1"/>
    <col min="14085" max="14085" width="18.140625" style="157" customWidth="1"/>
    <col min="14086" max="14086" width="17.5703125" style="157" customWidth="1"/>
    <col min="14087" max="14087" width="17.7109375" style="157" customWidth="1"/>
    <col min="14088" max="14088" width="17.140625" style="157" customWidth="1"/>
    <col min="14089" max="14089" width="15.7109375" style="157" customWidth="1"/>
    <col min="14090" max="14090" width="15.5703125" style="157" customWidth="1"/>
    <col min="14091" max="14333" width="11.5703125" style="157"/>
    <col min="14334" max="14334" width="8.7109375" style="157" customWidth="1"/>
    <col min="14335" max="14338" width="17.85546875" style="157" customWidth="1"/>
    <col min="14339" max="14339" width="14.140625" style="157" customWidth="1"/>
    <col min="14340" max="14340" width="11.5703125" style="157" customWidth="1"/>
    <col min="14341" max="14341" width="18.140625" style="157" customWidth="1"/>
    <col min="14342" max="14342" width="17.5703125" style="157" customWidth="1"/>
    <col min="14343" max="14343" width="17.7109375" style="157" customWidth="1"/>
    <col min="14344" max="14344" width="17.140625" style="157" customWidth="1"/>
    <col min="14345" max="14345" width="15.7109375" style="157" customWidth="1"/>
    <col min="14346" max="14346" width="15.5703125" style="157" customWidth="1"/>
    <col min="14347" max="14589" width="11.5703125" style="157"/>
    <col min="14590" max="14590" width="8.7109375" style="157" customWidth="1"/>
    <col min="14591" max="14594" width="17.85546875" style="157" customWidth="1"/>
    <col min="14595" max="14595" width="14.140625" style="157" customWidth="1"/>
    <col min="14596" max="14596" width="11.5703125" style="157" customWidth="1"/>
    <col min="14597" max="14597" width="18.140625" style="157" customWidth="1"/>
    <col min="14598" max="14598" width="17.5703125" style="157" customWidth="1"/>
    <col min="14599" max="14599" width="17.7109375" style="157" customWidth="1"/>
    <col min="14600" max="14600" width="17.140625" style="157" customWidth="1"/>
    <col min="14601" max="14601" width="15.7109375" style="157" customWidth="1"/>
    <col min="14602" max="14602" width="15.5703125" style="157" customWidth="1"/>
    <col min="14603" max="14845" width="11.5703125" style="157"/>
    <col min="14846" max="14846" width="8.7109375" style="157" customWidth="1"/>
    <col min="14847" max="14850" width="17.85546875" style="157" customWidth="1"/>
    <col min="14851" max="14851" width="14.140625" style="157" customWidth="1"/>
    <col min="14852" max="14852" width="11.5703125" style="157" customWidth="1"/>
    <col min="14853" max="14853" width="18.140625" style="157" customWidth="1"/>
    <col min="14854" max="14854" width="17.5703125" style="157" customWidth="1"/>
    <col min="14855" max="14855" width="17.7109375" style="157" customWidth="1"/>
    <col min="14856" max="14856" width="17.140625" style="157" customWidth="1"/>
    <col min="14857" max="14857" width="15.7109375" style="157" customWidth="1"/>
    <col min="14858" max="14858" width="15.5703125" style="157" customWidth="1"/>
    <col min="14859" max="15101" width="11.5703125" style="157"/>
    <col min="15102" max="15102" width="8.7109375" style="157" customWidth="1"/>
    <col min="15103" max="15106" width="17.85546875" style="157" customWidth="1"/>
    <col min="15107" max="15107" width="14.140625" style="157" customWidth="1"/>
    <col min="15108" max="15108" width="11.5703125" style="157" customWidth="1"/>
    <col min="15109" max="15109" width="18.140625" style="157" customWidth="1"/>
    <col min="15110" max="15110" width="17.5703125" style="157" customWidth="1"/>
    <col min="15111" max="15111" width="17.7109375" style="157" customWidth="1"/>
    <col min="15112" max="15112" width="17.140625" style="157" customWidth="1"/>
    <col min="15113" max="15113" width="15.7109375" style="157" customWidth="1"/>
    <col min="15114" max="15114" width="15.5703125" style="157" customWidth="1"/>
    <col min="15115" max="15357" width="11.5703125" style="157"/>
    <col min="15358" max="15358" width="8.7109375" style="157" customWidth="1"/>
    <col min="15359" max="15362" width="17.85546875" style="157" customWidth="1"/>
    <col min="15363" max="15363" width="14.140625" style="157" customWidth="1"/>
    <col min="15364" max="15364" width="11.5703125" style="157" customWidth="1"/>
    <col min="15365" max="15365" width="18.140625" style="157" customWidth="1"/>
    <col min="15366" max="15366" width="17.5703125" style="157" customWidth="1"/>
    <col min="15367" max="15367" width="17.7109375" style="157" customWidth="1"/>
    <col min="15368" max="15368" width="17.140625" style="157" customWidth="1"/>
    <col min="15369" max="15369" width="15.7109375" style="157" customWidth="1"/>
    <col min="15370" max="15370" width="15.5703125" style="157" customWidth="1"/>
    <col min="15371" max="15613" width="11.5703125" style="157"/>
    <col min="15614" max="15614" width="8.7109375" style="157" customWidth="1"/>
    <col min="15615" max="15618" width="17.85546875" style="157" customWidth="1"/>
    <col min="15619" max="15619" width="14.140625" style="157" customWidth="1"/>
    <col min="15620" max="15620" width="11.5703125" style="157" customWidth="1"/>
    <col min="15621" max="15621" width="18.140625" style="157" customWidth="1"/>
    <col min="15622" max="15622" width="17.5703125" style="157" customWidth="1"/>
    <col min="15623" max="15623" width="17.7109375" style="157" customWidth="1"/>
    <col min="15624" max="15624" width="17.140625" style="157" customWidth="1"/>
    <col min="15625" max="15625" width="15.7109375" style="157" customWidth="1"/>
    <col min="15626" max="15626" width="15.5703125" style="157" customWidth="1"/>
    <col min="15627" max="15869" width="11.5703125" style="157"/>
    <col min="15870" max="15870" width="8.7109375" style="157" customWidth="1"/>
    <col min="15871" max="15874" width="17.85546875" style="157" customWidth="1"/>
    <col min="15875" max="15875" width="14.140625" style="157" customWidth="1"/>
    <col min="15876" max="15876" width="11.5703125" style="157" customWidth="1"/>
    <col min="15877" max="15877" width="18.140625" style="157" customWidth="1"/>
    <col min="15878" max="15878" width="17.5703125" style="157" customWidth="1"/>
    <col min="15879" max="15879" width="17.7109375" style="157" customWidth="1"/>
    <col min="15880" max="15880" width="17.140625" style="157" customWidth="1"/>
    <col min="15881" max="15881" width="15.7109375" style="157" customWidth="1"/>
    <col min="15882" max="15882" width="15.5703125" style="157" customWidth="1"/>
    <col min="15883" max="16125" width="11.5703125" style="157"/>
    <col min="16126" max="16126" width="8.7109375" style="157" customWidth="1"/>
    <col min="16127" max="16130" width="17.85546875" style="157" customWidth="1"/>
    <col min="16131" max="16131" width="14.140625" style="157" customWidth="1"/>
    <col min="16132" max="16132" width="11.5703125" style="157" customWidth="1"/>
    <col min="16133" max="16133" width="18.140625" style="157" customWidth="1"/>
    <col min="16134" max="16134" width="17.5703125" style="157" customWidth="1"/>
    <col min="16135" max="16135" width="17.7109375" style="157" customWidth="1"/>
    <col min="16136" max="16136" width="17.140625" style="157" customWidth="1"/>
    <col min="16137" max="16137" width="15.7109375" style="157" customWidth="1"/>
    <col min="16138" max="16138" width="15.5703125" style="157" customWidth="1"/>
    <col min="16139" max="16384" width="11.5703125" style="157"/>
  </cols>
  <sheetData>
    <row r="1" spans="2:10" s="156" customFormat="1" ht="34.5" customHeight="1">
      <c r="B1" s="1688" t="s">
        <v>122</v>
      </c>
      <c r="C1" s="1688"/>
      <c r="D1" s="1688"/>
      <c r="E1" s="1688"/>
      <c r="F1" s="1688"/>
    </row>
    <row r="2" spans="2:10" ht="4.5" customHeight="1" thickBot="1">
      <c r="B2" s="41"/>
      <c r="C2" s="41"/>
      <c r="D2" s="41"/>
      <c r="E2" s="41"/>
      <c r="F2" s="41"/>
    </row>
    <row r="3" spans="2:10" ht="28.5" customHeight="1" thickBot="1">
      <c r="B3" s="1634" t="s">
        <v>1</v>
      </c>
      <c r="C3" s="1692" t="s">
        <v>655</v>
      </c>
      <c r="D3" s="1689"/>
      <c r="E3" s="1689"/>
      <c r="F3" s="1690"/>
      <c r="G3" s="160"/>
      <c r="H3" s="1693"/>
      <c r="I3" s="1691"/>
      <c r="J3" s="1691"/>
    </row>
    <row r="4" spans="2:10" s="158" customFormat="1" ht="28.5" customHeight="1" thickBot="1">
      <c r="B4" s="1635"/>
      <c r="C4" s="373" t="s">
        <v>26</v>
      </c>
      <c r="D4" s="49" t="s">
        <v>88</v>
      </c>
      <c r="E4" s="49" t="s">
        <v>123</v>
      </c>
      <c r="F4" s="414" t="s">
        <v>0</v>
      </c>
      <c r="G4" s="161"/>
      <c r="H4" s="1693"/>
      <c r="I4" s="1691"/>
      <c r="J4" s="1691"/>
    </row>
    <row r="5" spans="2:10" ht="20.25" customHeight="1">
      <c r="B5" s="360">
        <v>1</v>
      </c>
      <c r="C5" s="1129">
        <v>1523597.081238748</v>
      </c>
      <c r="D5" s="1130">
        <v>755927.22474067716</v>
      </c>
      <c r="E5" s="1130">
        <v>23294.028204029146</v>
      </c>
      <c r="F5" s="1131">
        <v>2302818.334183454</v>
      </c>
      <c r="G5" s="162"/>
      <c r="H5" s="1138" t="s">
        <v>583</v>
      </c>
      <c r="I5" s="162"/>
      <c r="J5" s="162"/>
    </row>
    <row r="6" spans="2:10" ht="20.25" customHeight="1">
      <c r="B6" s="98">
        <v>2</v>
      </c>
      <c r="C6" s="1132">
        <v>1700315.1510136535</v>
      </c>
      <c r="D6" s="1133">
        <v>864024.61729416624</v>
      </c>
      <c r="E6" s="1133">
        <v>24745.693007860991</v>
      </c>
      <c r="F6" s="1134">
        <v>2589085.4613156808</v>
      </c>
      <c r="G6" s="162"/>
      <c r="H6" s="163"/>
      <c r="I6" s="162"/>
      <c r="J6" s="162"/>
    </row>
    <row r="7" spans="2:10" ht="20.25" customHeight="1">
      <c r="B7" s="98">
        <v>3</v>
      </c>
      <c r="C7" s="1132">
        <v>1854061.9660526102</v>
      </c>
      <c r="D7" s="1133">
        <v>921110.0796396106</v>
      </c>
      <c r="E7" s="1133">
        <v>43686.059045933551</v>
      </c>
      <c r="F7" s="1134">
        <v>2818858.1047381544</v>
      </c>
      <c r="G7" s="162"/>
      <c r="H7" s="163"/>
      <c r="I7" s="162"/>
      <c r="J7" s="162"/>
    </row>
    <row r="8" spans="2:10" ht="20.25" customHeight="1">
      <c r="B8" s="98">
        <v>4</v>
      </c>
      <c r="C8" s="1135">
        <v>1912815.2651806301</v>
      </c>
      <c r="D8" s="1136">
        <v>945261.79093005392</v>
      </c>
      <c r="E8" s="1136">
        <v>62329.938508839361</v>
      </c>
      <c r="F8" s="1137">
        <v>2920406.9946195232</v>
      </c>
      <c r="G8" s="162"/>
      <c r="H8" s="163"/>
      <c r="I8" s="162"/>
      <c r="J8" s="162"/>
    </row>
    <row r="9" spans="2:10" ht="20.25" customHeight="1">
      <c r="B9" s="98">
        <v>5</v>
      </c>
      <c r="C9" s="1144">
        <v>1980000</v>
      </c>
      <c r="D9" s="908">
        <f>'13 R1 FAT 1'!U9</f>
        <v>987517.85328943643</v>
      </c>
      <c r="E9" s="908">
        <f t="shared" ref="E9:E34" si="0">(C9+D9)*1%</f>
        <v>29675.178532894366</v>
      </c>
      <c r="F9" s="914">
        <f t="shared" ref="F9:F34" si="1">SUM(C9:E9)</f>
        <v>2997193.0318223308</v>
      </c>
      <c r="G9" s="162"/>
      <c r="H9" s="1145" t="s">
        <v>584</v>
      </c>
      <c r="I9" s="162"/>
      <c r="J9" s="162"/>
    </row>
    <row r="10" spans="2:10" ht="20.25" customHeight="1">
      <c r="B10" s="98">
        <v>6</v>
      </c>
      <c r="C10" s="949">
        <f>'13 R1 FAT 1'!R10</f>
        <v>2033976.6216092038</v>
      </c>
      <c r="D10" s="908">
        <f>'13 R1 FAT 1'!U10</f>
        <v>1233808.963586611</v>
      </c>
      <c r="E10" s="908">
        <f t="shared" si="0"/>
        <v>32677.855851958149</v>
      </c>
      <c r="F10" s="914">
        <f t="shared" si="1"/>
        <v>3300463.4410477728</v>
      </c>
      <c r="G10" s="162"/>
      <c r="H10" s="163"/>
      <c r="I10" s="162"/>
      <c r="J10" s="162"/>
    </row>
    <row r="11" spans="2:10" ht="20.25" customHeight="1">
      <c r="B11" s="98">
        <v>7</v>
      </c>
      <c r="C11" s="949">
        <f>'13 R1 FAT 1'!R11</f>
        <v>2137438.513626555</v>
      </c>
      <c r="D11" s="908">
        <f>'13 R1 FAT 1'!U11</f>
        <v>1534187.1152716517</v>
      </c>
      <c r="E11" s="908">
        <f t="shared" si="0"/>
        <v>36716.256288982069</v>
      </c>
      <c r="F11" s="914">
        <f t="shared" si="1"/>
        <v>3708341.8851871886</v>
      </c>
      <c r="G11" s="162"/>
      <c r="H11" s="163"/>
      <c r="I11" s="162"/>
      <c r="J11" s="162"/>
    </row>
    <row r="12" spans="2:10" ht="20.25" customHeight="1">
      <c r="B12" s="98">
        <v>8</v>
      </c>
      <c r="C12" s="949">
        <f>'13 R1 FAT 1'!R12</f>
        <v>2245693.2442389107</v>
      </c>
      <c r="D12" s="908">
        <f>'13 R1 FAT 1'!U12</f>
        <v>1722652.7906713283</v>
      </c>
      <c r="E12" s="908">
        <f t="shared" si="0"/>
        <v>39683.460349102395</v>
      </c>
      <c r="F12" s="914">
        <f t="shared" si="1"/>
        <v>4008029.4952593418</v>
      </c>
      <c r="G12" s="162"/>
      <c r="H12" s="163"/>
      <c r="I12" s="162"/>
      <c r="J12" s="162"/>
    </row>
    <row r="13" spans="2:10" ht="20.25" customHeight="1">
      <c r="B13" s="98">
        <v>9</v>
      </c>
      <c r="C13" s="949">
        <f>'13 R1 FAT 1'!R13</f>
        <v>2236337.5618390017</v>
      </c>
      <c r="D13" s="908">
        <f>'13 R1 FAT 1'!U13</f>
        <v>1797028.7303120072</v>
      </c>
      <c r="E13" s="908">
        <f t="shared" si="0"/>
        <v>40333.662921510091</v>
      </c>
      <c r="F13" s="914">
        <f t="shared" si="1"/>
        <v>4073699.9550725189</v>
      </c>
      <c r="G13" s="162"/>
      <c r="H13" s="163"/>
      <c r="I13" s="162"/>
      <c r="J13" s="162"/>
    </row>
    <row r="14" spans="2:10" ht="20.25" customHeight="1">
      <c r="B14" s="98">
        <v>10</v>
      </c>
      <c r="C14" s="949">
        <f>'13 R1 FAT 1'!R14</f>
        <v>2231422.6329661855</v>
      </c>
      <c r="D14" s="908">
        <f>'13 R1 FAT 1'!U14</f>
        <v>1895835.7137177221</v>
      </c>
      <c r="E14" s="908">
        <f t="shared" si="0"/>
        <v>41272.583466839074</v>
      </c>
      <c r="F14" s="914">
        <f t="shared" si="1"/>
        <v>4168530.9301507464</v>
      </c>
      <c r="G14" s="162"/>
      <c r="H14" s="163"/>
      <c r="I14" s="162"/>
      <c r="J14" s="162"/>
    </row>
    <row r="15" spans="2:10" ht="20.25" customHeight="1">
      <c r="B15" s="98">
        <v>11</v>
      </c>
      <c r="C15" s="949">
        <f>'13 R1 FAT 1'!R15</f>
        <v>2230697.1871795147</v>
      </c>
      <c r="D15" s="908">
        <f>'13 R1 FAT 1'!U15</f>
        <v>2091084.8271024216</v>
      </c>
      <c r="E15" s="908">
        <f t="shared" si="0"/>
        <v>43217.820142819364</v>
      </c>
      <c r="F15" s="914">
        <f t="shared" si="1"/>
        <v>4364999.8344247555</v>
      </c>
      <c r="G15" s="162"/>
      <c r="H15" s="163"/>
      <c r="I15" s="162"/>
      <c r="J15" s="162"/>
    </row>
    <row r="16" spans="2:10" ht="20.25" customHeight="1">
      <c r="B16" s="98">
        <v>12</v>
      </c>
      <c r="C16" s="949">
        <f>'13 R1 FAT 1'!R16</f>
        <v>2231802.0443904921</v>
      </c>
      <c r="D16" s="908">
        <f>'13 R1 FAT 1'!U16</f>
        <v>2385128.8489391641</v>
      </c>
      <c r="E16" s="908">
        <f t="shared" si="0"/>
        <v>46169.308933296561</v>
      </c>
      <c r="F16" s="914">
        <f t="shared" si="1"/>
        <v>4663100.202262952</v>
      </c>
      <c r="G16" s="162"/>
      <c r="H16" s="163"/>
      <c r="I16" s="162"/>
      <c r="J16" s="162"/>
    </row>
    <row r="17" spans="2:10" ht="20.25" customHeight="1">
      <c r="B17" s="98">
        <v>13</v>
      </c>
      <c r="C17" s="949">
        <f>'13 R1 FAT 1'!R17</f>
        <v>2230786.8367805546</v>
      </c>
      <c r="D17" s="908">
        <f>'13 R1 FAT 1'!U17</f>
        <v>2388562.3357658512</v>
      </c>
      <c r="E17" s="908">
        <f t="shared" si="0"/>
        <v>46193.491725464053</v>
      </c>
      <c r="F17" s="914">
        <f t="shared" si="1"/>
        <v>4665542.6642718697</v>
      </c>
      <c r="G17" s="162"/>
      <c r="H17" s="163"/>
      <c r="I17" s="162"/>
      <c r="J17" s="162"/>
    </row>
    <row r="18" spans="2:10" ht="20.25" customHeight="1">
      <c r="B18" s="98">
        <v>14</v>
      </c>
      <c r="C18" s="949">
        <f>'13 R1 FAT 1'!R18</f>
        <v>2233993.5260524</v>
      </c>
      <c r="D18" s="908">
        <f>'13 R1 FAT 1'!U18</f>
        <v>2391995.8225925392</v>
      </c>
      <c r="E18" s="908">
        <f t="shared" si="0"/>
        <v>46259.893486449393</v>
      </c>
      <c r="F18" s="914">
        <f t="shared" si="1"/>
        <v>4672249.2421313887</v>
      </c>
      <c r="G18" s="162"/>
      <c r="H18" s="163"/>
      <c r="I18" s="162"/>
      <c r="J18" s="162"/>
    </row>
    <row r="19" spans="2:10" ht="20.25" customHeight="1">
      <c r="B19" s="98">
        <v>15</v>
      </c>
      <c r="C19" s="949">
        <f>'13 R1 FAT 1'!R19</f>
        <v>2237200.2153242463</v>
      </c>
      <c r="D19" s="908">
        <f>'13 R1 FAT 1'!U19</f>
        <v>2395429.3094192278</v>
      </c>
      <c r="E19" s="908">
        <f t="shared" si="0"/>
        <v>46326.29524743474</v>
      </c>
      <c r="F19" s="914">
        <f t="shared" si="1"/>
        <v>4678955.8199909087</v>
      </c>
      <c r="G19" s="162"/>
      <c r="H19" s="163"/>
      <c r="I19" s="162"/>
      <c r="J19" s="162"/>
    </row>
    <row r="20" spans="2:10" ht="20.25" customHeight="1">
      <c r="B20" s="98">
        <v>16</v>
      </c>
      <c r="C20" s="949">
        <f>'13 R1 FAT 1'!R20</f>
        <v>2240139.680490104</v>
      </c>
      <c r="D20" s="908">
        <f>'13 R1 FAT 1'!U20</f>
        <v>2398576.6723436909</v>
      </c>
      <c r="E20" s="908">
        <f t="shared" si="0"/>
        <v>46387.163528337944</v>
      </c>
      <c r="F20" s="914">
        <f t="shared" si="1"/>
        <v>4685103.5163621325</v>
      </c>
      <c r="G20" s="162"/>
      <c r="H20" s="163"/>
      <c r="I20" s="162"/>
      <c r="J20" s="162"/>
    </row>
    <row r="21" spans="2:10" ht="20.25" customHeight="1">
      <c r="B21" s="98">
        <v>17</v>
      </c>
      <c r="C21" s="949">
        <f>'13 R1 FAT 1'!R21</f>
        <v>2242811.9215499754</v>
      </c>
      <c r="D21" s="908">
        <f>'13 R1 FAT 1'!U21</f>
        <v>2401437.9113659309</v>
      </c>
      <c r="E21" s="908">
        <f t="shared" si="0"/>
        <v>46442.498329159062</v>
      </c>
      <c r="F21" s="914">
        <f t="shared" si="1"/>
        <v>4690692.3312450647</v>
      </c>
      <c r="G21" s="162"/>
      <c r="H21" s="163"/>
      <c r="I21" s="162"/>
      <c r="J21" s="162"/>
    </row>
    <row r="22" spans="2:10" ht="20.25" customHeight="1">
      <c r="B22" s="98">
        <v>18</v>
      </c>
      <c r="C22" s="949">
        <f>'13 R1 FAT 1'!R22</f>
        <v>2245484.1626098468</v>
      </c>
      <c r="D22" s="908">
        <f>'13 R1 FAT 1'!U22</f>
        <v>2404299.1503881705</v>
      </c>
      <c r="E22" s="908">
        <f t="shared" si="0"/>
        <v>46497.833129980172</v>
      </c>
      <c r="F22" s="914">
        <f t="shared" si="1"/>
        <v>4696281.1461279979</v>
      </c>
      <c r="G22" s="162"/>
      <c r="H22" s="163"/>
      <c r="I22" s="162"/>
      <c r="J22" s="162"/>
    </row>
    <row r="23" spans="2:10" s="158" customFormat="1" ht="20.25" customHeight="1">
      <c r="B23" s="98">
        <v>19</v>
      </c>
      <c r="C23" s="949">
        <f>'13 R1 FAT 1'!R23</f>
        <v>2248156.4036697173</v>
      </c>
      <c r="D23" s="908">
        <f>'13 R1 FAT 1'!U23</f>
        <v>2407160.3894104101</v>
      </c>
      <c r="E23" s="908">
        <f t="shared" si="0"/>
        <v>46553.167930801268</v>
      </c>
      <c r="F23" s="914">
        <f t="shared" si="1"/>
        <v>4701869.9610109283</v>
      </c>
      <c r="G23" s="162"/>
      <c r="H23" s="163"/>
      <c r="I23" s="162"/>
      <c r="J23" s="162"/>
    </row>
    <row r="24" spans="2:10" ht="20.25" customHeight="1">
      <c r="B24" s="98">
        <v>20</v>
      </c>
      <c r="C24" s="949">
        <f>'13 R1 FAT 1'!R24</f>
        <v>2250561.4206236023</v>
      </c>
      <c r="D24" s="908">
        <f>'13 R1 FAT 1'!U24</f>
        <v>2409735.5045304266</v>
      </c>
      <c r="E24" s="908">
        <f t="shared" si="0"/>
        <v>46602.969251540286</v>
      </c>
      <c r="F24" s="914">
        <f t="shared" si="1"/>
        <v>4706899.8944055689</v>
      </c>
      <c r="G24" s="162"/>
      <c r="H24" s="163"/>
      <c r="I24" s="162"/>
      <c r="J24" s="162"/>
    </row>
    <row r="25" spans="2:10" ht="20.25" customHeight="1">
      <c r="B25" s="98">
        <v>21</v>
      </c>
      <c r="C25" s="949">
        <f>'13 R1 FAT 1'!R25</f>
        <v>2253500.8857894614</v>
      </c>
      <c r="D25" s="908">
        <f>'13 R1 FAT 1'!U25</f>
        <v>2412882.8674548911</v>
      </c>
      <c r="E25" s="908">
        <f t="shared" si="0"/>
        <v>46663.837532443526</v>
      </c>
      <c r="F25" s="914">
        <f t="shared" si="1"/>
        <v>4713047.5907767965</v>
      </c>
      <c r="G25" s="162"/>
      <c r="H25" s="163"/>
      <c r="I25" s="162"/>
      <c r="J25" s="162"/>
    </row>
    <row r="26" spans="2:10" ht="20.25" customHeight="1">
      <c r="B26" s="98">
        <v>22</v>
      </c>
      <c r="C26" s="949">
        <f>'13 R1 FAT 1'!R26</f>
        <v>2256440.3509553187</v>
      </c>
      <c r="D26" s="908">
        <f>'13 R1 FAT 1'!U26</f>
        <v>2416030.2303793547</v>
      </c>
      <c r="E26" s="908">
        <f t="shared" si="0"/>
        <v>46724.705813346729</v>
      </c>
      <c r="F26" s="914">
        <f t="shared" si="1"/>
        <v>4719195.2871480193</v>
      </c>
      <c r="G26" s="162"/>
      <c r="H26" s="163"/>
      <c r="I26" s="162"/>
      <c r="J26" s="162"/>
    </row>
    <row r="27" spans="2:10" s="158" customFormat="1" ht="20.25" customHeight="1">
      <c r="B27" s="98">
        <v>23</v>
      </c>
      <c r="C27" s="949">
        <f>'13 R1 FAT 1'!R27</f>
        <v>2258578.1438032161</v>
      </c>
      <c r="D27" s="908">
        <f>'13 R1 FAT 1'!U27</f>
        <v>2418319.2215971467</v>
      </c>
      <c r="E27" s="908">
        <f t="shared" si="0"/>
        <v>46768.973654003632</v>
      </c>
      <c r="F27" s="914">
        <f t="shared" si="1"/>
        <v>4723666.3390543666</v>
      </c>
      <c r="G27" s="162"/>
      <c r="H27" s="163"/>
      <c r="I27" s="162"/>
      <c r="J27" s="162"/>
    </row>
    <row r="28" spans="2:10" s="158" customFormat="1" ht="20.25" customHeight="1">
      <c r="B28" s="98">
        <v>24</v>
      </c>
      <c r="C28" s="949">
        <f>'13 R1 FAT 1'!R28</f>
        <v>2260715.9366511134</v>
      </c>
      <c r="D28" s="908">
        <f>'13 R1 FAT 1'!U28</f>
        <v>2420608.2128149383</v>
      </c>
      <c r="E28" s="908">
        <f t="shared" si="0"/>
        <v>46813.24149466052</v>
      </c>
      <c r="F28" s="914">
        <f t="shared" si="1"/>
        <v>4728137.390960712</v>
      </c>
      <c r="G28" s="162"/>
      <c r="H28" s="163"/>
      <c r="I28" s="162"/>
      <c r="J28" s="162"/>
    </row>
    <row r="29" spans="2:10" ht="20.25" customHeight="1">
      <c r="B29" s="98">
        <v>25</v>
      </c>
      <c r="C29" s="949">
        <f>'13 R1 FAT 1'!R29</f>
        <v>2262853.7294990104</v>
      </c>
      <c r="D29" s="908">
        <f>'13 R1 FAT 1'!U29</f>
        <v>2422897.2040327298</v>
      </c>
      <c r="E29" s="908">
        <f t="shared" si="0"/>
        <v>46857.509335317409</v>
      </c>
      <c r="F29" s="914">
        <f t="shared" si="1"/>
        <v>4732608.4428670583</v>
      </c>
      <c r="G29" s="162"/>
      <c r="H29" s="163"/>
      <c r="I29" s="162"/>
      <c r="J29" s="162"/>
    </row>
    <row r="30" spans="2:10" ht="20.25" customHeight="1">
      <c r="B30" s="98">
        <v>26</v>
      </c>
      <c r="C30" s="949">
        <f>'13 R1 FAT 1'!R30</f>
        <v>2265525.9705588818</v>
      </c>
      <c r="D30" s="908">
        <f>'13 R1 FAT 1'!U30</f>
        <v>2425758.4430549708</v>
      </c>
      <c r="E30" s="908">
        <f t="shared" si="0"/>
        <v>46912.844136138519</v>
      </c>
      <c r="F30" s="914">
        <f t="shared" si="1"/>
        <v>4738197.2577499906</v>
      </c>
      <c r="G30" s="162"/>
      <c r="H30" s="163"/>
      <c r="I30" s="162"/>
      <c r="J30" s="162"/>
    </row>
    <row r="31" spans="2:10" ht="20.25" customHeight="1">
      <c r="B31" s="98">
        <v>27</v>
      </c>
      <c r="C31" s="949">
        <f>'13 R1 FAT 1'!R31</f>
        <v>2268198.2116187527</v>
      </c>
      <c r="D31" s="908">
        <f>'13 R1 FAT 1'!U31</f>
        <v>2428619.6820772095</v>
      </c>
      <c r="E31" s="908">
        <f t="shared" si="0"/>
        <v>46968.178936959615</v>
      </c>
      <c r="F31" s="914">
        <f t="shared" si="1"/>
        <v>4743786.0726329209</v>
      </c>
      <c r="G31" s="162"/>
      <c r="H31" s="163"/>
      <c r="I31" s="162"/>
      <c r="J31" s="162"/>
    </row>
    <row r="32" spans="2:10" ht="20.25" customHeight="1">
      <c r="B32" s="98">
        <v>28</v>
      </c>
      <c r="C32" s="949">
        <f>'13 R1 FAT 1'!R32</f>
        <v>2270603.2285726368</v>
      </c>
      <c r="D32" s="908">
        <f>'13 R1 FAT 1'!U32</f>
        <v>2431194.7971972255</v>
      </c>
      <c r="E32" s="908">
        <f t="shared" si="0"/>
        <v>47017.980257698626</v>
      </c>
      <c r="F32" s="914">
        <f t="shared" si="1"/>
        <v>4748816.0060275607</v>
      </c>
      <c r="G32" s="162"/>
      <c r="H32" s="163"/>
      <c r="I32" s="162"/>
      <c r="J32" s="162"/>
    </row>
    <row r="33" spans="2:10" ht="20.25" customHeight="1">
      <c r="B33" s="98">
        <v>29</v>
      </c>
      <c r="C33" s="949">
        <f>'13 R1 FAT 1'!R33</f>
        <v>2273275.4696325082</v>
      </c>
      <c r="D33" s="908">
        <f>'13 R1 FAT 1'!U33</f>
        <v>2434056.036219466</v>
      </c>
      <c r="E33" s="908">
        <f t="shared" si="0"/>
        <v>47073.315058519751</v>
      </c>
      <c r="F33" s="914">
        <f t="shared" si="1"/>
        <v>4754404.8209104948</v>
      </c>
      <c r="G33" s="162"/>
      <c r="H33" s="163"/>
      <c r="I33" s="162"/>
      <c r="J33" s="162"/>
    </row>
    <row r="34" spans="2:10" ht="20.25" customHeight="1" thickBot="1">
      <c r="B34" s="100">
        <v>30</v>
      </c>
      <c r="C34" s="949">
        <f>'13 R1 FAT 1'!R34</f>
        <v>2275146.0383744184</v>
      </c>
      <c r="D34" s="908">
        <f>'13 R1 FAT 1'!U34</f>
        <v>2436058.903535034</v>
      </c>
      <c r="E34" s="908">
        <f t="shared" si="0"/>
        <v>47112.049419094532</v>
      </c>
      <c r="F34" s="914">
        <f t="shared" si="1"/>
        <v>4758316.9913285477</v>
      </c>
      <c r="G34" s="162"/>
      <c r="H34" s="163"/>
      <c r="I34" s="162"/>
      <c r="J34" s="162"/>
    </row>
    <row r="35" spans="2:10" ht="20.25" customHeight="1" thickBot="1">
      <c r="B35" s="449" t="s">
        <v>121</v>
      </c>
      <c r="C35" s="950">
        <f>SUM(C5:C34)</f>
        <v>64892129.401891261</v>
      </c>
      <c r="D35" s="948">
        <f>SUM(D5:D34)</f>
        <v>60577191.249674059</v>
      </c>
      <c r="E35" s="948">
        <f>SUM(E5:E34)</f>
        <v>1303977.793521415</v>
      </c>
      <c r="F35" s="951">
        <f>SUM(F5:F34)</f>
        <v>126773298.44508675</v>
      </c>
      <c r="G35" s="162"/>
      <c r="H35" s="164"/>
      <c r="I35" s="162"/>
      <c r="J35" s="162"/>
    </row>
  </sheetData>
  <mergeCells count="6">
    <mergeCell ref="I3:I4"/>
    <mergeCell ref="J3:J4"/>
    <mergeCell ref="B1:F1"/>
    <mergeCell ref="B3:B4"/>
    <mergeCell ref="C3:F3"/>
    <mergeCell ref="H3:H4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7030A0"/>
  </sheetPr>
  <dimension ref="B1:K36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157" customWidth="1"/>
    <col min="2" max="2" width="6.28515625" style="157" customWidth="1"/>
    <col min="3" max="6" width="17.42578125" style="157" customWidth="1"/>
    <col min="7" max="7" width="2.7109375" style="157" customWidth="1"/>
    <col min="8" max="11" width="0" style="157" hidden="1" customWidth="1"/>
    <col min="12" max="257" width="11.5703125" style="157"/>
    <col min="258" max="258" width="6.28515625" style="157" customWidth="1"/>
    <col min="259" max="262" width="14.5703125" style="157" customWidth="1"/>
    <col min="263" max="263" width="13" style="157" customWidth="1"/>
    <col min="264" max="513" width="11.5703125" style="157"/>
    <col min="514" max="514" width="6.28515625" style="157" customWidth="1"/>
    <col min="515" max="518" width="14.5703125" style="157" customWidth="1"/>
    <col min="519" max="519" width="13" style="157" customWidth="1"/>
    <col min="520" max="769" width="11.5703125" style="157"/>
    <col min="770" max="770" width="6.28515625" style="157" customWidth="1"/>
    <col min="771" max="774" width="14.5703125" style="157" customWidth="1"/>
    <col min="775" max="775" width="13" style="157" customWidth="1"/>
    <col min="776" max="1025" width="11.5703125" style="157"/>
    <col min="1026" max="1026" width="6.28515625" style="157" customWidth="1"/>
    <col min="1027" max="1030" width="14.5703125" style="157" customWidth="1"/>
    <col min="1031" max="1031" width="13" style="157" customWidth="1"/>
    <col min="1032" max="1281" width="11.5703125" style="157"/>
    <col min="1282" max="1282" width="6.28515625" style="157" customWidth="1"/>
    <col min="1283" max="1286" width="14.5703125" style="157" customWidth="1"/>
    <col min="1287" max="1287" width="13" style="157" customWidth="1"/>
    <col min="1288" max="1537" width="11.5703125" style="157"/>
    <col min="1538" max="1538" width="6.28515625" style="157" customWidth="1"/>
    <col min="1539" max="1542" width="14.5703125" style="157" customWidth="1"/>
    <col min="1543" max="1543" width="13" style="157" customWidth="1"/>
    <col min="1544" max="1793" width="11.5703125" style="157"/>
    <col min="1794" max="1794" width="6.28515625" style="157" customWidth="1"/>
    <col min="1795" max="1798" width="14.5703125" style="157" customWidth="1"/>
    <col min="1799" max="1799" width="13" style="157" customWidth="1"/>
    <col min="1800" max="2049" width="11.5703125" style="157"/>
    <col min="2050" max="2050" width="6.28515625" style="157" customWidth="1"/>
    <col min="2051" max="2054" width="14.5703125" style="157" customWidth="1"/>
    <col min="2055" max="2055" width="13" style="157" customWidth="1"/>
    <col min="2056" max="2305" width="11.5703125" style="157"/>
    <col min="2306" max="2306" width="6.28515625" style="157" customWidth="1"/>
    <col min="2307" max="2310" width="14.5703125" style="157" customWidth="1"/>
    <col min="2311" max="2311" width="13" style="157" customWidth="1"/>
    <col min="2312" max="2561" width="11.5703125" style="157"/>
    <col min="2562" max="2562" width="6.28515625" style="157" customWidth="1"/>
    <col min="2563" max="2566" width="14.5703125" style="157" customWidth="1"/>
    <col min="2567" max="2567" width="13" style="157" customWidth="1"/>
    <col min="2568" max="2817" width="11.5703125" style="157"/>
    <col min="2818" max="2818" width="6.28515625" style="157" customWidth="1"/>
    <col min="2819" max="2822" width="14.5703125" style="157" customWidth="1"/>
    <col min="2823" max="2823" width="13" style="157" customWidth="1"/>
    <col min="2824" max="3073" width="11.5703125" style="157"/>
    <col min="3074" max="3074" width="6.28515625" style="157" customWidth="1"/>
    <col min="3075" max="3078" width="14.5703125" style="157" customWidth="1"/>
    <col min="3079" max="3079" width="13" style="157" customWidth="1"/>
    <col min="3080" max="3329" width="11.5703125" style="157"/>
    <col min="3330" max="3330" width="6.28515625" style="157" customWidth="1"/>
    <col min="3331" max="3334" width="14.5703125" style="157" customWidth="1"/>
    <col min="3335" max="3335" width="13" style="157" customWidth="1"/>
    <col min="3336" max="3585" width="11.5703125" style="157"/>
    <col min="3586" max="3586" width="6.28515625" style="157" customWidth="1"/>
    <col min="3587" max="3590" width="14.5703125" style="157" customWidth="1"/>
    <col min="3591" max="3591" width="13" style="157" customWidth="1"/>
    <col min="3592" max="3841" width="11.5703125" style="157"/>
    <col min="3842" max="3842" width="6.28515625" style="157" customWidth="1"/>
    <col min="3843" max="3846" width="14.5703125" style="157" customWidth="1"/>
    <col min="3847" max="3847" width="13" style="157" customWidth="1"/>
    <col min="3848" max="4097" width="11.5703125" style="157"/>
    <col min="4098" max="4098" width="6.28515625" style="157" customWidth="1"/>
    <col min="4099" max="4102" width="14.5703125" style="157" customWidth="1"/>
    <col min="4103" max="4103" width="13" style="157" customWidth="1"/>
    <col min="4104" max="4353" width="11.5703125" style="157"/>
    <col min="4354" max="4354" width="6.28515625" style="157" customWidth="1"/>
    <col min="4355" max="4358" width="14.5703125" style="157" customWidth="1"/>
    <col min="4359" max="4359" width="13" style="157" customWidth="1"/>
    <col min="4360" max="4609" width="11.5703125" style="157"/>
    <col min="4610" max="4610" width="6.28515625" style="157" customWidth="1"/>
    <col min="4611" max="4614" width="14.5703125" style="157" customWidth="1"/>
    <col min="4615" max="4615" width="13" style="157" customWidth="1"/>
    <col min="4616" max="4865" width="11.5703125" style="157"/>
    <col min="4866" max="4866" width="6.28515625" style="157" customWidth="1"/>
    <col min="4867" max="4870" width="14.5703125" style="157" customWidth="1"/>
    <col min="4871" max="4871" width="13" style="157" customWidth="1"/>
    <col min="4872" max="5121" width="11.5703125" style="157"/>
    <col min="5122" max="5122" width="6.28515625" style="157" customWidth="1"/>
    <col min="5123" max="5126" width="14.5703125" style="157" customWidth="1"/>
    <col min="5127" max="5127" width="13" style="157" customWidth="1"/>
    <col min="5128" max="5377" width="11.5703125" style="157"/>
    <col min="5378" max="5378" width="6.28515625" style="157" customWidth="1"/>
    <col min="5379" max="5382" width="14.5703125" style="157" customWidth="1"/>
    <col min="5383" max="5383" width="13" style="157" customWidth="1"/>
    <col min="5384" max="5633" width="11.5703125" style="157"/>
    <col min="5634" max="5634" width="6.28515625" style="157" customWidth="1"/>
    <col min="5635" max="5638" width="14.5703125" style="157" customWidth="1"/>
    <col min="5639" max="5639" width="13" style="157" customWidth="1"/>
    <col min="5640" max="5889" width="11.5703125" style="157"/>
    <col min="5890" max="5890" width="6.28515625" style="157" customWidth="1"/>
    <col min="5891" max="5894" width="14.5703125" style="157" customWidth="1"/>
    <col min="5895" max="5895" width="13" style="157" customWidth="1"/>
    <col min="5896" max="6145" width="11.5703125" style="157"/>
    <col min="6146" max="6146" width="6.28515625" style="157" customWidth="1"/>
    <col min="6147" max="6150" width="14.5703125" style="157" customWidth="1"/>
    <col min="6151" max="6151" width="13" style="157" customWidth="1"/>
    <col min="6152" max="6401" width="11.5703125" style="157"/>
    <col min="6402" max="6402" width="6.28515625" style="157" customWidth="1"/>
    <col min="6403" max="6406" width="14.5703125" style="157" customWidth="1"/>
    <col min="6407" max="6407" width="13" style="157" customWidth="1"/>
    <col min="6408" max="6657" width="11.5703125" style="157"/>
    <col min="6658" max="6658" width="6.28515625" style="157" customWidth="1"/>
    <col min="6659" max="6662" width="14.5703125" style="157" customWidth="1"/>
    <col min="6663" max="6663" width="13" style="157" customWidth="1"/>
    <col min="6664" max="6913" width="11.5703125" style="157"/>
    <col min="6914" max="6914" width="6.28515625" style="157" customWidth="1"/>
    <col min="6915" max="6918" width="14.5703125" style="157" customWidth="1"/>
    <col min="6919" max="6919" width="13" style="157" customWidth="1"/>
    <col min="6920" max="7169" width="11.5703125" style="157"/>
    <col min="7170" max="7170" width="6.28515625" style="157" customWidth="1"/>
    <col min="7171" max="7174" width="14.5703125" style="157" customWidth="1"/>
    <col min="7175" max="7175" width="13" style="157" customWidth="1"/>
    <col min="7176" max="7425" width="11.5703125" style="157"/>
    <col min="7426" max="7426" width="6.28515625" style="157" customWidth="1"/>
    <col min="7427" max="7430" width="14.5703125" style="157" customWidth="1"/>
    <col min="7431" max="7431" width="13" style="157" customWidth="1"/>
    <col min="7432" max="7681" width="11.5703125" style="157"/>
    <col min="7682" max="7682" width="6.28515625" style="157" customWidth="1"/>
    <col min="7683" max="7686" width="14.5703125" style="157" customWidth="1"/>
    <col min="7687" max="7687" width="13" style="157" customWidth="1"/>
    <col min="7688" max="7937" width="11.5703125" style="157"/>
    <col min="7938" max="7938" width="6.28515625" style="157" customWidth="1"/>
    <col min="7939" max="7942" width="14.5703125" style="157" customWidth="1"/>
    <col min="7943" max="7943" width="13" style="157" customWidth="1"/>
    <col min="7944" max="8193" width="11.5703125" style="157"/>
    <col min="8194" max="8194" width="6.28515625" style="157" customWidth="1"/>
    <col min="8195" max="8198" width="14.5703125" style="157" customWidth="1"/>
    <col min="8199" max="8199" width="13" style="157" customWidth="1"/>
    <col min="8200" max="8449" width="11.5703125" style="157"/>
    <col min="8450" max="8450" width="6.28515625" style="157" customWidth="1"/>
    <col min="8451" max="8454" width="14.5703125" style="157" customWidth="1"/>
    <col min="8455" max="8455" width="13" style="157" customWidth="1"/>
    <col min="8456" max="8705" width="11.5703125" style="157"/>
    <col min="8706" max="8706" width="6.28515625" style="157" customWidth="1"/>
    <col min="8707" max="8710" width="14.5703125" style="157" customWidth="1"/>
    <col min="8711" max="8711" width="13" style="157" customWidth="1"/>
    <col min="8712" max="8961" width="11.5703125" style="157"/>
    <col min="8962" max="8962" width="6.28515625" style="157" customWidth="1"/>
    <col min="8963" max="8966" width="14.5703125" style="157" customWidth="1"/>
    <col min="8967" max="8967" width="13" style="157" customWidth="1"/>
    <col min="8968" max="9217" width="11.5703125" style="157"/>
    <col min="9218" max="9218" width="6.28515625" style="157" customWidth="1"/>
    <col min="9219" max="9222" width="14.5703125" style="157" customWidth="1"/>
    <col min="9223" max="9223" width="13" style="157" customWidth="1"/>
    <col min="9224" max="9473" width="11.5703125" style="157"/>
    <col min="9474" max="9474" width="6.28515625" style="157" customWidth="1"/>
    <col min="9475" max="9478" width="14.5703125" style="157" customWidth="1"/>
    <col min="9479" max="9479" width="13" style="157" customWidth="1"/>
    <col min="9480" max="9729" width="11.5703125" style="157"/>
    <col min="9730" max="9730" width="6.28515625" style="157" customWidth="1"/>
    <col min="9731" max="9734" width="14.5703125" style="157" customWidth="1"/>
    <col min="9735" max="9735" width="13" style="157" customWidth="1"/>
    <col min="9736" max="9985" width="11.5703125" style="157"/>
    <col min="9986" max="9986" width="6.28515625" style="157" customWidth="1"/>
    <col min="9987" max="9990" width="14.5703125" style="157" customWidth="1"/>
    <col min="9991" max="9991" width="13" style="157" customWidth="1"/>
    <col min="9992" max="10241" width="11.5703125" style="157"/>
    <col min="10242" max="10242" width="6.28515625" style="157" customWidth="1"/>
    <col min="10243" max="10246" width="14.5703125" style="157" customWidth="1"/>
    <col min="10247" max="10247" width="13" style="157" customWidth="1"/>
    <col min="10248" max="10497" width="11.5703125" style="157"/>
    <col min="10498" max="10498" width="6.28515625" style="157" customWidth="1"/>
    <col min="10499" max="10502" width="14.5703125" style="157" customWidth="1"/>
    <col min="10503" max="10503" width="13" style="157" customWidth="1"/>
    <col min="10504" max="10753" width="11.5703125" style="157"/>
    <col min="10754" max="10754" width="6.28515625" style="157" customWidth="1"/>
    <col min="10755" max="10758" width="14.5703125" style="157" customWidth="1"/>
    <col min="10759" max="10759" width="13" style="157" customWidth="1"/>
    <col min="10760" max="11009" width="11.5703125" style="157"/>
    <col min="11010" max="11010" width="6.28515625" style="157" customWidth="1"/>
    <col min="11011" max="11014" width="14.5703125" style="157" customWidth="1"/>
    <col min="11015" max="11015" width="13" style="157" customWidth="1"/>
    <col min="11016" max="11265" width="11.5703125" style="157"/>
    <col min="11266" max="11266" width="6.28515625" style="157" customWidth="1"/>
    <col min="11267" max="11270" width="14.5703125" style="157" customWidth="1"/>
    <col min="11271" max="11271" width="13" style="157" customWidth="1"/>
    <col min="11272" max="11521" width="11.5703125" style="157"/>
    <col min="11522" max="11522" width="6.28515625" style="157" customWidth="1"/>
    <col min="11523" max="11526" width="14.5703125" style="157" customWidth="1"/>
    <col min="11527" max="11527" width="13" style="157" customWidth="1"/>
    <col min="11528" max="11777" width="11.5703125" style="157"/>
    <col min="11778" max="11778" width="6.28515625" style="157" customWidth="1"/>
    <col min="11779" max="11782" width="14.5703125" style="157" customWidth="1"/>
    <col min="11783" max="11783" width="13" style="157" customWidth="1"/>
    <col min="11784" max="12033" width="11.5703125" style="157"/>
    <col min="12034" max="12034" width="6.28515625" style="157" customWidth="1"/>
    <col min="12035" max="12038" width="14.5703125" style="157" customWidth="1"/>
    <col min="12039" max="12039" width="13" style="157" customWidth="1"/>
    <col min="12040" max="12289" width="11.5703125" style="157"/>
    <col min="12290" max="12290" width="6.28515625" style="157" customWidth="1"/>
    <col min="12291" max="12294" width="14.5703125" style="157" customWidth="1"/>
    <col min="12295" max="12295" width="13" style="157" customWidth="1"/>
    <col min="12296" max="12545" width="11.5703125" style="157"/>
    <col min="12546" max="12546" width="6.28515625" style="157" customWidth="1"/>
    <col min="12547" max="12550" width="14.5703125" style="157" customWidth="1"/>
    <col min="12551" max="12551" width="13" style="157" customWidth="1"/>
    <col min="12552" max="12801" width="11.5703125" style="157"/>
    <col min="12802" max="12802" width="6.28515625" style="157" customWidth="1"/>
    <col min="12803" max="12806" width="14.5703125" style="157" customWidth="1"/>
    <col min="12807" max="12807" width="13" style="157" customWidth="1"/>
    <col min="12808" max="13057" width="11.5703125" style="157"/>
    <col min="13058" max="13058" width="6.28515625" style="157" customWidth="1"/>
    <col min="13059" max="13062" width="14.5703125" style="157" customWidth="1"/>
    <col min="13063" max="13063" width="13" style="157" customWidth="1"/>
    <col min="13064" max="13313" width="11.5703125" style="157"/>
    <col min="13314" max="13314" width="6.28515625" style="157" customWidth="1"/>
    <col min="13315" max="13318" width="14.5703125" style="157" customWidth="1"/>
    <col min="13319" max="13319" width="13" style="157" customWidth="1"/>
    <col min="13320" max="13569" width="11.5703125" style="157"/>
    <col min="13570" max="13570" width="6.28515625" style="157" customWidth="1"/>
    <col min="13571" max="13574" width="14.5703125" style="157" customWidth="1"/>
    <col min="13575" max="13575" width="13" style="157" customWidth="1"/>
    <col min="13576" max="13825" width="11.5703125" style="157"/>
    <col min="13826" max="13826" width="6.28515625" style="157" customWidth="1"/>
    <col min="13827" max="13830" width="14.5703125" style="157" customWidth="1"/>
    <col min="13831" max="13831" width="13" style="157" customWidth="1"/>
    <col min="13832" max="14081" width="11.5703125" style="157"/>
    <col min="14082" max="14082" width="6.28515625" style="157" customWidth="1"/>
    <col min="14083" max="14086" width="14.5703125" style="157" customWidth="1"/>
    <col min="14087" max="14087" width="13" style="157" customWidth="1"/>
    <col min="14088" max="14337" width="11.5703125" style="157"/>
    <col min="14338" max="14338" width="6.28515625" style="157" customWidth="1"/>
    <col min="14339" max="14342" width="14.5703125" style="157" customWidth="1"/>
    <col min="14343" max="14343" width="13" style="157" customWidth="1"/>
    <col min="14344" max="14593" width="11.5703125" style="157"/>
    <col min="14594" max="14594" width="6.28515625" style="157" customWidth="1"/>
    <col min="14595" max="14598" width="14.5703125" style="157" customWidth="1"/>
    <col min="14599" max="14599" width="13" style="157" customWidth="1"/>
    <col min="14600" max="14849" width="11.5703125" style="157"/>
    <col min="14850" max="14850" width="6.28515625" style="157" customWidth="1"/>
    <col min="14851" max="14854" width="14.5703125" style="157" customWidth="1"/>
    <col min="14855" max="14855" width="13" style="157" customWidth="1"/>
    <col min="14856" max="15105" width="11.5703125" style="157"/>
    <col min="15106" max="15106" width="6.28515625" style="157" customWidth="1"/>
    <col min="15107" max="15110" width="14.5703125" style="157" customWidth="1"/>
    <col min="15111" max="15111" width="13" style="157" customWidth="1"/>
    <col min="15112" max="15361" width="11.5703125" style="157"/>
    <col min="15362" max="15362" width="6.28515625" style="157" customWidth="1"/>
    <col min="15363" max="15366" width="14.5703125" style="157" customWidth="1"/>
    <col min="15367" max="15367" width="13" style="157" customWidth="1"/>
    <col min="15368" max="15617" width="11.5703125" style="157"/>
    <col min="15618" max="15618" width="6.28515625" style="157" customWidth="1"/>
    <col min="15619" max="15622" width="14.5703125" style="157" customWidth="1"/>
    <col min="15623" max="15623" width="13" style="157" customWidth="1"/>
    <col min="15624" max="15873" width="11.5703125" style="157"/>
    <col min="15874" max="15874" width="6.28515625" style="157" customWidth="1"/>
    <col min="15875" max="15878" width="14.5703125" style="157" customWidth="1"/>
    <col min="15879" max="15879" width="13" style="157" customWidth="1"/>
    <col min="15880" max="16129" width="11.5703125" style="157"/>
    <col min="16130" max="16130" width="6.28515625" style="157" customWidth="1"/>
    <col min="16131" max="16134" width="14.5703125" style="157" customWidth="1"/>
    <col min="16135" max="16135" width="13" style="157" customWidth="1"/>
    <col min="16136" max="16384" width="11.5703125" style="157"/>
  </cols>
  <sheetData>
    <row r="1" spans="2:11" s="156" customFormat="1" ht="37.5" customHeight="1">
      <c r="B1" s="450"/>
      <c r="C1" s="359" t="s">
        <v>124</v>
      </c>
      <c r="D1" s="451"/>
      <c r="E1" s="451"/>
      <c r="F1" s="451"/>
    </row>
    <row r="2" spans="2:11" ht="5.25" customHeight="1" thickBot="1">
      <c r="B2" s="41"/>
      <c r="C2" s="41"/>
      <c r="D2" s="41"/>
      <c r="E2" s="41"/>
      <c r="F2" s="41"/>
    </row>
    <row r="3" spans="2:11" ht="21.75" customHeight="1">
      <c r="B3" s="1617" t="s">
        <v>1</v>
      </c>
      <c r="C3" s="1694" t="s">
        <v>125</v>
      </c>
      <c r="D3" s="1621" t="s">
        <v>126</v>
      </c>
      <c r="E3" s="1621" t="s">
        <v>127</v>
      </c>
      <c r="F3" s="1621" t="s">
        <v>128</v>
      </c>
    </row>
    <row r="4" spans="2:11" s="158" customFormat="1" ht="36.75" customHeight="1" thickBot="1">
      <c r="B4" s="1618"/>
      <c r="C4" s="1695"/>
      <c r="D4" s="1622"/>
      <c r="E4" s="1622"/>
      <c r="F4" s="1622"/>
      <c r="G4" s="165"/>
      <c r="H4" s="166"/>
      <c r="I4" s="157"/>
      <c r="J4" s="157"/>
      <c r="K4" s="157"/>
    </row>
    <row r="5" spans="2:11" ht="20.25" customHeight="1">
      <c r="B5" s="452">
        <v>1</v>
      </c>
      <c r="C5" s="568">
        <f>'14 R1 FAT 2'!F5</f>
        <v>2302818.334183454</v>
      </c>
      <c r="D5" s="568">
        <f>C5-(C5*E5)</f>
        <v>2072536.5007651085</v>
      </c>
      <c r="E5" s="453">
        <v>0.1</v>
      </c>
      <c r="F5" s="568">
        <f>C5-D5</f>
        <v>230281.83341834554</v>
      </c>
      <c r="G5" s="167"/>
      <c r="H5" s="159">
        <f>-F5</f>
        <v>-230281.83341834554</v>
      </c>
      <c r="J5" s="168">
        <v>-238486.40294756182</v>
      </c>
      <c r="K5" s="168"/>
    </row>
    <row r="6" spans="2:11" ht="20.25" customHeight="1">
      <c r="B6" s="454">
        <v>2</v>
      </c>
      <c r="C6" s="569">
        <f>'14 R1 FAT 2'!F6</f>
        <v>2589085.4613156808</v>
      </c>
      <c r="D6" s="569">
        <f>C6-(C6*E6)</f>
        <v>2330176.9151841127</v>
      </c>
      <c r="E6" s="455">
        <v>0.1</v>
      </c>
      <c r="F6" s="569">
        <f>C6-D6</f>
        <v>258908.54613156803</v>
      </c>
      <c r="G6" s="167"/>
      <c r="H6" s="159">
        <f>F6-F5</f>
        <v>28626.712713222485</v>
      </c>
      <c r="J6" s="168">
        <v>0</v>
      </c>
      <c r="K6" s="168"/>
    </row>
    <row r="7" spans="2:11" ht="20.25" customHeight="1">
      <c r="B7" s="454">
        <v>3</v>
      </c>
      <c r="C7" s="569">
        <f>'14 R1 FAT 2'!F7</f>
        <v>2818858.1047381544</v>
      </c>
      <c r="D7" s="569">
        <f t="shared" ref="D7:D34" si="0">C7-(C7*E7)</f>
        <v>2593349.4563591019</v>
      </c>
      <c r="E7" s="455">
        <v>0.08</v>
      </c>
      <c r="F7" s="569">
        <f t="shared" ref="F7:F34" si="1">C7-D7</f>
        <v>225508.64837905252</v>
      </c>
      <c r="G7" s="167"/>
      <c r="H7" s="159">
        <f t="shared" ref="H7:H34" si="2">F7-F6</f>
        <v>-33399.897752515506</v>
      </c>
      <c r="J7" s="168">
        <v>35962.389189561363</v>
      </c>
      <c r="K7" s="168"/>
    </row>
    <row r="8" spans="2:11" ht="20.25" customHeight="1">
      <c r="B8" s="454">
        <v>4</v>
      </c>
      <c r="C8" s="952">
        <f>'14 R1 FAT 2'!F8</f>
        <v>2920406.9946195232</v>
      </c>
      <c r="D8" s="952">
        <f t="shared" si="0"/>
        <v>2715978.5049961563</v>
      </c>
      <c r="E8" s="455">
        <v>7.0000000000000007E-2</v>
      </c>
      <c r="F8" s="952">
        <f t="shared" si="1"/>
        <v>204428.48962336686</v>
      </c>
      <c r="G8" s="167"/>
      <c r="H8" s="159">
        <f t="shared" si="2"/>
        <v>-21080.158755685668</v>
      </c>
      <c r="J8" s="168">
        <v>13248.704974922817</v>
      </c>
      <c r="K8" s="168"/>
    </row>
    <row r="9" spans="2:11" ht="20.25" customHeight="1">
      <c r="B9" s="454">
        <v>5</v>
      </c>
      <c r="C9" s="952">
        <f>'14 R1 FAT 2'!F9</f>
        <v>2997193.0318223308</v>
      </c>
      <c r="D9" s="952">
        <f t="shared" si="0"/>
        <v>2817361.4499129909</v>
      </c>
      <c r="E9" s="455">
        <v>0.06</v>
      </c>
      <c r="F9" s="952">
        <f t="shared" si="1"/>
        <v>179831.58190933987</v>
      </c>
      <c r="G9" s="167"/>
      <c r="H9" s="159">
        <f t="shared" si="2"/>
        <v>-24596.90771402698</v>
      </c>
      <c r="J9" s="168">
        <v>17139.348440977745</v>
      </c>
      <c r="K9" s="168"/>
    </row>
    <row r="10" spans="2:11" ht="20.25" customHeight="1">
      <c r="B10" s="454">
        <v>6</v>
      </c>
      <c r="C10" s="952">
        <f>'14 R1 FAT 2'!F10</f>
        <v>3300463.4410477728</v>
      </c>
      <c r="D10" s="952">
        <f t="shared" si="0"/>
        <v>3135440.2689953842</v>
      </c>
      <c r="E10" s="455">
        <v>0.05</v>
      </c>
      <c r="F10" s="952">
        <f t="shared" si="1"/>
        <v>165023.17205238855</v>
      </c>
      <c r="G10" s="167"/>
      <c r="H10" s="159">
        <f t="shared" si="2"/>
        <v>-14808.40985695133</v>
      </c>
      <c r="J10" s="168">
        <v>21283.397586023901</v>
      </c>
      <c r="K10" s="168"/>
    </row>
    <row r="11" spans="2:11" ht="20.25" customHeight="1">
      <c r="B11" s="454">
        <v>7</v>
      </c>
      <c r="C11" s="952">
        <f>'14 R1 FAT 2'!F11</f>
        <v>3708341.8851871886</v>
      </c>
      <c r="D11" s="952">
        <f t="shared" si="0"/>
        <v>3522924.7909278292</v>
      </c>
      <c r="E11" s="455">
        <f>E10</f>
        <v>0.05</v>
      </c>
      <c r="F11" s="952">
        <f t="shared" si="1"/>
        <v>185417.09425935941</v>
      </c>
      <c r="G11" s="167"/>
      <c r="H11" s="159">
        <f t="shared" si="2"/>
        <v>20393.922206970863</v>
      </c>
      <c r="J11" s="168">
        <v>-8388.7210236010142</v>
      </c>
      <c r="K11" s="168"/>
    </row>
    <row r="12" spans="2:11" ht="20.25" customHeight="1">
      <c r="B12" s="454">
        <v>8</v>
      </c>
      <c r="C12" s="952">
        <f>'14 R1 FAT 2'!F12</f>
        <v>4008029.4952593418</v>
      </c>
      <c r="D12" s="952">
        <f t="shared" si="0"/>
        <v>3807628.0204963749</v>
      </c>
      <c r="E12" s="455">
        <f t="shared" ref="E12:E34" si="3">E11</f>
        <v>0.05</v>
      </c>
      <c r="F12" s="952">
        <f t="shared" si="1"/>
        <v>200401.47476296686</v>
      </c>
      <c r="G12" s="167"/>
      <c r="H12" s="159">
        <f t="shared" si="2"/>
        <v>14984.380503607448</v>
      </c>
      <c r="J12" s="168">
        <v>-5592.4616223280318</v>
      </c>
      <c r="K12" s="168"/>
    </row>
    <row r="13" spans="2:11" ht="20.25" customHeight="1">
      <c r="B13" s="454">
        <v>9</v>
      </c>
      <c r="C13" s="952">
        <f>'14 R1 FAT 2'!F13</f>
        <v>4073699.9550725189</v>
      </c>
      <c r="D13" s="952">
        <f t="shared" si="0"/>
        <v>3870014.9573188927</v>
      </c>
      <c r="E13" s="455">
        <f t="shared" si="3"/>
        <v>0.05</v>
      </c>
      <c r="F13" s="952">
        <f t="shared" si="1"/>
        <v>203684.9977536262</v>
      </c>
      <c r="G13" s="167"/>
      <c r="H13" s="159">
        <f t="shared" si="2"/>
        <v>3283.5229906593449</v>
      </c>
      <c r="J13" s="168">
        <v>-5209.5752456956543</v>
      </c>
      <c r="K13" s="168"/>
    </row>
    <row r="14" spans="2:11" ht="20.25" customHeight="1">
      <c r="B14" s="454">
        <v>10</v>
      </c>
      <c r="C14" s="952">
        <f>'14 R1 FAT 2'!F14</f>
        <v>4168530.9301507464</v>
      </c>
      <c r="D14" s="952">
        <f t="shared" si="0"/>
        <v>3960104.383643209</v>
      </c>
      <c r="E14" s="455">
        <f t="shared" si="3"/>
        <v>0.05</v>
      </c>
      <c r="F14" s="952">
        <f t="shared" si="1"/>
        <v>208426.54650753736</v>
      </c>
      <c r="G14" s="167"/>
      <c r="H14" s="159">
        <f t="shared" si="2"/>
        <v>4741.5487539111637</v>
      </c>
      <c r="J14" s="168">
        <v>-2543.2937502372079</v>
      </c>
      <c r="K14" s="168"/>
    </row>
    <row r="15" spans="2:11" ht="20.25" customHeight="1">
      <c r="B15" s="454">
        <v>11</v>
      </c>
      <c r="C15" s="952">
        <f>'14 R1 FAT 2'!F15</f>
        <v>4364999.8344247555</v>
      </c>
      <c r="D15" s="952">
        <f t="shared" si="0"/>
        <v>4146749.8427035175</v>
      </c>
      <c r="E15" s="455">
        <f t="shared" si="3"/>
        <v>0.05</v>
      </c>
      <c r="F15" s="952">
        <f t="shared" si="1"/>
        <v>218249.99172123801</v>
      </c>
      <c r="G15" s="167"/>
      <c r="H15" s="159">
        <f t="shared" si="2"/>
        <v>9823.4452137006447</v>
      </c>
      <c r="J15" s="168">
        <v>-271.50124888448045</v>
      </c>
      <c r="K15" s="168"/>
    </row>
    <row r="16" spans="2:11" ht="20.25" customHeight="1">
      <c r="B16" s="454">
        <v>12</v>
      </c>
      <c r="C16" s="952">
        <f>'14 R1 FAT 2'!F16</f>
        <v>4663100.202262952</v>
      </c>
      <c r="D16" s="952">
        <f t="shared" si="0"/>
        <v>4429945.192149804</v>
      </c>
      <c r="E16" s="455">
        <f t="shared" si="3"/>
        <v>0.05</v>
      </c>
      <c r="F16" s="952">
        <f t="shared" si="1"/>
        <v>233155.01011314802</v>
      </c>
      <c r="G16" s="167"/>
      <c r="H16" s="159">
        <f t="shared" si="2"/>
        <v>14905.018391910009</v>
      </c>
      <c r="J16" s="168">
        <v>-262.21915490599349</v>
      </c>
      <c r="K16" s="168"/>
    </row>
    <row r="17" spans="2:11" ht="20.25" customHeight="1">
      <c r="B17" s="454">
        <v>13</v>
      </c>
      <c r="C17" s="952">
        <f>'14 R1 FAT 2'!F17</f>
        <v>4665542.6642718697</v>
      </c>
      <c r="D17" s="952">
        <f t="shared" si="0"/>
        <v>4432265.5310582761</v>
      </c>
      <c r="E17" s="455">
        <f t="shared" si="3"/>
        <v>0.05</v>
      </c>
      <c r="F17" s="952">
        <f t="shared" si="1"/>
        <v>233277.13321359362</v>
      </c>
      <c r="G17" s="167"/>
      <c r="H17" s="159">
        <f t="shared" si="2"/>
        <v>122.12310044560581</v>
      </c>
      <c r="J17" s="168">
        <v>-250.61653743218631</v>
      </c>
      <c r="K17" s="168"/>
    </row>
    <row r="18" spans="2:11" ht="20.25" customHeight="1">
      <c r="B18" s="454">
        <v>14</v>
      </c>
      <c r="C18" s="952">
        <f>'14 R1 FAT 2'!F18</f>
        <v>4672249.2421313887</v>
      </c>
      <c r="D18" s="952">
        <f t="shared" si="0"/>
        <v>4438636.7800248191</v>
      </c>
      <c r="E18" s="455">
        <f t="shared" si="3"/>
        <v>0.05</v>
      </c>
      <c r="F18" s="952">
        <f t="shared" si="1"/>
        <v>233612.46210656967</v>
      </c>
      <c r="G18" s="167"/>
      <c r="H18" s="159">
        <f t="shared" si="2"/>
        <v>335.32889297604561</v>
      </c>
      <c r="J18" s="168">
        <v>-250.61653743218631</v>
      </c>
      <c r="K18" s="168"/>
    </row>
    <row r="19" spans="2:11" ht="20.25" customHeight="1">
      <c r="B19" s="454">
        <v>15</v>
      </c>
      <c r="C19" s="952">
        <f>'14 R1 FAT 2'!F19</f>
        <v>4678955.8199909087</v>
      </c>
      <c r="D19" s="952">
        <f t="shared" si="0"/>
        <v>4445008.028991363</v>
      </c>
      <c r="E19" s="455">
        <f t="shared" si="3"/>
        <v>0.05</v>
      </c>
      <c r="F19" s="952">
        <f t="shared" si="1"/>
        <v>233947.79099954572</v>
      </c>
      <c r="G19" s="167"/>
      <c r="H19" s="159">
        <f t="shared" si="2"/>
        <v>335.32889297604561</v>
      </c>
      <c r="J19" s="168">
        <v>-250.61653743218631</v>
      </c>
      <c r="K19" s="168"/>
    </row>
    <row r="20" spans="2:11" ht="20.25" customHeight="1">
      <c r="B20" s="454">
        <v>16</v>
      </c>
      <c r="C20" s="952">
        <f>'14 R1 FAT 2'!F20</f>
        <v>4685103.5163621325</v>
      </c>
      <c r="D20" s="952">
        <f t="shared" si="0"/>
        <v>4450848.3405440263</v>
      </c>
      <c r="E20" s="455">
        <f t="shared" si="3"/>
        <v>0.05</v>
      </c>
      <c r="F20" s="952">
        <f t="shared" si="1"/>
        <v>234255.17581810616</v>
      </c>
      <c r="G20" s="167"/>
      <c r="H20" s="159">
        <f t="shared" si="2"/>
        <v>307.38481856044382</v>
      </c>
      <c r="J20" s="168">
        <v>-250.61653743218631</v>
      </c>
      <c r="K20" s="168"/>
    </row>
    <row r="21" spans="2:11" ht="20.25" customHeight="1">
      <c r="B21" s="454">
        <v>17</v>
      </c>
      <c r="C21" s="952">
        <f>'14 R1 FAT 2'!F21</f>
        <v>4690692.3312450647</v>
      </c>
      <c r="D21" s="952">
        <f t="shared" si="0"/>
        <v>4456157.7146828119</v>
      </c>
      <c r="E21" s="455">
        <f t="shared" si="3"/>
        <v>0.05</v>
      </c>
      <c r="F21" s="952">
        <f t="shared" si="1"/>
        <v>234534.61656225286</v>
      </c>
      <c r="G21" s="167"/>
      <c r="H21" s="159">
        <f t="shared" si="2"/>
        <v>279.44074414670467</v>
      </c>
      <c r="J21" s="168">
        <v>-229.73182597896084</v>
      </c>
      <c r="K21" s="168"/>
    </row>
    <row r="22" spans="2:11" ht="20.25" customHeight="1">
      <c r="B22" s="454">
        <v>18</v>
      </c>
      <c r="C22" s="952">
        <f>'14 R1 FAT 2'!F22</f>
        <v>4696281.1461279979</v>
      </c>
      <c r="D22" s="952">
        <f t="shared" si="0"/>
        <v>4461467.0888215983</v>
      </c>
      <c r="E22" s="455">
        <f t="shared" si="3"/>
        <v>0.05</v>
      </c>
      <c r="F22" s="952">
        <f t="shared" si="1"/>
        <v>234814.05730639957</v>
      </c>
      <c r="G22" s="167"/>
      <c r="H22" s="159">
        <f t="shared" si="2"/>
        <v>279.44074414670467</v>
      </c>
      <c r="J22" s="168">
        <v>-208.84711452713236</v>
      </c>
      <c r="K22" s="168"/>
    </row>
    <row r="23" spans="2:11" s="158" customFormat="1" ht="20.25" customHeight="1">
      <c r="B23" s="454">
        <v>19</v>
      </c>
      <c r="C23" s="952">
        <f>'14 R1 FAT 2'!F23</f>
        <v>4701869.9610109283</v>
      </c>
      <c r="D23" s="952">
        <f t="shared" si="0"/>
        <v>4466776.462960382</v>
      </c>
      <c r="E23" s="455">
        <f t="shared" si="3"/>
        <v>0.05</v>
      </c>
      <c r="F23" s="952">
        <f t="shared" si="1"/>
        <v>235093.49805054627</v>
      </c>
      <c r="G23" s="167"/>
      <c r="H23" s="159">
        <f t="shared" si="2"/>
        <v>279.44074414670467</v>
      </c>
      <c r="I23" s="157"/>
      <c r="J23" s="168">
        <v>-208.8471145266667</v>
      </c>
      <c r="K23" s="168"/>
    </row>
    <row r="24" spans="2:11" ht="20.25" customHeight="1">
      <c r="B24" s="454">
        <v>20</v>
      </c>
      <c r="C24" s="952">
        <f>'14 R1 FAT 2'!F24</f>
        <v>4706899.8944055689</v>
      </c>
      <c r="D24" s="952">
        <f t="shared" si="0"/>
        <v>4471554.8996852906</v>
      </c>
      <c r="E24" s="455">
        <f t="shared" si="3"/>
        <v>0.05</v>
      </c>
      <c r="F24" s="952">
        <f t="shared" si="1"/>
        <v>235344.99472027831</v>
      </c>
      <c r="G24" s="167"/>
      <c r="H24" s="159">
        <f t="shared" si="2"/>
        <v>251.49666973203421</v>
      </c>
      <c r="J24" s="168">
        <v>-199.56502054771408</v>
      </c>
      <c r="K24" s="168"/>
    </row>
    <row r="25" spans="2:11" ht="20.25" customHeight="1">
      <c r="B25" s="454">
        <v>21</v>
      </c>
      <c r="C25" s="952">
        <f>'14 R1 FAT 2'!F25</f>
        <v>4713047.5907767965</v>
      </c>
      <c r="D25" s="952">
        <f t="shared" si="0"/>
        <v>4477395.2112379568</v>
      </c>
      <c r="E25" s="455">
        <f t="shared" si="3"/>
        <v>0.05</v>
      </c>
      <c r="F25" s="952">
        <f t="shared" si="1"/>
        <v>235652.37953883968</v>
      </c>
      <c r="G25" s="167"/>
      <c r="H25" s="159">
        <f t="shared" si="2"/>
        <v>307.38481856137514</v>
      </c>
      <c r="J25" s="168">
        <v>-187.96240307437256</v>
      </c>
      <c r="K25" s="168"/>
    </row>
    <row r="26" spans="2:11" ht="20.25" customHeight="1">
      <c r="B26" s="454">
        <v>22</v>
      </c>
      <c r="C26" s="952">
        <f>'14 R1 FAT 2'!F26</f>
        <v>4719195.2871480193</v>
      </c>
      <c r="D26" s="952">
        <f t="shared" si="0"/>
        <v>4483235.5227906182</v>
      </c>
      <c r="E26" s="455">
        <f t="shared" si="3"/>
        <v>0.05</v>
      </c>
      <c r="F26" s="952">
        <f t="shared" si="1"/>
        <v>235959.76435740106</v>
      </c>
      <c r="G26" s="167"/>
      <c r="H26" s="159">
        <f t="shared" si="2"/>
        <v>307.38481856137514</v>
      </c>
      <c r="J26" s="168">
        <v>-229.7318259794265</v>
      </c>
      <c r="K26" s="168"/>
    </row>
    <row r="27" spans="2:11" s="158" customFormat="1" ht="20.25" customHeight="1">
      <c r="B27" s="454">
        <v>23</v>
      </c>
      <c r="C27" s="952">
        <f>'14 R1 FAT 2'!F27</f>
        <v>4723666.3390543666</v>
      </c>
      <c r="D27" s="952">
        <f t="shared" si="0"/>
        <v>4487483.0221016482</v>
      </c>
      <c r="E27" s="455">
        <f t="shared" si="3"/>
        <v>0.05</v>
      </c>
      <c r="F27" s="952">
        <f t="shared" si="1"/>
        <v>236183.31695271842</v>
      </c>
      <c r="G27" s="167"/>
      <c r="H27" s="159">
        <f t="shared" si="2"/>
        <v>223.55259531736374</v>
      </c>
      <c r="I27" s="157"/>
      <c r="J27" s="168">
        <v>-220.44973200047389</v>
      </c>
      <c r="K27" s="168"/>
    </row>
    <row r="28" spans="2:11" s="158" customFormat="1" ht="20.25" customHeight="1">
      <c r="B28" s="454">
        <v>24</v>
      </c>
      <c r="C28" s="952">
        <f>'14 R1 FAT 2'!F28</f>
        <v>4728137.390960712</v>
      </c>
      <c r="D28" s="952">
        <f t="shared" si="0"/>
        <v>4491730.5214126762</v>
      </c>
      <c r="E28" s="455">
        <f t="shared" si="3"/>
        <v>0.05</v>
      </c>
      <c r="F28" s="952">
        <f t="shared" si="1"/>
        <v>236406.86954803579</v>
      </c>
      <c r="G28" s="167"/>
      <c r="H28" s="159">
        <f t="shared" si="2"/>
        <v>223.55259531736374</v>
      </c>
      <c r="I28" s="157"/>
      <c r="J28" s="168">
        <v>-167.0776916211471</v>
      </c>
      <c r="K28" s="168"/>
    </row>
    <row r="29" spans="2:11" ht="20.25" customHeight="1">
      <c r="B29" s="454">
        <v>25</v>
      </c>
      <c r="C29" s="952">
        <f>'14 R1 FAT 2'!F29</f>
        <v>4732608.4428670583</v>
      </c>
      <c r="D29" s="952">
        <f t="shared" si="0"/>
        <v>4495978.0207237052</v>
      </c>
      <c r="E29" s="455">
        <f t="shared" si="3"/>
        <v>0.05</v>
      </c>
      <c r="F29" s="952">
        <f t="shared" si="1"/>
        <v>236630.42214335315</v>
      </c>
      <c r="G29" s="167"/>
      <c r="H29" s="159">
        <f t="shared" si="2"/>
        <v>223.55259531736374</v>
      </c>
      <c r="J29" s="168">
        <v>-176.35978560056537</v>
      </c>
      <c r="K29" s="168"/>
    </row>
    <row r="30" spans="2:11" ht="20.25" customHeight="1">
      <c r="B30" s="454">
        <v>26</v>
      </c>
      <c r="C30" s="952">
        <f>'14 R1 FAT 2'!F30</f>
        <v>4738197.2577499906</v>
      </c>
      <c r="D30" s="952">
        <f t="shared" si="0"/>
        <v>4501287.3948624907</v>
      </c>
      <c r="E30" s="455">
        <f t="shared" si="3"/>
        <v>0.05</v>
      </c>
      <c r="F30" s="952">
        <f t="shared" si="1"/>
        <v>236909.86288749985</v>
      </c>
      <c r="G30" s="167"/>
      <c r="H30" s="159">
        <f t="shared" si="2"/>
        <v>279.44074414670467</v>
      </c>
      <c r="J30" s="168">
        <v>-176.35978560056537</v>
      </c>
      <c r="K30" s="168"/>
    </row>
    <row r="31" spans="2:11" ht="20.25" customHeight="1">
      <c r="B31" s="454">
        <v>27</v>
      </c>
      <c r="C31" s="952">
        <f>'14 R1 FAT 2'!F31</f>
        <v>4743786.0726329209</v>
      </c>
      <c r="D31" s="952">
        <f t="shared" si="0"/>
        <v>4506596.7690012753</v>
      </c>
      <c r="E31" s="455">
        <f t="shared" si="3"/>
        <v>0.05</v>
      </c>
      <c r="F31" s="952">
        <f t="shared" si="1"/>
        <v>237189.30363164563</v>
      </c>
      <c r="G31" s="167"/>
      <c r="H31" s="159">
        <f t="shared" si="2"/>
        <v>279.44074414577335</v>
      </c>
      <c r="J31" s="168">
        <v>-208.8471145266667</v>
      </c>
      <c r="K31" s="168"/>
    </row>
    <row r="32" spans="2:11" ht="20.25" customHeight="1">
      <c r="B32" s="454">
        <v>28</v>
      </c>
      <c r="C32" s="952">
        <f>'14 R1 FAT 2'!F32</f>
        <v>4748816.0060275607</v>
      </c>
      <c r="D32" s="952">
        <f t="shared" si="0"/>
        <v>4511375.205726183</v>
      </c>
      <c r="E32" s="455">
        <f t="shared" si="3"/>
        <v>0.05</v>
      </c>
      <c r="F32" s="952">
        <f t="shared" si="1"/>
        <v>237440.80030137766</v>
      </c>
      <c r="G32" s="167"/>
      <c r="H32" s="159">
        <f t="shared" si="2"/>
        <v>251.49666973203421</v>
      </c>
      <c r="J32" s="168">
        <v>-208.8471145266667</v>
      </c>
      <c r="K32" s="168"/>
    </row>
    <row r="33" spans="2:11" ht="20.25" customHeight="1">
      <c r="B33" s="454">
        <v>29</v>
      </c>
      <c r="C33" s="952">
        <f>'14 R1 FAT 2'!F33</f>
        <v>4754404.8209104948</v>
      </c>
      <c r="D33" s="952">
        <f t="shared" si="0"/>
        <v>4516684.5798649704</v>
      </c>
      <c r="E33" s="455">
        <f t="shared" si="3"/>
        <v>0.05</v>
      </c>
      <c r="F33" s="952">
        <f t="shared" si="1"/>
        <v>237720.24104552437</v>
      </c>
      <c r="G33" s="167"/>
      <c r="H33" s="159">
        <f t="shared" si="2"/>
        <v>279.44074414670467</v>
      </c>
      <c r="J33" s="168">
        <v>-178.68030909495428</v>
      </c>
      <c r="K33" s="168"/>
    </row>
    <row r="34" spans="2:11" ht="20.25" customHeight="1" thickBot="1">
      <c r="B34" s="456">
        <v>30</v>
      </c>
      <c r="C34" s="953">
        <f>'14 R1 FAT 2'!F34</f>
        <v>4758316.9913285477</v>
      </c>
      <c r="D34" s="952">
        <f t="shared" si="0"/>
        <v>4520401.1417621206</v>
      </c>
      <c r="E34" s="455">
        <f t="shared" si="3"/>
        <v>0.05</v>
      </c>
      <c r="F34" s="952">
        <f t="shared" si="1"/>
        <v>237915.84956642706</v>
      </c>
      <c r="G34" s="167"/>
      <c r="H34" s="159">
        <f t="shared" si="2"/>
        <v>195.60852090269327</v>
      </c>
      <c r="J34" s="168">
        <v>-199.56502054817975</v>
      </c>
      <c r="K34" s="168"/>
    </row>
    <row r="35" spans="2:11" ht="20.25" customHeight="1" thickBot="1">
      <c r="B35" s="457" t="s">
        <v>121</v>
      </c>
      <c r="C35" s="948">
        <f>SUM(C5:C34)</f>
        <v>126773298.44508675</v>
      </c>
      <c r="D35" s="948">
        <f>SUM(D5:D34)</f>
        <v>120017092.51970465</v>
      </c>
      <c r="E35" s="446"/>
      <c r="F35" s="948">
        <f>SUM(F5:F34)</f>
        <v>6756205.9253820516</v>
      </c>
      <c r="G35" s="167"/>
      <c r="H35" s="159">
        <f>SUM(H5:H34)</f>
        <v>-222647.81727026403</v>
      </c>
      <c r="J35" s="168">
        <f>SUM(J5:J34)</f>
        <v>-176923.67280961061</v>
      </c>
    </row>
    <row r="36" spans="2:11">
      <c r="J36" s="227">
        <v>-176923.67280961061</v>
      </c>
    </row>
  </sheetData>
  <mergeCells count="5">
    <mergeCell ref="B3:B4"/>
    <mergeCell ref="C3:C4"/>
    <mergeCell ref="D3:D4"/>
    <mergeCell ref="E3:E4"/>
    <mergeCell ref="F3:F4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7030A0"/>
    <pageSetUpPr fitToPage="1"/>
  </sheetPr>
  <dimension ref="B1:N43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157" customWidth="1"/>
    <col min="2" max="2" width="8" style="157" customWidth="1"/>
    <col min="3" max="11" width="15.140625" style="157" customWidth="1"/>
    <col min="12" max="12" width="2.7109375" style="157" customWidth="1"/>
    <col min="13" max="13" width="15.5703125" style="157" customWidth="1"/>
    <col min="14" max="14" width="13.7109375" style="157" customWidth="1"/>
    <col min="15" max="15" width="11.5703125" style="157" customWidth="1"/>
    <col min="16" max="247" width="11.5703125" style="157"/>
    <col min="248" max="248" width="8" style="157" customWidth="1"/>
    <col min="249" max="257" width="15.140625" style="157" customWidth="1"/>
    <col min="258" max="258" width="11.5703125" style="157"/>
    <col min="259" max="259" width="15.5703125" style="157" bestFit="1" customWidth="1"/>
    <col min="260" max="263" width="14.42578125" style="157" customWidth="1"/>
    <col min="264" max="265" width="12.28515625" style="157" bestFit="1" customWidth="1"/>
    <col min="266" max="503" width="11.5703125" style="157"/>
    <col min="504" max="504" width="8" style="157" customWidth="1"/>
    <col min="505" max="513" width="15.140625" style="157" customWidth="1"/>
    <col min="514" max="514" width="11.5703125" style="157"/>
    <col min="515" max="515" width="15.5703125" style="157" bestFit="1" customWidth="1"/>
    <col min="516" max="519" width="14.42578125" style="157" customWidth="1"/>
    <col min="520" max="521" width="12.28515625" style="157" bestFit="1" customWidth="1"/>
    <col min="522" max="759" width="11.5703125" style="157"/>
    <col min="760" max="760" width="8" style="157" customWidth="1"/>
    <col min="761" max="769" width="15.140625" style="157" customWidth="1"/>
    <col min="770" max="770" width="11.5703125" style="157"/>
    <col min="771" max="771" width="15.5703125" style="157" bestFit="1" customWidth="1"/>
    <col min="772" max="775" width="14.42578125" style="157" customWidth="1"/>
    <col min="776" max="777" width="12.28515625" style="157" bestFit="1" customWidth="1"/>
    <col min="778" max="1015" width="11.5703125" style="157"/>
    <col min="1016" max="1016" width="8" style="157" customWidth="1"/>
    <col min="1017" max="1025" width="15.140625" style="157" customWidth="1"/>
    <col min="1026" max="1026" width="11.5703125" style="157"/>
    <col min="1027" max="1027" width="15.5703125" style="157" bestFit="1" customWidth="1"/>
    <col min="1028" max="1031" width="14.42578125" style="157" customWidth="1"/>
    <col min="1032" max="1033" width="12.28515625" style="157" bestFit="1" customWidth="1"/>
    <col min="1034" max="1271" width="11.5703125" style="157"/>
    <col min="1272" max="1272" width="8" style="157" customWidth="1"/>
    <col min="1273" max="1281" width="15.140625" style="157" customWidth="1"/>
    <col min="1282" max="1282" width="11.5703125" style="157"/>
    <col min="1283" max="1283" width="15.5703125" style="157" bestFit="1" customWidth="1"/>
    <col min="1284" max="1287" width="14.42578125" style="157" customWidth="1"/>
    <col min="1288" max="1289" width="12.28515625" style="157" bestFit="1" customWidth="1"/>
    <col min="1290" max="1527" width="11.5703125" style="157"/>
    <col min="1528" max="1528" width="8" style="157" customWidth="1"/>
    <col min="1529" max="1537" width="15.140625" style="157" customWidth="1"/>
    <col min="1538" max="1538" width="11.5703125" style="157"/>
    <col min="1539" max="1539" width="15.5703125" style="157" bestFit="1" customWidth="1"/>
    <col min="1540" max="1543" width="14.42578125" style="157" customWidth="1"/>
    <col min="1544" max="1545" width="12.28515625" style="157" bestFit="1" customWidth="1"/>
    <col min="1546" max="1783" width="11.5703125" style="157"/>
    <col min="1784" max="1784" width="8" style="157" customWidth="1"/>
    <col min="1785" max="1793" width="15.140625" style="157" customWidth="1"/>
    <col min="1794" max="1794" width="11.5703125" style="157"/>
    <col min="1795" max="1795" width="15.5703125" style="157" bestFit="1" customWidth="1"/>
    <col min="1796" max="1799" width="14.42578125" style="157" customWidth="1"/>
    <col min="1800" max="1801" width="12.28515625" style="157" bestFit="1" customWidth="1"/>
    <col min="1802" max="2039" width="11.5703125" style="157"/>
    <col min="2040" max="2040" width="8" style="157" customWidth="1"/>
    <col min="2041" max="2049" width="15.140625" style="157" customWidth="1"/>
    <col min="2050" max="2050" width="11.5703125" style="157"/>
    <col min="2051" max="2051" width="15.5703125" style="157" bestFit="1" customWidth="1"/>
    <col min="2052" max="2055" width="14.42578125" style="157" customWidth="1"/>
    <col min="2056" max="2057" width="12.28515625" style="157" bestFit="1" customWidth="1"/>
    <col min="2058" max="2295" width="11.5703125" style="157"/>
    <col min="2296" max="2296" width="8" style="157" customWidth="1"/>
    <col min="2297" max="2305" width="15.140625" style="157" customWidth="1"/>
    <col min="2306" max="2306" width="11.5703125" style="157"/>
    <col min="2307" max="2307" width="15.5703125" style="157" bestFit="1" customWidth="1"/>
    <col min="2308" max="2311" width="14.42578125" style="157" customWidth="1"/>
    <col min="2312" max="2313" width="12.28515625" style="157" bestFit="1" customWidth="1"/>
    <col min="2314" max="2551" width="11.5703125" style="157"/>
    <col min="2552" max="2552" width="8" style="157" customWidth="1"/>
    <col min="2553" max="2561" width="15.140625" style="157" customWidth="1"/>
    <col min="2562" max="2562" width="11.5703125" style="157"/>
    <col min="2563" max="2563" width="15.5703125" style="157" bestFit="1" customWidth="1"/>
    <col min="2564" max="2567" width="14.42578125" style="157" customWidth="1"/>
    <col min="2568" max="2569" width="12.28515625" style="157" bestFit="1" customWidth="1"/>
    <col min="2570" max="2807" width="11.5703125" style="157"/>
    <col min="2808" max="2808" width="8" style="157" customWidth="1"/>
    <col min="2809" max="2817" width="15.140625" style="157" customWidth="1"/>
    <col min="2818" max="2818" width="11.5703125" style="157"/>
    <col min="2819" max="2819" width="15.5703125" style="157" bestFit="1" customWidth="1"/>
    <col min="2820" max="2823" width="14.42578125" style="157" customWidth="1"/>
    <col min="2824" max="2825" width="12.28515625" style="157" bestFit="1" customWidth="1"/>
    <col min="2826" max="3063" width="11.5703125" style="157"/>
    <col min="3064" max="3064" width="8" style="157" customWidth="1"/>
    <col min="3065" max="3073" width="15.140625" style="157" customWidth="1"/>
    <col min="3074" max="3074" width="11.5703125" style="157"/>
    <col min="3075" max="3075" width="15.5703125" style="157" bestFit="1" customWidth="1"/>
    <col min="3076" max="3079" width="14.42578125" style="157" customWidth="1"/>
    <col min="3080" max="3081" width="12.28515625" style="157" bestFit="1" customWidth="1"/>
    <col min="3082" max="3319" width="11.5703125" style="157"/>
    <col min="3320" max="3320" width="8" style="157" customWidth="1"/>
    <col min="3321" max="3329" width="15.140625" style="157" customWidth="1"/>
    <col min="3330" max="3330" width="11.5703125" style="157"/>
    <col min="3331" max="3331" width="15.5703125" style="157" bestFit="1" customWidth="1"/>
    <col min="3332" max="3335" width="14.42578125" style="157" customWidth="1"/>
    <col min="3336" max="3337" width="12.28515625" style="157" bestFit="1" customWidth="1"/>
    <col min="3338" max="3575" width="11.5703125" style="157"/>
    <col min="3576" max="3576" width="8" style="157" customWidth="1"/>
    <col min="3577" max="3585" width="15.140625" style="157" customWidth="1"/>
    <col min="3586" max="3586" width="11.5703125" style="157"/>
    <col min="3587" max="3587" width="15.5703125" style="157" bestFit="1" customWidth="1"/>
    <col min="3588" max="3591" width="14.42578125" style="157" customWidth="1"/>
    <col min="3592" max="3593" width="12.28515625" style="157" bestFit="1" customWidth="1"/>
    <col min="3594" max="3831" width="11.5703125" style="157"/>
    <col min="3832" max="3832" width="8" style="157" customWidth="1"/>
    <col min="3833" max="3841" width="15.140625" style="157" customWidth="1"/>
    <col min="3842" max="3842" width="11.5703125" style="157"/>
    <col min="3843" max="3843" width="15.5703125" style="157" bestFit="1" customWidth="1"/>
    <col min="3844" max="3847" width="14.42578125" style="157" customWidth="1"/>
    <col min="3848" max="3849" width="12.28515625" style="157" bestFit="1" customWidth="1"/>
    <col min="3850" max="4087" width="11.5703125" style="157"/>
    <col min="4088" max="4088" width="8" style="157" customWidth="1"/>
    <col min="4089" max="4097" width="15.140625" style="157" customWidth="1"/>
    <col min="4098" max="4098" width="11.5703125" style="157"/>
    <col min="4099" max="4099" width="15.5703125" style="157" bestFit="1" customWidth="1"/>
    <col min="4100" max="4103" width="14.42578125" style="157" customWidth="1"/>
    <col min="4104" max="4105" width="12.28515625" style="157" bestFit="1" customWidth="1"/>
    <col min="4106" max="4343" width="11.5703125" style="157"/>
    <col min="4344" max="4344" width="8" style="157" customWidth="1"/>
    <col min="4345" max="4353" width="15.140625" style="157" customWidth="1"/>
    <col min="4354" max="4354" width="11.5703125" style="157"/>
    <col min="4355" max="4355" width="15.5703125" style="157" bestFit="1" customWidth="1"/>
    <col min="4356" max="4359" width="14.42578125" style="157" customWidth="1"/>
    <col min="4360" max="4361" width="12.28515625" style="157" bestFit="1" customWidth="1"/>
    <col min="4362" max="4599" width="11.5703125" style="157"/>
    <col min="4600" max="4600" width="8" style="157" customWidth="1"/>
    <col min="4601" max="4609" width="15.140625" style="157" customWidth="1"/>
    <col min="4610" max="4610" width="11.5703125" style="157"/>
    <col min="4611" max="4611" width="15.5703125" style="157" bestFit="1" customWidth="1"/>
    <col min="4612" max="4615" width="14.42578125" style="157" customWidth="1"/>
    <col min="4616" max="4617" width="12.28515625" style="157" bestFit="1" customWidth="1"/>
    <col min="4618" max="4855" width="11.5703125" style="157"/>
    <col min="4856" max="4856" width="8" style="157" customWidth="1"/>
    <col min="4857" max="4865" width="15.140625" style="157" customWidth="1"/>
    <col min="4866" max="4866" width="11.5703125" style="157"/>
    <col min="4867" max="4867" width="15.5703125" style="157" bestFit="1" customWidth="1"/>
    <col min="4868" max="4871" width="14.42578125" style="157" customWidth="1"/>
    <col min="4872" max="4873" width="12.28515625" style="157" bestFit="1" customWidth="1"/>
    <col min="4874" max="5111" width="11.5703125" style="157"/>
    <col min="5112" max="5112" width="8" style="157" customWidth="1"/>
    <col min="5113" max="5121" width="15.140625" style="157" customWidth="1"/>
    <col min="5122" max="5122" width="11.5703125" style="157"/>
    <col min="5123" max="5123" width="15.5703125" style="157" bestFit="1" customWidth="1"/>
    <col min="5124" max="5127" width="14.42578125" style="157" customWidth="1"/>
    <col min="5128" max="5129" width="12.28515625" style="157" bestFit="1" customWidth="1"/>
    <col min="5130" max="5367" width="11.5703125" style="157"/>
    <col min="5368" max="5368" width="8" style="157" customWidth="1"/>
    <col min="5369" max="5377" width="15.140625" style="157" customWidth="1"/>
    <col min="5378" max="5378" width="11.5703125" style="157"/>
    <col min="5379" max="5379" width="15.5703125" style="157" bestFit="1" customWidth="1"/>
    <col min="5380" max="5383" width="14.42578125" style="157" customWidth="1"/>
    <col min="5384" max="5385" width="12.28515625" style="157" bestFit="1" customWidth="1"/>
    <col min="5386" max="5623" width="11.5703125" style="157"/>
    <col min="5624" max="5624" width="8" style="157" customWidth="1"/>
    <col min="5625" max="5633" width="15.140625" style="157" customWidth="1"/>
    <col min="5634" max="5634" width="11.5703125" style="157"/>
    <col min="5635" max="5635" width="15.5703125" style="157" bestFit="1" customWidth="1"/>
    <col min="5636" max="5639" width="14.42578125" style="157" customWidth="1"/>
    <col min="5640" max="5641" width="12.28515625" style="157" bestFit="1" customWidth="1"/>
    <col min="5642" max="5879" width="11.5703125" style="157"/>
    <col min="5880" max="5880" width="8" style="157" customWidth="1"/>
    <col min="5881" max="5889" width="15.140625" style="157" customWidth="1"/>
    <col min="5890" max="5890" width="11.5703125" style="157"/>
    <col min="5891" max="5891" width="15.5703125" style="157" bestFit="1" customWidth="1"/>
    <col min="5892" max="5895" width="14.42578125" style="157" customWidth="1"/>
    <col min="5896" max="5897" width="12.28515625" style="157" bestFit="1" customWidth="1"/>
    <col min="5898" max="6135" width="11.5703125" style="157"/>
    <col min="6136" max="6136" width="8" style="157" customWidth="1"/>
    <col min="6137" max="6145" width="15.140625" style="157" customWidth="1"/>
    <col min="6146" max="6146" width="11.5703125" style="157"/>
    <col min="6147" max="6147" width="15.5703125" style="157" bestFit="1" customWidth="1"/>
    <col min="6148" max="6151" width="14.42578125" style="157" customWidth="1"/>
    <col min="6152" max="6153" width="12.28515625" style="157" bestFit="1" customWidth="1"/>
    <col min="6154" max="6391" width="11.5703125" style="157"/>
    <col min="6392" max="6392" width="8" style="157" customWidth="1"/>
    <col min="6393" max="6401" width="15.140625" style="157" customWidth="1"/>
    <col min="6402" max="6402" width="11.5703125" style="157"/>
    <col min="6403" max="6403" width="15.5703125" style="157" bestFit="1" customWidth="1"/>
    <col min="6404" max="6407" width="14.42578125" style="157" customWidth="1"/>
    <col min="6408" max="6409" width="12.28515625" style="157" bestFit="1" customWidth="1"/>
    <col min="6410" max="6647" width="11.5703125" style="157"/>
    <col min="6648" max="6648" width="8" style="157" customWidth="1"/>
    <col min="6649" max="6657" width="15.140625" style="157" customWidth="1"/>
    <col min="6658" max="6658" width="11.5703125" style="157"/>
    <col min="6659" max="6659" width="15.5703125" style="157" bestFit="1" customWidth="1"/>
    <col min="6660" max="6663" width="14.42578125" style="157" customWidth="1"/>
    <col min="6664" max="6665" width="12.28515625" style="157" bestFit="1" customWidth="1"/>
    <col min="6666" max="6903" width="11.5703125" style="157"/>
    <col min="6904" max="6904" width="8" style="157" customWidth="1"/>
    <col min="6905" max="6913" width="15.140625" style="157" customWidth="1"/>
    <col min="6914" max="6914" width="11.5703125" style="157"/>
    <col min="6915" max="6915" width="15.5703125" style="157" bestFit="1" customWidth="1"/>
    <col min="6916" max="6919" width="14.42578125" style="157" customWidth="1"/>
    <col min="6920" max="6921" width="12.28515625" style="157" bestFit="1" customWidth="1"/>
    <col min="6922" max="7159" width="11.5703125" style="157"/>
    <col min="7160" max="7160" width="8" style="157" customWidth="1"/>
    <col min="7161" max="7169" width="15.140625" style="157" customWidth="1"/>
    <col min="7170" max="7170" width="11.5703125" style="157"/>
    <col min="7171" max="7171" width="15.5703125" style="157" bestFit="1" customWidth="1"/>
    <col min="7172" max="7175" width="14.42578125" style="157" customWidth="1"/>
    <col min="7176" max="7177" width="12.28515625" style="157" bestFit="1" customWidth="1"/>
    <col min="7178" max="7415" width="11.5703125" style="157"/>
    <col min="7416" max="7416" width="8" style="157" customWidth="1"/>
    <col min="7417" max="7425" width="15.140625" style="157" customWidth="1"/>
    <col min="7426" max="7426" width="11.5703125" style="157"/>
    <col min="7427" max="7427" width="15.5703125" style="157" bestFit="1" customWidth="1"/>
    <col min="7428" max="7431" width="14.42578125" style="157" customWidth="1"/>
    <col min="7432" max="7433" width="12.28515625" style="157" bestFit="1" customWidth="1"/>
    <col min="7434" max="7671" width="11.5703125" style="157"/>
    <col min="7672" max="7672" width="8" style="157" customWidth="1"/>
    <col min="7673" max="7681" width="15.140625" style="157" customWidth="1"/>
    <col min="7682" max="7682" width="11.5703125" style="157"/>
    <col min="7683" max="7683" width="15.5703125" style="157" bestFit="1" customWidth="1"/>
    <col min="7684" max="7687" width="14.42578125" style="157" customWidth="1"/>
    <col min="7688" max="7689" width="12.28515625" style="157" bestFit="1" customWidth="1"/>
    <col min="7690" max="7927" width="11.5703125" style="157"/>
    <col min="7928" max="7928" width="8" style="157" customWidth="1"/>
    <col min="7929" max="7937" width="15.140625" style="157" customWidth="1"/>
    <col min="7938" max="7938" width="11.5703125" style="157"/>
    <col min="7939" max="7939" width="15.5703125" style="157" bestFit="1" customWidth="1"/>
    <col min="7940" max="7943" width="14.42578125" style="157" customWidth="1"/>
    <col min="7944" max="7945" width="12.28515625" style="157" bestFit="1" customWidth="1"/>
    <col min="7946" max="8183" width="11.5703125" style="157"/>
    <col min="8184" max="8184" width="8" style="157" customWidth="1"/>
    <col min="8185" max="8193" width="15.140625" style="157" customWidth="1"/>
    <col min="8194" max="8194" width="11.5703125" style="157"/>
    <col min="8195" max="8195" width="15.5703125" style="157" bestFit="1" customWidth="1"/>
    <col min="8196" max="8199" width="14.42578125" style="157" customWidth="1"/>
    <col min="8200" max="8201" width="12.28515625" style="157" bestFit="1" customWidth="1"/>
    <col min="8202" max="8439" width="11.5703125" style="157"/>
    <col min="8440" max="8440" width="8" style="157" customWidth="1"/>
    <col min="8441" max="8449" width="15.140625" style="157" customWidth="1"/>
    <col min="8450" max="8450" width="11.5703125" style="157"/>
    <col min="8451" max="8451" width="15.5703125" style="157" bestFit="1" customWidth="1"/>
    <col min="8452" max="8455" width="14.42578125" style="157" customWidth="1"/>
    <col min="8456" max="8457" width="12.28515625" style="157" bestFit="1" customWidth="1"/>
    <col min="8458" max="8695" width="11.5703125" style="157"/>
    <col min="8696" max="8696" width="8" style="157" customWidth="1"/>
    <col min="8697" max="8705" width="15.140625" style="157" customWidth="1"/>
    <col min="8706" max="8706" width="11.5703125" style="157"/>
    <col min="8707" max="8707" width="15.5703125" style="157" bestFit="1" customWidth="1"/>
    <col min="8708" max="8711" width="14.42578125" style="157" customWidth="1"/>
    <col min="8712" max="8713" width="12.28515625" style="157" bestFit="1" customWidth="1"/>
    <col min="8714" max="8951" width="11.5703125" style="157"/>
    <col min="8952" max="8952" width="8" style="157" customWidth="1"/>
    <col min="8953" max="8961" width="15.140625" style="157" customWidth="1"/>
    <col min="8962" max="8962" width="11.5703125" style="157"/>
    <col min="8963" max="8963" width="15.5703125" style="157" bestFit="1" customWidth="1"/>
    <col min="8964" max="8967" width="14.42578125" style="157" customWidth="1"/>
    <col min="8968" max="8969" width="12.28515625" style="157" bestFit="1" customWidth="1"/>
    <col min="8970" max="9207" width="11.5703125" style="157"/>
    <col min="9208" max="9208" width="8" style="157" customWidth="1"/>
    <col min="9209" max="9217" width="15.140625" style="157" customWidth="1"/>
    <col min="9218" max="9218" width="11.5703125" style="157"/>
    <col min="9219" max="9219" width="15.5703125" style="157" bestFit="1" customWidth="1"/>
    <col min="9220" max="9223" width="14.42578125" style="157" customWidth="1"/>
    <col min="9224" max="9225" width="12.28515625" style="157" bestFit="1" customWidth="1"/>
    <col min="9226" max="9463" width="11.5703125" style="157"/>
    <col min="9464" max="9464" width="8" style="157" customWidth="1"/>
    <col min="9465" max="9473" width="15.140625" style="157" customWidth="1"/>
    <col min="9474" max="9474" width="11.5703125" style="157"/>
    <col min="9475" max="9475" width="15.5703125" style="157" bestFit="1" customWidth="1"/>
    <col min="9476" max="9479" width="14.42578125" style="157" customWidth="1"/>
    <col min="9480" max="9481" width="12.28515625" style="157" bestFit="1" customWidth="1"/>
    <col min="9482" max="9719" width="11.5703125" style="157"/>
    <col min="9720" max="9720" width="8" style="157" customWidth="1"/>
    <col min="9721" max="9729" width="15.140625" style="157" customWidth="1"/>
    <col min="9730" max="9730" width="11.5703125" style="157"/>
    <col min="9731" max="9731" width="15.5703125" style="157" bestFit="1" customWidth="1"/>
    <col min="9732" max="9735" width="14.42578125" style="157" customWidth="1"/>
    <col min="9736" max="9737" width="12.28515625" style="157" bestFit="1" customWidth="1"/>
    <col min="9738" max="9975" width="11.5703125" style="157"/>
    <col min="9976" max="9976" width="8" style="157" customWidth="1"/>
    <col min="9977" max="9985" width="15.140625" style="157" customWidth="1"/>
    <col min="9986" max="9986" width="11.5703125" style="157"/>
    <col min="9987" max="9987" width="15.5703125" style="157" bestFit="1" customWidth="1"/>
    <col min="9988" max="9991" width="14.42578125" style="157" customWidth="1"/>
    <col min="9992" max="9993" width="12.28515625" style="157" bestFit="1" customWidth="1"/>
    <col min="9994" max="10231" width="11.5703125" style="157"/>
    <col min="10232" max="10232" width="8" style="157" customWidth="1"/>
    <col min="10233" max="10241" width="15.140625" style="157" customWidth="1"/>
    <col min="10242" max="10242" width="11.5703125" style="157"/>
    <col min="10243" max="10243" width="15.5703125" style="157" bestFit="1" customWidth="1"/>
    <col min="10244" max="10247" width="14.42578125" style="157" customWidth="1"/>
    <col min="10248" max="10249" width="12.28515625" style="157" bestFit="1" customWidth="1"/>
    <col min="10250" max="10487" width="11.5703125" style="157"/>
    <col min="10488" max="10488" width="8" style="157" customWidth="1"/>
    <col min="10489" max="10497" width="15.140625" style="157" customWidth="1"/>
    <col min="10498" max="10498" width="11.5703125" style="157"/>
    <col min="10499" max="10499" width="15.5703125" style="157" bestFit="1" customWidth="1"/>
    <col min="10500" max="10503" width="14.42578125" style="157" customWidth="1"/>
    <col min="10504" max="10505" width="12.28515625" style="157" bestFit="1" customWidth="1"/>
    <col min="10506" max="10743" width="11.5703125" style="157"/>
    <col min="10744" max="10744" width="8" style="157" customWidth="1"/>
    <col min="10745" max="10753" width="15.140625" style="157" customWidth="1"/>
    <col min="10754" max="10754" width="11.5703125" style="157"/>
    <col min="10755" max="10755" width="15.5703125" style="157" bestFit="1" customWidth="1"/>
    <col min="10756" max="10759" width="14.42578125" style="157" customWidth="1"/>
    <col min="10760" max="10761" width="12.28515625" style="157" bestFit="1" customWidth="1"/>
    <col min="10762" max="10999" width="11.5703125" style="157"/>
    <col min="11000" max="11000" width="8" style="157" customWidth="1"/>
    <col min="11001" max="11009" width="15.140625" style="157" customWidth="1"/>
    <col min="11010" max="11010" width="11.5703125" style="157"/>
    <col min="11011" max="11011" width="15.5703125" style="157" bestFit="1" customWidth="1"/>
    <col min="11012" max="11015" width="14.42578125" style="157" customWidth="1"/>
    <col min="11016" max="11017" width="12.28515625" style="157" bestFit="1" customWidth="1"/>
    <col min="11018" max="11255" width="11.5703125" style="157"/>
    <col min="11256" max="11256" width="8" style="157" customWidth="1"/>
    <col min="11257" max="11265" width="15.140625" style="157" customWidth="1"/>
    <col min="11266" max="11266" width="11.5703125" style="157"/>
    <col min="11267" max="11267" width="15.5703125" style="157" bestFit="1" customWidth="1"/>
    <col min="11268" max="11271" width="14.42578125" style="157" customWidth="1"/>
    <col min="11272" max="11273" width="12.28515625" style="157" bestFit="1" customWidth="1"/>
    <col min="11274" max="11511" width="11.5703125" style="157"/>
    <col min="11512" max="11512" width="8" style="157" customWidth="1"/>
    <col min="11513" max="11521" width="15.140625" style="157" customWidth="1"/>
    <col min="11522" max="11522" width="11.5703125" style="157"/>
    <col min="11523" max="11523" width="15.5703125" style="157" bestFit="1" customWidth="1"/>
    <col min="11524" max="11527" width="14.42578125" style="157" customWidth="1"/>
    <col min="11528" max="11529" width="12.28515625" style="157" bestFit="1" customWidth="1"/>
    <col min="11530" max="11767" width="11.5703125" style="157"/>
    <col min="11768" max="11768" width="8" style="157" customWidth="1"/>
    <col min="11769" max="11777" width="15.140625" style="157" customWidth="1"/>
    <col min="11778" max="11778" width="11.5703125" style="157"/>
    <col min="11779" max="11779" width="15.5703125" style="157" bestFit="1" customWidth="1"/>
    <col min="11780" max="11783" width="14.42578125" style="157" customWidth="1"/>
    <col min="11784" max="11785" width="12.28515625" style="157" bestFit="1" customWidth="1"/>
    <col min="11786" max="12023" width="11.5703125" style="157"/>
    <col min="12024" max="12024" width="8" style="157" customWidth="1"/>
    <col min="12025" max="12033" width="15.140625" style="157" customWidth="1"/>
    <col min="12034" max="12034" width="11.5703125" style="157"/>
    <col min="12035" max="12035" width="15.5703125" style="157" bestFit="1" customWidth="1"/>
    <col min="12036" max="12039" width="14.42578125" style="157" customWidth="1"/>
    <col min="12040" max="12041" width="12.28515625" style="157" bestFit="1" customWidth="1"/>
    <col min="12042" max="12279" width="11.5703125" style="157"/>
    <col min="12280" max="12280" width="8" style="157" customWidth="1"/>
    <col min="12281" max="12289" width="15.140625" style="157" customWidth="1"/>
    <col min="12290" max="12290" width="11.5703125" style="157"/>
    <col min="12291" max="12291" width="15.5703125" style="157" bestFit="1" customWidth="1"/>
    <col min="12292" max="12295" width="14.42578125" style="157" customWidth="1"/>
    <col min="12296" max="12297" width="12.28515625" style="157" bestFit="1" customWidth="1"/>
    <col min="12298" max="12535" width="11.5703125" style="157"/>
    <col min="12536" max="12536" width="8" style="157" customWidth="1"/>
    <col min="12537" max="12545" width="15.140625" style="157" customWidth="1"/>
    <col min="12546" max="12546" width="11.5703125" style="157"/>
    <col min="12547" max="12547" width="15.5703125" style="157" bestFit="1" customWidth="1"/>
    <col min="12548" max="12551" width="14.42578125" style="157" customWidth="1"/>
    <col min="12552" max="12553" width="12.28515625" style="157" bestFit="1" customWidth="1"/>
    <col min="12554" max="12791" width="11.5703125" style="157"/>
    <col min="12792" max="12792" width="8" style="157" customWidth="1"/>
    <col min="12793" max="12801" width="15.140625" style="157" customWidth="1"/>
    <col min="12802" max="12802" width="11.5703125" style="157"/>
    <col min="12803" max="12803" width="15.5703125" style="157" bestFit="1" customWidth="1"/>
    <col min="12804" max="12807" width="14.42578125" style="157" customWidth="1"/>
    <col min="12808" max="12809" width="12.28515625" style="157" bestFit="1" customWidth="1"/>
    <col min="12810" max="13047" width="11.5703125" style="157"/>
    <col min="13048" max="13048" width="8" style="157" customWidth="1"/>
    <col min="13049" max="13057" width="15.140625" style="157" customWidth="1"/>
    <col min="13058" max="13058" width="11.5703125" style="157"/>
    <col min="13059" max="13059" width="15.5703125" style="157" bestFit="1" customWidth="1"/>
    <col min="13060" max="13063" width="14.42578125" style="157" customWidth="1"/>
    <col min="13064" max="13065" width="12.28515625" style="157" bestFit="1" customWidth="1"/>
    <col min="13066" max="13303" width="11.5703125" style="157"/>
    <col min="13304" max="13304" width="8" style="157" customWidth="1"/>
    <col min="13305" max="13313" width="15.140625" style="157" customWidth="1"/>
    <col min="13314" max="13314" width="11.5703125" style="157"/>
    <col min="13315" max="13315" width="15.5703125" style="157" bestFit="1" customWidth="1"/>
    <col min="13316" max="13319" width="14.42578125" style="157" customWidth="1"/>
    <col min="13320" max="13321" width="12.28515625" style="157" bestFit="1" customWidth="1"/>
    <col min="13322" max="13559" width="11.5703125" style="157"/>
    <col min="13560" max="13560" width="8" style="157" customWidth="1"/>
    <col min="13561" max="13569" width="15.140625" style="157" customWidth="1"/>
    <col min="13570" max="13570" width="11.5703125" style="157"/>
    <col min="13571" max="13571" width="15.5703125" style="157" bestFit="1" customWidth="1"/>
    <col min="13572" max="13575" width="14.42578125" style="157" customWidth="1"/>
    <col min="13576" max="13577" width="12.28515625" style="157" bestFit="1" customWidth="1"/>
    <col min="13578" max="13815" width="11.5703125" style="157"/>
    <col min="13816" max="13816" width="8" style="157" customWidth="1"/>
    <col min="13817" max="13825" width="15.140625" style="157" customWidth="1"/>
    <col min="13826" max="13826" width="11.5703125" style="157"/>
    <col min="13827" max="13827" width="15.5703125" style="157" bestFit="1" customWidth="1"/>
    <col min="13828" max="13831" width="14.42578125" style="157" customWidth="1"/>
    <col min="13832" max="13833" width="12.28515625" style="157" bestFit="1" customWidth="1"/>
    <col min="13834" max="14071" width="11.5703125" style="157"/>
    <col min="14072" max="14072" width="8" style="157" customWidth="1"/>
    <col min="14073" max="14081" width="15.140625" style="157" customWidth="1"/>
    <col min="14082" max="14082" width="11.5703125" style="157"/>
    <col min="14083" max="14083" width="15.5703125" style="157" bestFit="1" customWidth="1"/>
    <col min="14084" max="14087" width="14.42578125" style="157" customWidth="1"/>
    <col min="14088" max="14089" width="12.28515625" style="157" bestFit="1" customWidth="1"/>
    <col min="14090" max="14327" width="11.5703125" style="157"/>
    <col min="14328" max="14328" width="8" style="157" customWidth="1"/>
    <col min="14329" max="14337" width="15.140625" style="157" customWidth="1"/>
    <col min="14338" max="14338" width="11.5703125" style="157"/>
    <col min="14339" max="14339" width="15.5703125" style="157" bestFit="1" customWidth="1"/>
    <col min="14340" max="14343" width="14.42578125" style="157" customWidth="1"/>
    <col min="14344" max="14345" width="12.28515625" style="157" bestFit="1" customWidth="1"/>
    <col min="14346" max="14583" width="11.5703125" style="157"/>
    <col min="14584" max="14584" width="8" style="157" customWidth="1"/>
    <col min="14585" max="14593" width="15.140625" style="157" customWidth="1"/>
    <col min="14594" max="14594" width="11.5703125" style="157"/>
    <col min="14595" max="14595" width="15.5703125" style="157" bestFit="1" customWidth="1"/>
    <col min="14596" max="14599" width="14.42578125" style="157" customWidth="1"/>
    <col min="14600" max="14601" width="12.28515625" style="157" bestFit="1" customWidth="1"/>
    <col min="14602" max="14839" width="11.5703125" style="157"/>
    <col min="14840" max="14840" width="8" style="157" customWidth="1"/>
    <col min="14841" max="14849" width="15.140625" style="157" customWidth="1"/>
    <col min="14850" max="14850" width="11.5703125" style="157"/>
    <col min="14851" max="14851" width="15.5703125" style="157" bestFit="1" customWidth="1"/>
    <col min="14852" max="14855" width="14.42578125" style="157" customWidth="1"/>
    <col min="14856" max="14857" width="12.28515625" style="157" bestFit="1" customWidth="1"/>
    <col min="14858" max="15095" width="11.5703125" style="157"/>
    <col min="15096" max="15096" width="8" style="157" customWidth="1"/>
    <col min="15097" max="15105" width="15.140625" style="157" customWidth="1"/>
    <col min="15106" max="15106" width="11.5703125" style="157"/>
    <col min="15107" max="15107" width="15.5703125" style="157" bestFit="1" customWidth="1"/>
    <col min="15108" max="15111" width="14.42578125" style="157" customWidth="1"/>
    <col min="15112" max="15113" width="12.28515625" style="157" bestFit="1" customWidth="1"/>
    <col min="15114" max="15351" width="11.5703125" style="157"/>
    <col min="15352" max="15352" width="8" style="157" customWidth="1"/>
    <col min="15353" max="15361" width="15.140625" style="157" customWidth="1"/>
    <col min="15362" max="15362" width="11.5703125" style="157"/>
    <col min="15363" max="15363" width="15.5703125" style="157" bestFit="1" customWidth="1"/>
    <col min="15364" max="15367" width="14.42578125" style="157" customWidth="1"/>
    <col min="15368" max="15369" width="12.28515625" style="157" bestFit="1" customWidth="1"/>
    <col min="15370" max="15607" width="11.5703125" style="157"/>
    <col min="15608" max="15608" width="8" style="157" customWidth="1"/>
    <col min="15609" max="15617" width="15.140625" style="157" customWidth="1"/>
    <col min="15618" max="15618" width="11.5703125" style="157"/>
    <col min="15619" max="15619" width="15.5703125" style="157" bestFit="1" customWidth="1"/>
    <col min="15620" max="15623" width="14.42578125" style="157" customWidth="1"/>
    <col min="15624" max="15625" width="12.28515625" style="157" bestFit="1" customWidth="1"/>
    <col min="15626" max="15863" width="11.5703125" style="157"/>
    <col min="15864" max="15864" width="8" style="157" customWidth="1"/>
    <col min="15865" max="15873" width="15.140625" style="157" customWidth="1"/>
    <col min="15874" max="15874" width="11.5703125" style="157"/>
    <col min="15875" max="15875" width="15.5703125" style="157" bestFit="1" customWidth="1"/>
    <col min="15876" max="15879" width="14.42578125" style="157" customWidth="1"/>
    <col min="15880" max="15881" width="12.28515625" style="157" bestFit="1" customWidth="1"/>
    <col min="15882" max="16119" width="11.5703125" style="157"/>
    <col min="16120" max="16120" width="8" style="157" customWidth="1"/>
    <col min="16121" max="16129" width="15.140625" style="157" customWidth="1"/>
    <col min="16130" max="16130" width="11.5703125" style="157"/>
    <col min="16131" max="16131" width="15.5703125" style="157" bestFit="1" customWidth="1"/>
    <col min="16132" max="16135" width="14.42578125" style="157" customWidth="1"/>
    <col min="16136" max="16137" width="12.28515625" style="157" bestFit="1" customWidth="1"/>
    <col min="16138" max="16384" width="11.5703125" style="157"/>
  </cols>
  <sheetData>
    <row r="1" spans="2:14" s="156" customFormat="1" ht="38.25" customHeight="1" thickBot="1">
      <c r="B1" s="1696" t="s">
        <v>129</v>
      </c>
      <c r="C1" s="1696"/>
      <c r="D1" s="1696"/>
      <c r="E1" s="1696"/>
      <c r="F1" s="1696"/>
      <c r="G1" s="1696"/>
      <c r="H1" s="1696"/>
      <c r="I1" s="1696"/>
      <c r="J1" s="1696"/>
      <c r="K1" s="1696"/>
    </row>
    <row r="2" spans="2:14" ht="12.75" hidden="1" customHeight="1" thickBot="1">
      <c r="B2" s="47"/>
      <c r="C2" s="47"/>
      <c r="D2" s="47"/>
      <c r="E2" s="47"/>
      <c r="F2" s="47">
        <v>1.4</v>
      </c>
      <c r="G2" s="47"/>
      <c r="H2" s="47"/>
      <c r="I2" s="47">
        <v>1.2</v>
      </c>
      <c r="J2" s="47"/>
      <c r="K2" s="47">
        <v>1.05</v>
      </c>
    </row>
    <row r="3" spans="2:14" ht="21.75" customHeight="1">
      <c r="B3" s="1607" t="s">
        <v>1</v>
      </c>
      <c r="C3" s="1609" t="s">
        <v>130</v>
      </c>
      <c r="D3" s="1609" t="s">
        <v>131</v>
      </c>
      <c r="E3" s="1609" t="s">
        <v>132</v>
      </c>
      <c r="F3" s="1697" t="s">
        <v>133</v>
      </c>
      <c r="G3" s="1609" t="s">
        <v>134</v>
      </c>
      <c r="H3" s="1609" t="s">
        <v>135</v>
      </c>
      <c r="I3" s="1609" t="s">
        <v>136</v>
      </c>
      <c r="J3" s="1609" t="s">
        <v>137</v>
      </c>
      <c r="K3" s="1613" t="s">
        <v>138</v>
      </c>
    </row>
    <row r="4" spans="2:14" s="158" customFormat="1" ht="34.5" customHeight="1" thickBot="1">
      <c r="B4" s="1608"/>
      <c r="C4" s="1610"/>
      <c r="D4" s="1610"/>
      <c r="E4" s="1610"/>
      <c r="F4" s="1698"/>
      <c r="G4" s="1610"/>
      <c r="H4" s="1610"/>
      <c r="I4" s="1610"/>
      <c r="J4" s="1610"/>
      <c r="K4" s="1614"/>
      <c r="L4" s="157"/>
      <c r="M4" s="342">
        <f>'R1 FC'!C30</f>
        <v>0.8</v>
      </c>
    </row>
    <row r="5" spans="2:14" ht="20.25" customHeight="1">
      <c r="B5" s="81">
        <v>1</v>
      </c>
      <c r="C5" s="570">
        <f>'8 R1 RH'!E4</f>
        <v>245634.84</v>
      </c>
      <c r="D5" s="571">
        <f>'9 R1 EE'!U4+'9 R1 EE'!W4+'9 R1 EE'!Y4</f>
        <v>550936.15119900031</v>
      </c>
      <c r="E5" s="116">
        <f>'10 PQ A SA'!F4+'10 PQ A AF'!F4+'10 PQ A CL'!F4+'11 R1 PQ E'!F4</f>
        <v>17403.0139314964</v>
      </c>
      <c r="F5" s="458">
        <f>M5*$M$4</f>
        <v>243745.17914122643</v>
      </c>
      <c r="G5" s="572">
        <f>SUM(C5:F5)</f>
        <v>1057719.184271723</v>
      </c>
      <c r="H5" s="116">
        <f>'8 R1 RH'!H4</f>
        <v>148613</v>
      </c>
      <c r="I5" s="116">
        <f>N5*$M$4</f>
        <v>239149.36326204147</v>
      </c>
      <c r="J5" s="459">
        <f>SUM(H5:I5)</f>
        <v>387762.36326204147</v>
      </c>
      <c r="K5" s="613">
        <f>'R1 DEPR'!AH10</f>
        <v>0</v>
      </c>
      <c r="M5" s="235">
        <v>304681.47392653301</v>
      </c>
      <c r="N5" s="235">
        <v>298936.70407755184</v>
      </c>
    </row>
    <row r="6" spans="2:14" ht="20.25" customHeight="1">
      <c r="B6" s="65">
        <v>2</v>
      </c>
      <c r="C6" s="570">
        <f>'8 R1 RH'!E5</f>
        <v>450330.54</v>
      </c>
      <c r="D6" s="571">
        <f>'9 R1 EE'!U5+'9 R1 EE'!W5+'9 R1 EE'!Y5</f>
        <v>520720.01266633545</v>
      </c>
      <c r="E6" s="116">
        <f>'10 PQ A SA'!F5+'10 PQ A AF'!F5+'10 PQ A CL'!F5+'11 R1 PQ E'!F5</f>
        <v>16416.846413093408</v>
      </c>
      <c r="F6" s="458">
        <f t="shared" ref="F6:F34" si="0">M6*$M$4</f>
        <v>242859.11323662326</v>
      </c>
      <c r="G6" s="572">
        <f t="shared" ref="G6:G34" si="1">SUM(C6:F6)</f>
        <v>1230326.5123160521</v>
      </c>
      <c r="H6" s="116">
        <f>'8 R1 RH'!H5</f>
        <v>148613</v>
      </c>
      <c r="I6" s="116">
        <f t="shared" ref="I6:I34" si="2">N6*$M$4</f>
        <v>146646.20052795502</v>
      </c>
      <c r="J6" s="459">
        <f t="shared" ref="J6:J34" si="3">SUM(H6:I6)</f>
        <v>295259.20052795502</v>
      </c>
      <c r="K6" s="576">
        <f>'R1 DEPR'!AH11</f>
        <v>19422.835502517231</v>
      </c>
      <c r="L6" s="166"/>
      <c r="M6" s="235">
        <v>303573.89154577907</v>
      </c>
      <c r="N6" s="235">
        <v>183307.75065994376</v>
      </c>
    </row>
    <row r="7" spans="2:14" ht="20.25" customHeight="1">
      <c r="B7" s="65">
        <v>3</v>
      </c>
      <c r="C7" s="570">
        <f>'8 R1 RH'!E6</f>
        <v>655026.24</v>
      </c>
      <c r="D7" s="571">
        <f>'9 R1 EE'!U6+'9 R1 EE'!W6+'9 R1 EE'!Y6</f>
        <v>477268.91245393129</v>
      </c>
      <c r="E7" s="116">
        <f>'10 PQ A SA'!F6+'10 PQ A AF'!F6+'10 PQ A CL'!F6+'11 R1 PQ E'!F6</f>
        <v>15048.679461448424</v>
      </c>
      <c r="F7" s="458">
        <f t="shared" si="0"/>
        <v>299604.94187372486</v>
      </c>
      <c r="G7" s="572">
        <f t="shared" si="1"/>
        <v>1446948.7737891045</v>
      </c>
      <c r="H7" s="116">
        <f>'8 R1 RH'!H6</f>
        <v>185766.25</v>
      </c>
      <c r="I7" s="116">
        <f t="shared" si="2"/>
        <v>150071.30023137954</v>
      </c>
      <c r="J7" s="459">
        <f t="shared" si="3"/>
        <v>335837.55023137957</v>
      </c>
      <c r="K7" s="576">
        <f>'R1 DEPR'!AH12</f>
        <v>31767.091368703179</v>
      </c>
      <c r="L7" s="166"/>
      <c r="M7" s="235">
        <v>374506.17734215606</v>
      </c>
      <c r="N7" s="235">
        <v>187589.12528922441</v>
      </c>
    </row>
    <row r="8" spans="2:14" ht="20.25" customHeight="1">
      <c r="B8" s="65">
        <v>4</v>
      </c>
      <c r="C8" s="954">
        <f>'8 R1 RH'!E7</f>
        <v>736904.52</v>
      </c>
      <c r="D8" s="955">
        <f>'9 R1 EE'!U7+'9 R1 EE'!W7+'9 R1 EE'!Y7</f>
        <v>344396.7516912701</v>
      </c>
      <c r="E8" s="116">
        <f>'10 PQ A SA'!F7+'10 PQ A AF'!F7+'10 PQ A CL'!F7+'11 R1 PQ E'!F7</f>
        <v>14145.078118748261</v>
      </c>
      <c r="F8" s="458">
        <f t="shared" si="0"/>
        <v>299283.41960704466</v>
      </c>
      <c r="G8" s="957">
        <f t="shared" si="1"/>
        <v>1394729.7694170631</v>
      </c>
      <c r="H8" s="116">
        <f>'8 R1 RH'!H7</f>
        <v>222919.5</v>
      </c>
      <c r="I8" s="116">
        <f t="shared" si="2"/>
        <v>142905.76800000001</v>
      </c>
      <c r="J8" s="459">
        <f t="shared" si="3"/>
        <v>365825.26800000004</v>
      </c>
      <c r="K8" s="958">
        <f>'R1 DEPR'!AH13</f>
        <v>42964.776963557146</v>
      </c>
      <c r="L8" s="166"/>
      <c r="M8" s="235">
        <v>374104.27450880583</v>
      </c>
      <c r="N8" s="235">
        <v>178632.21</v>
      </c>
    </row>
    <row r="9" spans="2:14" ht="20.25" customHeight="1">
      <c r="B9" s="65">
        <v>5</v>
      </c>
      <c r="C9" s="954">
        <f>'8 R1 RH'!E8</f>
        <v>553251.9</v>
      </c>
      <c r="D9" s="955">
        <f>'9 R1 EE'!U8+'9 R1 EE'!W8+'9 R1 EE'!Y8</f>
        <v>453766.16256899503</v>
      </c>
      <c r="E9" s="955">
        <f>'10 PQ A SA'!F8+'10 PQ A AF'!F8+'10 PQ A CL'!F8+'11 R1 PQ E'!F8</f>
        <v>14599.065768930037</v>
      </c>
      <c r="F9" s="458">
        <f t="shared" si="0"/>
        <v>350814.0451623681</v>
      </c>
      <c r="G9" s="957">
        <f t="shared" si="1"/>
        <v>1372431.1735002932</v>
      </c>
      <c r="H9" s="116">
        <f>'8 R1 RH'!H8</f>
        <v>222919.5</v>
      </c>
      <c r="I9" s="116">
        <f t="shared" si="2"/>
        <v>141611.1231692904</v>
      </c>
      <c r="J9" s="459">
        <f t="shared" si="3"/>
        <v>364530.62316929037</v>
      </c>
      <c r="K9" s="958">
        <f>'R1 DEPR'!AH14</f>
        <v>96570.054420457061</v>
      </c>
      <c r="L9" s="166"/>
      <c r="M9" s="235">
        <v>438517.55645296013</v>
      </c>
      <c r="N9" s="235">
        <v>177013.90396161299</v>
      </c>
    </row>
    <row r="10" spans="2:14" ht="20.25" customHeight="1">
      <c r="B10" s="65">
        <v>6</v>
      </c>
      <c r="C10" s="954">
        <f>'8 R1 RH'!E9</f>
        <v>553251.9</v>
      </c>
      <c r="D10" s="955">
        <f>'9 R1 EE'!U9+'9 R1 EE'!W9+'9 R1 EE'!Y9</f>
        <v>452504.37082250707</v>
      </c>
      <c r="E10" s="955">
        <f>'10 PQ A SA'!F9+'10 PQ A AF'!F9+'10 PQ A CL'!F9+'11 R1 PQ E'!F9</f>
        <v>15057.798117373999</v>
      </c>
      <c r="F10" s="458">
        <f t="shared" si="0"/>
        <v>351352.02542474587</v>
      </c>
      <c r="G10" s="957">
        <f t="shared" si="1"/>
        <v>1372166.0943646268</v>
      </c>
      <c r="H10" s="116">
        <f>'8 R1 RH'!H9</f>
        <v>222919.5</v>
      </c>
      <c r="I10" s="116">
        <f t="shared" si="2"/>
        <v>163745.49739602054</v>
      </c>
      <c r="J10" s="459">
        <f t="shared" si="3"/>
        <v>386664.99739602057</v>
      </c>
      <c r="K10" s="958">
        <f>'R1 DEPR'!AH15</f>
        <v>304965.65942868049</v>
      </c>
      <c r="L10" s="166"/>
      <c r="M10" s="235">
        <v>439190.03178093233</v>
      </c>
      <c r="N10" s="235">
        <v>204681.87174502565</v>
      </c>
    </row>
    <row r="11" spans="2:14" ht="20.25" customHeight="1">
      <c r="B11" s="65">
        <v>7</v>
      </c>
      <c r="C11" s="954">
        <f>'8 R1 RH'!E10</f>
        <v>553251.9</v>
      </c>
      <c r="D11" s="955">
        <f>'9 R1 EE'!U10+'9 R1 EE'!W10+'9 R1 EE'!Y10</f>
        <v>446472.24784560606</v>
      </c>
      <c r="E11" s="955">
        <f>'10 PQ A SA'!F10+'10 PQ A AF'!F10+'10 PQ A CL'!F10+'11 R1 PQ E'!F10</f>
        <v>15064.87973247327</v>
      </c>
      <c r="F11" s="458">
        <f t="shared" si="0"/>
        <v>351547.9489293131</v>
      </c>
      <c r="G11" s="957">
        <f t="shared" si="1"/>
        <v>1366336.9765073925</v>
      </c>
      <c r="H11" s="116">
        <f>'8 R1 RH'!H10</f>
        <v>222919.5</v>
      </c>
      <c r="I11" s="116">
        <f t="shared" si="2"/>
        <v>145132.02738592165</v>
      </c>
      <c r="J11" s="459">
        <f t="shared" si="3"/>
        <v>368051.52738592168</v>
      </c>
      <c r="K11" s="958">
        <f>'R1 DEPR'!AH16</f>
        <v>335294.75656698272</v>
      </c>
      <c r="L11" s="166"/>
      <c r="M11" s="235">
        <v>439434.93616164138</v>
      </c>
      <c r="N11" s="235">
        <v>181415.03423240207</v>
      </c>
    </row>
    <row r="12" spans="2:14" ht="20.25" customHeight="1">
      <c r="B12" s="65">
        <v>8</v>
      </c>
      <c r="C12" s="954">
        <f>'8 R1 RH'!E11</f>
        <v>553251.9</v>
      </c>
      <c r="D12" s="955">
        <f>'9 R1 EE'!U11+'9 R1 EE'!W11+'9 R1 EE'!Y11</f>
        <v>475713.8977125652</v>
      </c>
      <c r="E12" s="955">
        <f>'10 PQ A SA'!F11+'10 PQ A AF'!F11+'10 PQ A CL'!F11+'11 R1 PQ E'!F11</f>
        <v>15072.495622356846</v>
      </c>
      <c r="F12" s="458">
        <f t="shared" si="0"/>
        <v>371729.4648631434</v>
      </c>
      <c r="G12" s="957">
        <f t="shared" si="1"/>
        <v>1415767.7581980655</v>
      </c>
      <c r="H12" s="116">
        <f>'8 R1 RH'!H11</f>
        <v>222919.5</v>
      </c>
      <c r="I12" s="116">
        <f t="shared" si="2"/>
        <v>146644.29094887545</v>
      </c>
      <c r="J12" s="459">
        <f t="shared" si="3"/>
        <v>369563.79094887548</v>
      </c>
      <c r="K12" s="958">
        <f>'R1 DEPR'!AH17</f>
        <v>409777.60554813145</v>
      </c>
      <c r="L12" s="166"/>
      <c r="M12" s="235">
        <v>464661.83107892924</v>
      </c>
      <c r="N12" s="235">
        <v>183305.36368609432</v>
      </c>
    </row>
    <row r="13" spans="2:14" ht="20.25" customHeight="1">
      <c r="B13" s="65">
        <v>9</v>
      </c>
      <c r="C13" s="954">
        <f>'8 R1 RH'!E12</f>
        <v>553251.9</v>
      </c>
      <c r="D13" s="955">
        <f>'9 R1 EE'!U12+'9 R1 EE'!W12+'9 R1 EE'!Y12</f>
        <v>483412.18706838228</v>
      </c>
      <c r="E13" s="955">
        <f>'10 PQ A SA'!F12+'10 PQ A AF'!F12+'10 PQ A CL'!F12+'11 R1 PQ E'!F12</f>
        <v>15192.826253067265</v>
      </c>
      <c r="F13" s="458">
        <f t="shared" si="0"/>
        <v>387030.74461918877</v>
      </c>
      <c r="G13" s="957">
        <f t="shared" si="1"/>
        <v>1438887.6579406385</v>
      </c>
      <c r="H13" s="116">
        <f>'8 R1 RH'!H12</f>
        <v>222919.5</v>
      </c>
      <c r="I13" s="116">
        <f t="shared" si="2"/>
        <v>151791.24257447</v>
      </c>
      <c r="J13" s="459">
        <f t="shared" si="3"/>
        <v>374710.74257447</v>
      </c>
      <c r="K13" s="958">
        <f>'R1 DEPR'!AH18</f>
        <v>463947.68852428254</v>
      </c>
      <c r="L13" s="166"/>
      <c r="M13" s="235">
        <v>483788.43077398592</v>
      </c>
      <c r="N13" s="235">
        <v>189739.0532180875</v>
      </c>
    </row>
    <row r="14" spans="2:14" ht="20.25" customHeight="1">
      <c r="B14" s="65">
        <v>10</v>
      </c>
      <c r="C14" s="954">
        <f>'8 R1 RH'!E13</f>
        <v>553251.9</v>
      </c>
      <c r="D14" s="955">
        <f>'9 R1 EE'!U13+'9 R1 EE'!W13+'9 R1 EE'!Y13</f>
        <v>489442.6019993478</v>
      </c>
      <c r="E14" s="955">
        <f>'10 PQ A SA'!F13+'10 PQ A AF'!F13+'10 PQ A CL'!F13+'11 R1 PQ E'!F13</f>
        <v>15347.122255394672</v>
      </c>
      <c r="F14" s="458">
        <f t="shared" si="0"/>
        <v>401658.00294591533</v>
      </c>
      <c r="G14" s="957">
        <f t="shared" si="1"/>
        <v>1459699.6272006577</v>
      </c>
      <c r="H14" s="116">
        <f>'8 R1 RH'!H13</f>
        <v>222919.5</v>
      </c>
      <c r="I14" s="116">
        <f t="shared" si="2"/>
        <v>139475.54255699547</v>
      </c>
      <c r="J14" s="459">
        <f t="shared" si="3"/>
        <v>362395.04255699547</v>
      </c>
      <c r="K14" s="958">
        <f>'R1 DEPR'!AH19</f>
        <v>555574.63704043371</v>
      </c>
      <c r="L14" s="166"/>
      <c r="M14" s="235">
        <v>502072.50368239416</v>
      </c>
      <c r="N14" s="235">
        <v>174344.42819624432</v>
      </c>
    </row>
    <row r="15" spans="2:14" ht="20.25" customHeight="1">
      <c r="B15" s="65">
        <v>11</v>
      </c>
      <c r="C15" s="954">
        <f>'8 R1 RH'!E14</f>
        <v>553251.9</v>
      </c>
      <c r="D15" s="955">
        <f>'9 R1 EE'!U14+'9 R1 EE'!W14+'9 R1 EE'!Y14</f>
        <v>490208.95603734476</v>
      </c>
      <c r="E15" s="955">
        <f>'10 PQ A SA'!F14+'10 PQ A AF'!F14+'10 PQ A CL'!F14+'11 R1 PQ E'!F14</f>
        <v>15631.795172996442</v>
      </c>
      <c r="F15" s="458">
        <f t="shared" si="0"/>
        <v>401728.7150956777</v>
      </c>
      <c r="G15" s="957">
        <f t="shared" si="1"/>
        <v>1460821.3663060188</v>
      </c>
      <c r="H15" s="116">
        <f>'8 R1 RH'!H14</f>
        <v>222919.5</v>
      </c>
      <c r="I15" s="116">
        <f t="shared" si="2"/>
        <v>139561.84</v>
      </c>
      <c r="J15" s="459">
        <f t="shared" si="3"/>
        <v>362481.33999999997</v>
      </c>
      <c r="K15" s="958">
        <f>'R1 DEPR'!AH20</f>
        <v>605563.54056842171</v>
      </c>
      <c r="L15" s="166"/>
      <c r="M15" s="235">
        <v>502160.89386959712</v>
      </c>
      <c r="N15" s="235">
        <v>174452.3</v>
      </c>
    </row>
    <row r="16" spans="2:14" ht="20.25" customHeight="1">
      <c r="B16" s="65">
        <v>12</v>
      </c>
      <c r="C16" s="954">
        <f>'8 R1 RH'!E15</f>
        <v>553251.9</v>
      </c>
      <c r="D16" s="955">
        <f>'9 R1 EE'!U15+'9 R1 EE'!W15+'9 R1 EE'!Y15</f>
        <v>490920.5570620927</v>
      </c>
      <c r="E16" s="116">
        <f>'10 PQ A SA'!F15+'10 PQ A AF'!F15+'10 PQ A CL'!F15+'11 R1 PQ E'!F15</f>
        <v>16078.51764681211</v>
      </c>
      <c r="F16" s="458">
        <f t="shared" si="0"/>
        <v>401794.78888514388</v>
      </c>
      <c r="G16" s="957">
        <f t="shared" si="1"/>
        <v>1462045.7635940486</v>
      </c>
      <c r="H16" s="116">
        <f>'8 R1 RH'!H15</f>
        <v>222919.5</v>
      </c>
      <c r="I16" s="116">
        <f t="shared" si="2"/>
        <v>139570.84070234848</v>
      </c>
      <c r="J16" s="459">
        <f t="shared" si="3"/>
        <v>362490.34070234851</v>
      </c>
      <c r="K16" s="958">
        <f>'R1 DEPR'!AH21</f>
        <v>745221.7237064041</v>
      </c>
      <c r="L16" s="166"/>
      <c r="M16" s="235">
        <v>502243.48610642983</v>
      </c>
      <c r="N16" s="235">
        <v>174463.55087793557</v>
      </c>
    </row>
    <row r="17" spans="2:14" ht="20.25" customHeight="1">
      <c r="B17" s="65">
        <v>13</v>
      </c>
      <c r="C17" s="954">
        <f>'8 R1 RH'!E16</f>
        <v>553251.9</v>
      </c>
      <c r="D17" s="955">
        <f>'9 R1 EE'!U16+'9 R1 EE'!W16+'9 R1 EE'!Y16</f>
        <v>491624.76348001952</v>
      </c>
      <c r="E17" s="116">
        <f>'10 PQ A SA'!F16+'10 PQ A AF'!F16+'10 PQ A CL'!F16+'11 R1 PQ E'!F16</f>
        <v>16101.57888608165</v>
      </c>
      <c r="F17" s="458">
        <f t="shared" si="0"/>
        <v>401859.59436818259</v>
      </c>
      <c r="G17" s="957">
        <f t="shared" si="1"/>
        <v>1462837.8367342837</v>
      </c>
      <c r="H17" s="116">
        <f>'8 R1 RH'!H16</f>
        <v>222919.5</v>
      </c>
      <c r="I17" s="116">
        <f t="shared" si="2"/>
        <v>139617.49326174878</v>
      </c>
      <c r="J17" s="459">
        <f t="shared" si="3"/>
        <v>362536.99326174881</v>
      </c>
      <c r="K17" s="958">
        <f>'R1 DEPR'!AH22</f>
        <v>875944.51290035935</v>
      </c>
      <c r="L17" s="166"/>
      <c r="M17" s="235">
        <v>502324.49296022824</v>
      </c>
      <c r="N17" s="235">
        <v>174521.86657718595</v>
      </c>
    </row>
    <row r="18" spans="2:14" ht="20.25" customHeight="1">
      <c r="B18" s="65">
        <v>14</v>
      </c>
      <c r="C18" s="954">
        <f>'8 R1 RH'!E17</f>
        <v>553251.9</v>
      </c>
      <c r="D18" s="955">
        <f>'9 R1 EE'!U17+'9 R1 EE'!W17+'9 R1 EE'!Y17</f>
        <v>492328.96989794611</v>
      </c>
      <c r="E18" s="116">
        <f>'10 PQ A SA'!F17+'10 PQ A AF'!F17+'10 PQ A CL'!F17+'11 R1 PQ E'!F17</f>
        <v>16124.640125351203</v>
      </c>
      <c r="F18" s="458">
        <f t="shared" si="0"/>
        <v>401924.39985122136</v>
      </c>
      <c r="G18" s="957">
        <f t="shared" si="1"/>
        <v>1463629.9098745186</v>
      </c>
      <c r="H18" s="116">
        <f>'8 R1 RH'!H17</f>
        <v>222919.5</v>
      </c>
      <c r="I18" s="116">
        <f t="shared" si="2"/>
        <v>139664.20954566196</v>
      </c>
      <c r="J18" s="459">
        <f t="shared" si="3"/>
        <v>362583.70954566193</v>
      </c>
      <c r="K18" s="958">
        <f>'R1 DEPR'!AH23</f>
        <v>879967.26312107325</v>
      </c>
      <c r="L18" s="166"/>
      <c r="M18" s="235">
        <v>502405.49981402664</v>
      </c>
      <c r="N18" s="235">
        <v>174580.26193207744</v>
      </c>
    </row>
    <row r="19" spans="2:14" ht="20.25" customHeight="1">
      <c r="B19" s="65">
        <v>15</v>
      </c>
      <c r="C19" s="954">
        <f>'8 R1 RH'!E18</f>
        <v>553251.9</v>
      </c>
      <c r="D19" s="955">
        <f>'9 R1 EE'!U18+'9 R1 EE'!W18+'9 R1 EE'!Y18</f>
        <v>493033.1763158727</v>
      </c>
      <c r="E19" s="116">
        <f>'10 PQ A SA'!F18+'10 PQ A AF'!F18+'10 PQ A CL'!F18+'11 R1 PQ E'!F18</f>
        <v>16147.701364620751</v>
      </c>
      <c r="F19" s="458">
        <f t="shared" si="0"/>
        <v>401989.20533426024</v>
      </c>
      <c r="G19" s="957">
        <f t="shared" si="1"/>
        <v>1464421.9830147536</v>
      </c>
      <c r="H19" s="116">
        <f>'8 R1 RH'!H18</f>
        <v>222919.5</v>
      </c>
      <c r="I19" s="116">
        <f t="shared" si="2"/>
        <v>139710.9975196523</v>
      </c>
      <c r="J19" s="459">
        <f t="shared" si="3"/>
        <v>362630.4975196523</v>
      </c>
      <c r="K19" s="958">
        <f>'R1 DEPR'!AH24</f>
        <v>884241.43523058179</v>
      </c>
      <c r="L19" s="166"/>
      <c r="M19" s="235">
        <v>502486.50666782528</v>
      </c>
      <c r="N19" s="235">
        <v>174638.74689956536</v>
      </c>
    </row>
    <row r="20" spans="2:14" ht="20.25" customHeight="1">
      <c r="B20" s="65">
        <v>16</v>
      </c>
      <c r="C20" s="954">
        <f>'8 R1 RH'!E19</f>
        <v>553251.9</v>
      </c>
      <c r="D20" s="955">
        <f>'9 R1 EE'!U19+'9 R1 EE'!W19+'9 R1 EE'!Y19</f>
        <v>493612.01936735166</v>
      </c>
      <c r="E20" s="116">
        <f>'10 PQ A SA'!F19+'10 PQ A AF'!F19+'10 PQ A CL'!F19+'11 R1 PQ E'!F19</f>
        <v>16166.143434356836</v>
      </c>
      <c r="F20" s="458">
        <f t="shared" si="0"/>
        <v>402043.81998414529</v>
      </c>
      <c r="G20" s="957">
        <f t="shared" si="1"/>
        <v>1465073.8827858537</v>
      </c>
      <c r="H20" s="116">
        <f>'8 R1 RH'!H19</f>
        <v>222919.5</v>
      </c>
      <c r="I20" s="116">
        <f t="shared" si="2"/>
        <v>139777.04</v>
      </c>
      <c r="J20" s="459">
        <f t="shared" si="3"/>
        <v>362696.54000000004</v>
      </c>
      <c r="K20" s="958">
        <f>'R1 DEPR'!AH25</f>
        <v>888800.5521473909</v>
      </c>
      <c r="L20" s="166"/>
      <c r="M20" s="235">
        <v>502554.7749801816</v>
      </c>
      <c r="N20" s="235">
        <v>174721.3</v>
      </c>
    </row>
    <row r="21" spans="2:14" ht="20.25" customHeight="1">
      <c r="B21" s="65">
        <v>17</v>
      </c>
      <c r="C21" s="954">
        <f>'8 R1 RH'!E20</f>
        <v>553251.9</v>
      </c>
      <c r="D21" s="955">
        <f>'9 R1 EE'!U20+'9 R1 EE'!W20+'9 R1 EE'!Y20</f>
        <v>494186.17130256217</v>
      </c>
      <c r="E21" s="116">
        <f>'10 PQ A SA'!F20+'10 PQ A AF'!F20+'10 PQ A CL'!F20+'11 R1 PQ E'!F20</f>
        <v>16184.911737817845</v>
      </c>
      <c r="F21" s="458">
        <f t="shared" si="0"/>
        <v>402096.74885431846</v>
      </c>
      <c r="G21" s="957">
        <f t="shared" si="1"/>
        <v>1465719.7318946985</v>
      </c>
      <c r="H21" s="116">
        <f>'8 R1 RH'!H20</f>
        <v>222919.5</v>
      </c>
      <c r="I21" s="116">
        <f t="shared" si="2"/>
        <v>139793.16594447548</v>
      </c>
      <c r="J21" s="459">
        <f t="shared" si="3"/>
        <v>362712.66594447545</v>
      </c>
      <c r="K21" s="958">
        <f>'R1 DEPR'!AH26</f>
        <v>893307.60598682927</v>
      </c>
      <c r="L21" s="166"/>
      <c r="M21" s="235">
        <v>502620.93606789806</v>
      </c>
      <c r="N21" s="235">
        <v>174741.45743059434</v>
      </c>
    </row>
    <row r="22" spans="2:14" ht="20.25" customHeight="1">
      <c r="B22" s="65">
        <v>18</v>
      </c>
      <c r="C22" s="954">
        <f>'8 R1 RH'!E21</f>
        <v>553251.9</v>
      </c>
      <c r="D22" s="955">
        <f>'9 R1 EE'!U21+'9 R1 EE'!W21+'9 R1 EE'!Y21</f>
        <v>494759.40497506119</v>
      </c>
      <c r="E22" s="116">
        <f>'10 PQ A SA'!F21+'10 PQ A AF'!F21+'10 PQ A CL'!F21+'11 R1 PQ E'!F21</f>
        <v>16203.680041278865</v>
      </c>
      <c r="F22" s="458">
        <f t="shared" si="0"/>
        <v>402149.52022612467</v>
      </c>
      <c r="G22" s="957">
        <f t="shared" si="1"/>
        <v>1466364.5052424648</v>
      </c>
      <c r="H22" s="116">
        <f>'8 R1 RH'!H21</f>
        <v>222919.5</v>
      </c>
      <c r="I22" s="116">
        <f t="shared" si="2"/>
        <v>139832.49800359353</v>
      </c>
      <c r="J22" s="459">
        <f t="shared" si="3"/>
        <v>362751.99800359353</v>
      </c>
      <c r="K22" s="958">
        <f>'R1 DEPR'!AH27</f>
        <v>898161.35627545521</v>
      </c>
      <c r="L22" s="166"/>
      <c r="M22" s="235">
        <v>502686.90028265584</v>
      </c>
      <c r="N22" s="235">
        <v>174790.62250449191</v>
      </c>
    </row>
    <row r="23" spans="2:14" s="158" customFormat="1" ht="20.25" customHeight="1">
      <c r="B23" s="65">
        <v>19</v>
      </c>
      <c r="C23" s="954">
        <f>'8 R1 RH'!E22</f>
        <v>553251.9</v>
      </c>
      <c r="D23" s="955">
        <f>'9 R1 EE'!U22+'9 R1 EE'!W22+'9 R1 EE'!Y22</f>
        <v>495332.63864756015</v>
      </c>
      <c r="E23" s="116">
        <f>'10 PQ A SA'!F22+'10 PQ A AF'!F22+'10 PQ A CL'!F22+'11 R1 PQ E'!F22</f>
        <v>16222.448344739874</v>
      </c>
      <c r="F23" s="458">
        <f t="shared" si="0"/>
        <v>402302.29159793071</v>
      </c>
      <c r="G23" s="957">
        <f t="shared" si="1"/>
        <v>1467109.2785902307</v>
      </c>
      <c r="H23" s="116">
        <f>'8 R1 RH'!H22</f>
        <v>222919.5</v>
      </c>
      <c r="I23" s="116">
        <f t="shared" si="2"/>
        <v>139870.30886980714</v>
      </c>
      <c r="J23" s="459">
        <f t="shared" si="3"/>
        <v>362789.80886980717</v>
      </c>
      <c r="K23" s="958">
        <f>'R1 DEPR'!AH28</f>
        <v>903419.58575479989</v>
      </c>
      <c r="L23" s="166"/>
      <c r="M23" s="235">
        <v>502877.86449741339</v>
      </c>
      <c r="N23" s="236">
        <v>174837.8860872589</v>
      </c>
    </row>
    <row r="24" spans="2:14" ht="20.25" customHeight="1">
      <c r="B24" s="65">
        <v>20</v>
      </c>
      <c r="C24" s="954">
        <f>'8 R1 RH'!E23</f>
        <v>553251.9</v>
      </c>
      <c r="D24" s="955">
        <f>'9 R1 EE'!U23+'9 R1 EE'!W23+'9 R1 EE'!Y23</f>
        <v>495905.87232005922</v>
      </c>
      <c r="E24" s="116">
        <f>'10 PQ A SA'!F23+'10 PQ A AF'!F23+'10 PQ A CL'!F23+'11 R1 PQ E'!F23</f>
        <v>16241.216648200887</v>
      </c>
      <c r="F24" s="458">
        <f t="shared" si="0"/>
        <v>402355.06296973687</v>
      </c>
      <c r="G24" s="957">
        <f t="shared" si="1"/>
        <v>1467754.0519379969</v>
      </c>
      <c r="H24" s="116">
        <f>'8 R1 RH'!H23</f>
        <v>222919.5</v>
      </c>
      <c r="I24" s="116">
        <f t="shared" si="2"/>
        <v>139906.10956597811</v>
      </c>
      <c r="J24" s="459">
        <f t="shared" si="3"/>
        <v>362825.60956597811</v>
      </c>
      <c r="K24" s="958">
        <f>'R1 DEPR'!AH29</f>
        <v>909155.83609590319</v>
      </c>
      <c r="L24" s="166"/>
      <c r="M24" s="235">
        <v>502943.82871217106</v>
      </c>
      <c r="N24" s="235">
        <v>174882.63695747263</v>
      </c>
    </row>
    <row r="25" spans="2:14" ht="20.25" customHeight="1">
      <c r="B25" s="65">
        <v>21</v>
      </c>
      <c r="C25" s="954">
        <f>'8 R1 RH'!E24</f>
        <v>553251.9</v>
      </c>
      <c r="D25" s="955">
        <f>'9 R1 EE'!U24+'9 R1 EE'!W24+'9 R1 EE'!Y24</f>
        <v>496595.18385540805</v>
      </c>
      <c r="E25" s="116">
        <f>'10 PQ A SA'!F24+'10 PQ A AF'!F24+'10 PQ A CL'!F24+'11 R1 PQ E'!F24</f>
        <v>16264.319313534354</v>
      </c>
      <c r="F25" s="458">
        <f t="shared" si="0"/>
        <v>402417.270352769</v>
      </c>
      <c r="G25" s="957">
        <f t="shared" si="1"/>
        <v>1468528.6735217113</v>
      </c>
      <c r="H25" s="116">
        <f>'8 R1 RH'!H24</f>
        <v>222919.5</v>
      </c>
      <c r="I25" s="116">
        <f t="shared" si="2"/>
        <v>139938.48000000001</v>
      </c>
      <c r="J25" s="459">
        <f t="shared" si="3"/>
        <v>362857.98</v>
      </c>
      <c r="K25" s="958">
        <f>'R1 DEPR'!AH30</f>
        <v>915465.71147111687</v>
      </c>
      <c r="L25" s="166"/>
      <c r="M25" s="235">
        <v>503021.58794096124</v>
      </c>
      <c r="N25" s="235">
        <v>174923.1</v>
      </c>
    </row>
    <row r="26" spans="2:14" ht="20.25" customHeight="1">
      <c r="B26" s="65">
        <v>22</v>
      </c>
      <c r="C26" s="954">
        <f>'8 R1 RH'!E25</f>
        <v>553251.9</v>
      </c>
      <c r="D26" s="955">
        <f>'9 R1 EE'!U25+'9 R1 EE'!W25+'9 R1 EE'!Y25</f>
        <v>497111.64190462325</v>
      </c>
      <c r="E26" s="116">
        <f>'10 PQ A SA'!F25+'10 PQ A AF'!F25+'10 PQ A CL'!F25+'11 R1 PQ E'!F25</f>
        <v>16280.34814305808</v>
      </c>
      <c r="F26" s="458">
        <f t="shared" si="0"/>
        <v>402466.94887976174</v>
      </c>
      <c r="G26" s="957">
        <f t="shared" si="1"/>
        <v>1469110.8389274431</v>
      </c>
      <c r="H26" s="116">
        <f>'8 R1 RH'!H25</f>
        <v>222919.5</v>
      </c>
      <c r="I26" s="116">
        <f t="shared" si="2"/>
        <v>139991.74421609644</v>
      </c>
      <c r="J26" s="459">
        <f t="shared" si="3"/>
        <v>362911.24421609647</v>
      </c>
      <c r="K26" s="958">
        <f>'R1 DEPR'!AH31</f>
        <v>923109.46188802097</v>
      </c>
      <c r="L26" s="166"/>
      <c r="M26" s="235">
        <v>503083.68609970214</v>
      </c>
      <c r="N26" s="235">
        <v>174989.68027012053</v>
      </c>
    </row>
    <row r="27" spans="2:14" s="158" customFormat="1" ht="20.25" customHeight="1">
      <c r="B27" s="65">
        <v>23</v>
      </c>
      <c r="C27" s="954">
        <f>'8 R1 RH'!E26</f>
        <v>553251.9</v>
      </c>
      <c r="D27" s="955">
        <f>'9 R1 EE'!U26+'9 R1 EE'!W26+'9 R1 EE'!Y26</f>
        <v>497601.16502573498</v>
      </c>
      <c r="E27" s="116">
        <f>'10 PQ A SA'!F26+'10 PQ A AF'!F26+'10 PQ A CL'!F26+'11 R1 PQ E'!F26</f>
        <v>16296.376972581807</v>
      </c>
      <c r="F27" s="458">
        <f t="shared" si="0"/>
        <v>402512.00758811249</v>
      </c>
      <c r="G27" s="957">
        <f t="shared" si="1"/>
        <v>1469661.4495864292</v>
      </c>
      <c r="H27" s="116">
        <f>'8 R1 RH'!H26</f>
        <v>222919.5</v>
      </c>
      <c r="I27" s="116">
        <f t="shared" si="2"/>
        <v>140024.19064760717</v>
      </c>
      <c r="J27" s="459">
        <f t="shared" si="3"/>
        <v>362943.6906476072</v>
      </c>
      <c r="K27" s="958">
        <f>'R1 DEPR'!AH32</f>
        <v>930539.30610703805</v>
      </c>
      <c r="L27" s="166"/>
      <c r="M27" s="235">
        <v>503140.00948514056</v>
      </c>
      <c r="N27" s="236">
        <v>175030.23830950898</v>
      </c>
    </row>
    <row r="28" spans="2:14" s="158" customFormat="1" ht="20.25" customHeight="1">
      <c r="B28" s="65">
        <v>24</v>
      </c>
      <c r="C28" s="954">
        <f>'8 R1 RH'!E27</f>
        <v>553251.9</v>
      </c>
      <c r="D28" s="955">
        <f>'9 R1 EE'!U27+'9 R1 EE'!W27+'9 R1 EE'!Y27</f>
        <v>498090.68814684672</v>
      </c>
      <c r="E28" s="116">
        <f>'10 PQ A SA'!F27+'10 PQ A AF'!F27+'10 PQ A CL'!F27+'11 R1 PQ E'!F27</f>
        <v>16312.405802105539</v>
      </c>
      <c r="F28" s="458">
        <f t="shared" si="0"/>
        <v>402557.06629646337</v>
      </c>
      <c r="G28" s="957">
        <f t="shared" si="1"/>
        <v>1470212.0602454157</v>
      </c>
      <c r="H28" s="116">
        <f>'8 R1 RH'!H27</f>
        <v>222919.5</v>
      </c>
      <c r="I28" s="116">
        <f t="shared" si="2"/>
        <v>140058.61100334622</v>
      </c>
      <c r="J28" s="459">
        <f t="shared" si="3"/>
        <v>362978.11100334622</v>
      </c>
      <c r="K28" s="958">
        <f>'R1 DEPR'!AH33</f>
        <v>939030.55664305761</v>
      </c>
      <c r="L28" s="166"/>
      <c r="M28" s="235">
        <v>503196.33287057921</v>
      </c>
      <c r="N28" s="236">
        <v>175073.26375418276</v>
      </c>
    </row>
    <row r="29" spans="2:14" ht="20.25" customHeight="1">
      <c r="B29" s="65">
        <v>25</v>
      </c>
      <c r="C29" s="954">
        <f>'8 R1 RH'!E28</f>
        <v>553251.9</v>
      </c>
      <c r="D29" s="955">
        <f>'9 R1 EE'!U28+'9 R1 EE'!W28+'9 R1 EE'!Y28</f>
        <v>498580.2112679584</v>
      </c>
      <c r="E29" s="116">
        <f>'10 PQ A SA'!F28+'10 PQ A AF'!F28+'10 PQ A CL'!F28+'11 R1 PQ E'!F28</f>
        <v>16328.434631629261</v>
      </c>
      <c r="F29" s="458">
        <f t="shared" si="0"/>
        <v>402602.12500481395</v>
      </c>
      <c r="G29" s="957">
        <f t="shared" si="1"/>
        <v>1470762.6709044015</v>
      </c>
      <c r="H29" s="116">
        <f>'8 R1 RH'!H28</f>
        <v>222919.5</v>
      </c>
      <c r="I29" s="116">
        <f t="shared" si="2"/>
        <v>140093.42385767962</v>
      </c>
      <c r="J29" s="459">
        <f t="shared" si="3"/>
        <v>363012.92385767959</v>
      </c>
      <c r="K29" s="958">
        <f>'R1 DEPR'!AH34</f>
        <v>948937.01560174709</v>
      </c>
      <c r="L29" s="166"/>
      <c r="M29" s="235">
        <v>503252.65625601739</v>
      </c>
      <c r="N29" s="235">
        <v>175116.77982209952</v>
      </c>
    </row>
    <row r="30" spans="2:14" ht="20.25" customHeight="1">
      <c r="B30" s="65">
        <v>26</v>
      </c>
      <c r="C30" s="954">
        <f>'8 R1 RH'!E29</f>
        <v>553251.9</v>
      </c>
      <c r="D30" s="955">
        <f>'9 R1 EE'!U29+'9 R1 EE'!W29+'9 R1 EE'!Y29</f>
        <v>499259.46152948157</v>
      </c>
      <c r="E30" s="116">
        <f>'10 PQ A SA'!F29+'10 PQ A AF'!F29+'10 PQ A CL'!F29+'11 R1 PQ E'!F29</f>
        <v>16351.537299443749</v>
      </c>
      <c r="F30" s="458">
        <f t="shared" si="0"/>
        <v>402662.60670065647</v>
      </c>
      <c r="G30" s="957">
        <f t="shared" si="1"/>
        <v>1471525.5055295818</v>
      </c>
      <c r="H30" s="116">
        <f>'8 R1 RH'!H29</f>
        <v>222919.5</v>
      </c>
      <c r="I30" s="116">
        <f t="shared" si="2"/>
        <v>140177.50400000002</v>
      </c>
      <c r="J30" s="459">
        <f t="shared" si="3"/>
        <v>363097.00400000002</v>
      </c>
      <c r="K30" s="958">
        <f>'R1 DEPR'!AH35</f>
        <v>960824.76635217445</v>
      </c>
      <c r="L30" s="166"/>
      <c r="M30" s="235">
        <v>503328.25837582059</v>
      </c>
      <c r="N30" s="235">
        <v>175221.88</v>
      </c>
    </row>
    <row r="31" spans="2:14" ht="20.25" customHeight="1">
      <c r="B31" s="65">
        <v>27</v>
      </c>
      <c r="C31" s="954">
        <f>'8 R1 RH'!E30</f>
        <v>553251.9</v>
      </c>
      <c r="D31" s="955">
        <f>'9 R1 EE'!U30+'9 R1 EE'!W30+'9 R1 EE'!Y30</f>
        <v>499796.89372358366</v>
      </c>
      <c r="E31" s="116">
        <f>'10 PQ A SA'!F30+'10 PQ A AF'!F30+'10 PQ A CL'!F30+'11 R1 PQ E'!F30</f>
        <v>16368.34292048484</v>
      </c>
      <c r="F31" s="458">
        <f t="shared" si="0"/>
        <v>402713.99023704906</v>
      </c>
      <c r="G31" s="957">
        <f t="shared" si="1"/>
        <v>1472131.1268811177</v>
      </c>
      <c r="H31" s="116">
        <f>'8 R1 RH'!H30</f>
        <v>222919.5</v>
      </c>
      <c r="I31" s="116">
        <f t="shared" si="2"/>
        <v>140177.5076275403</v>
      </c>
      <c r="J31" s="459">
        <f t="shared" si="3"/>
        <v>363097.00762754027</v>
      </c>
      <c r="K31" s="958">
        <f>'R1 DEPR'!AH36</f>
        <v>978023.20479020861</v>
      </c>
      <c r="L31" s="166"/>
      <c r="M31" s="235">
        <v>503392.48779631127</v>
      </c>
      <c r="N31" s="235">
        <v>175221.88453442536</v>
      </c>
    </row>
    <row r="32" spans="2:14" ht="20.25" customHeight="1">
      <c r="B32" s="65">
        <v>28</v>
      </c>
      <c r="C32" s="954">
        <f>'8 R1 RH'!E31</f>
        <v>553251.9</v>
      </c>
      <c r="D32" s="955">
        <f>'9 R1 EE'!U31+'9 R1 EE'!W31+'9 R1 EE'!Y31</f>
        <v>500320.77892254677</v>
      </c>
      <c r="E32" s="116">
        <f>'10 PQ A SA'!F31+'10 PQ A AF'!F31+'10 PQ A CL'!F31+'11 R1 PQ E'!F31</f>
        <v>16385.557657312653</v>
      </c>
      <c r="F32" s="458">
        <f t="shared" si="0"/>
        <v>402762.08232708368</v>
      </c>
      <c r="G32" s="957">
        <f t="shared" si="1"/>
        <v>1472720.3189069431</v>
      </c>
      <c r="H32" s="116">
        <f>'8 R1 RH'!H31</f>
        <v>222919.5</v>
      </c>
      <c r="I32" s="116">
        <f t="shared" si="2"/>
        <v>140215.68987865516</v>
      </c>
      <c r="J32" s="459">
        <f t="shared" si="3"/>
        <v>363135.18987865513</v>
      </c>
      <c r="K32" s="958">
        <f>'R1 DEPR'!AH37</f>
        <v>998107.45604092081</v>
      </c>
      <c r="L32" s="166"/>
      <c r="M32" s="235">
        <v>503452.60290885461</v>
      </c>
      <c r="N32" s="235">
        <v>175269.61234831894</v>
      </c>
    </row>
    <row r="33" spans="2:14" ht="20.25" customHeight="1">
      <c r="B33" s="65">
        <v>29</v>
      </c>
      <c r="C33" s="954">
        <f>'8 R1 RH'!E32</f>
        <v>553251.9</v>
      </c>
      <c r="D33" s="955">
        <f>'9 R1 EE'!U32+'9 R1 EE'!W32+'9 R1 EE'!Y32</f>
        <v>500867.7180223316</v>
      </c>
      <c r="E33" s="116">
        <f>'10 PQ A SA'!F32+'10 PQ A AF'!F32+'10 PQ A CL'!F32+'11 R1 PQ E'!F32</f>
        <v>16403.549179438916</v>
      </c>
      <c r="F33" s="458">
        <f t="shared" si="0"/>
        <v>402812.23614160577</v>
      </c>
      <c r="G33" s="957">
        <f t="shared" si="1"/>
        <v>1473335.4033433762</v>
      </c>
      <c r="H33" s="116">
        <f>'8 R1 RH'!H32</f>
        <v>222919.5</v>
      </c>
      <c r="I33" s="116">
        <f t="shared" si="2"/>
        <v>140260.68092086641</v>
      </c>
      <c r="J33" s="459">
        <f t="shared" si="3"/>
        <v>363180.18092086643</v>
      </c>
      <c r="K33" s="958">
        <f>'R1 DEPR'!AH38</f>
        <v>1028640.8329169891</v>
      </c>
      <c r="L33" s="166"/>
      <c r="M33" s="235">
        <v>503515.29517700721</v>
      </c>
      <c r="N33" s="235">
        <v>175325.85115108298</v>
      </c>
    </row>
    <row r="34" spans="2:14" ht="20.25" customHeight="1" thickBot="1">
      <c r="B34" s="439">
        <v>30</v>
      </c>
      <c r="C34" s="954">
        <f>'8 R1 RH'!E33</f>
        <v>553251.9</v>
      </c>
      <c r="D34" s="955">
        <f>'9 R1 EE'!U33+'9 R1 EE'!W33+'9 R1 EE'!Y33</f>
        <v>501196.36969936022</v>
      </c>
      <c r="E34" s="116">
        <f>'10 PQ A SA'!F33+'10 PQ A AF'!F33+'10 PQ A CL'!F33+'11 R1 PQ E'!F33</f>
        <v>16413.322066103116</v>
      </c>
      <c r="F34" s="458">
        <f t="shared" si="0"/>
        <v>402844.88533489278</v>
      </c>
      <c r="G34" s="957">
        <f t="shared" si="1"/>
        <v>1473706.477100356</v>
      </c>
      <c r="H34" s="116">
        <f>'8 R1 RH'!H33</f>
        <v>222919.5</v>
      </c>
      <c r="I34" s="116">
        <f t="shared" si="2"/>
        <v>140301.06991323733</v>
      </c>
      <c r="J34" s="459">
        <f t="shared" si="3"/>
        <v>363220.56991323736</v>
      </c>
      <c r="K34" s="958">
        <f>'R1 DEPR'!AH39</f>
        <v>1150372.8346658584</v>
      </c>
      <c r="L34" s="166"/>
      <c r="M34" s="235">
        <v>503556.10666861595</v>
      </c>
      <c r="N34" s="235">
        <v>175376.33739154667</v>
      </c>
    </row>
    <row r="35" spans="2:14" ht="20.25" customHeight="1" thickBot="1">
      <c r="B35" s="412" t="s">
        <v>121</v>
      </c>
      <c r="C35" s="956">
        <f t="shared" ref="C35:K35" si="4">SUM(C5:C34)</f>
        <v>16472445.540000008</v>
      </c>
      <c r="D35" s="956">
        <f t="shared" si="4"/>
        <v>14615965.937531687</v>
      </c>
      <c r="E35" s="956">
        <f t="shared" si="4"/>
        <v>477854.6330623313</v>
      </c>
      <c r="F35" s="440">
        <f t="shared" si="4"/>
        <v>11346220.251833245</v>
      </c>
      <c r="G35" s="956">
        <f t="shared" si="4"/>
        <v>42912486.362427257</v>
      </c>
      <c r="H35" s="440">
        <f t="shared" si="4"/>
        <v>6501818.75</v>
      </c>
      <c r="I35" s="440">
        <f t="shared" si="4"/>
        <v>4365715.761531245</v>
      </c>
      <c r="J35" s="440">
        <f t="shared" si="4"/>
        <v>10867534.511531249</v>
      </c>
      <c r="K35" s="956">
        <f t="shared" si="4"/>
        <v>20517119.663628098</v>
      </c>
      <c r="M35" s="235">
        <f>SUM(M5:M34)</f>
        <v>14182775.314791555</v>
      </c>
      <c r="N35" s="235">
        <f>SUM(N5:N34)</f>
        <v>5457144.7019140543</v>
      </c>
    </row>
    <row r="36" spans="2:14">
      <c r="B36" s="164"/>
      <c r="C36" s="170"/>
      <c r="D36" s="164"/>
      <c r="E36" s="170"/>
      <c r="F36" s="164"/>
      <c r="G36" s="170"/>
      <c r="H36" s="164"/>
      <c r="I36" s="170"/>
      <c r="N36" s="237">
        <f>M35+N35</f>
        <v>19639920.01670561</v>
      </c>
    </row>
    <row r="37" spans="2:14" ht="30" customHeight="1">
      <c r="G37" s="159">
        <f>G35+J35+K35</f>
        <v>74297140.5375866</v>
      </c>
    </row>
    <row r="38" spans="2:14" ht="30" customHeight="1"/>
    <row r="39" spans="2:14" ht="30" customHeight="1">
      <c r="C39" s="157" t="s">
        <v>265</v>
      </c>
      <c r="D39" s="159">
        <f>C35+H35</f>
        <v>22974264.290000007</v>
      </c>
      <c r="E39" s="233">
        <f>D39/$D$43</f>
        <v>0.42718957554597486</v>
      </c>
    </row>
    <row r="40" spans="2:14" ht="30" customHeight="1">
      <c r="C40" s="157" t="s">
        <v>268</v>
      </c>
      <c r="D40" s="159">
        <f>D35</f>
        <v>14615965.937531687</v>
      </c>
      <c r="E40" s="233">
        <f>D40/$D$43</f>
        <v>0.27177315478895742</v>
      </c>
    </row>
    <row r="41" spans="2:14" ht="30" customHeight="1">
      <c r="C41" s="157" t="s">
        <v>269</v>
      </c>
      <c r="D41" s="159">
        <f>+E35</f>
        <v>477854.6330623313</v>
      </c>
      <c r="E41" s="233">
        <f>D41/$D$43</f>
        <v>8.885356035510935E-3</v>
      </c>
    </row>
    <row r="42" spans="2:14" ht="30" customHeight="1">
      <c r="C42" s="157" t="s">
        <v>171</v>
      </c>
      <c r="D42" s="159">
        <f>+F35+I35</f>
        <v>15711936.01336449</v>
      </c>
      <c r="E42" s="233">
        <f>D42/$D$43</f>
        <v>0.29215191362955684</v>
      </c>
    </row>
    <row r="43" spans="2:14" ht="30" customHeight="1">
      <c r="D43" s="159">
        <f>SUM(D39:D42)</f>
        <v>53780020.873958513</v>
      </c>
      <c r="J43" s="159">
        <f>G35+J35</f>
        <v>53780020.873958506</v>
      </c>
    </row>
  </sheetData>
  <mergeCells count="11">
    <mergeCell ref="K3:K4"/>
    <mergeCell ref="B1:K1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rintOptions horizontalCentered="1"/>
  <pageMargins left="0.98425196850393704" right="0.59055118110236227" top="1.9685039370078741" bottom="1.0629921259842521" header="0.39370078740157483" footer="0.39370078740157483"/>
  <pageSetup paperSize="9" scale="5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A2284-BD2A-42E8-AEDC-84DEB5269EE2}">
  <sheetPr>
    <tabColor theme="9"/>
  </sheetPr>
  <dimension ref="A2:AJ66"/>
  <sheetViews>
    <sheetView showGridLines="0" zoomScale="70" zoomScaleNormal="70" workbookViewId="0"/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711</v>
      </c>
      <c r="D2" s="1238" t="s">
        <v>713</v>
      </c>
    </row>
    <row r="3" spans="1:33" ht="23.25">
      <c r="B3" s="1236" t="s">
        <v>712</v>
      </c>
      <c r="D3" s="1239">
        <v>8.9999999999999998E-4</v>
      </c>
    </row>
    <row r="5" spans="1:33">
      <c r="D5" s="1237">
        <f>C56</f>
        <v>0.12031451146279948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468" t="s">
        <v>202</v>
      </c>
      <c r="C9" s="1212">
        <f>SUM(C10:C12)</f>
        <v>2302818.334183454</v>
      </c>
      <c r="D9" s="1212">
        <f t="shared" ref="D9:AF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2">
        <f t="shared" si="0"/>
        <v>4077366.2850320837</v>
      </c>
      <c r="L9" s="1212">
        <f t="shared" si="0"/>
        <v>4172282.6079878816</v>
      </c>
      <c r="M9" s="1212">
        <f t="shared" si="0"/>
        <v>4368928.3342757365</v>
      </c>
      <c r="N9" s="1212">
        <f t="shared" si="0"/>
        <v>4667296.9924449893</v>
      </c>
      <c r="O9" s="1212">
        <f t="shared" si="0"/>
        <v>4669741.6526697138</v>
      </c>
      <c r="P9" s="1212">
        <f t="shared" si="0"/>
        <v>4676454.2664493062</v>
      </c>
      <c r="Q9" s="1212">
        <f t="shared" si="0"/>
        <v>4683166.8802288994</v>
      </c>
      <c r="R9" s="1212">
        <f t="shared" si="0"/>
        <v>4689320.1095268587</v>
      </c>
      <c r="S9" s="1212">
        <f t="shared" si="0"/>
        <v>4694913.9543431858</v>
      </c>
      <c r="T9" s="1212">
        <f t="shared" si="0"/>
        <v>4700507.7991595119</v>
      </c>
      <c r="U9" s="1212">
        <f t="shared" si="0"/>
        <v>4706101.6439758381</v>
      </c>
      <c r="V9" s="1212">
        <f t="shared" si="0"/>
        <v>4711136.104310533</v>
      </c>
      <c r="W9" s="1212">
        <f t="shared" si="0"/>
        <v>4717289.3336084951</v>
      </c>
      <c r="X9" s="1212">
        <f t="shared" si="0"/>
        <v>4723442.5629064534</v>
      </c>
      <c r="Y9" s="1212">
        <f t="shared" si="0"/>
        <v>4727917.6387595143</v>
      </c>
      <c r="Z9" s="1212">
        <f t="shared" si="0"/>
        <v>4732392.7146125771</v>
      </c>
      <c r="AA9" s="1212">
        <f t="shared" si="0"/>
        <v>4736867.7904656371</v>
      </c>
      <c r="AB9" s="1212">
        <f t="shared" si="0"/>
        <v>4742461.6352819661</v>
      </c>
      <c r="AC9" s="1212">
        <f t="shared" si="0"/>
        <v>4748055.4800982913</v>
      </c>
      <c r="AD9" s="1212">
        <f t="shared" si="0"/>
        <v>4753089.9404329862</v>
      </c>
      <c r="AE9" s="1212">
        <f t="shared" si="0"/>
        <v>4758683.7852493124</v>
      </c>
      <c r="AF9" s="1212">
        <f t="shared" si="0"/>
        <v>4762599.4766207421</v>
      </c>
      <c r="AG9" s="1213">
        <f t="shared" ref="AG9:AG17" si="1">SUM(C9:AF9)</f>
        <v>126865213.73661394</v>
      </c>
    </row>
    <row r="10" spans="1:33" ht="20.25" customHeight="1">
      <c r="B10" s="469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14">
        <f>(1+$D$3)*'R1 DRE'!K5</f>
        <v>2238350.2656446565</v>
      </c>
      <c r="L10" s="1214">
        <f>(1+$D$3)*'R1 DRE'!L5</f>
        <v>2233430.9133358547</v>
      </c>
      <c r="M10" s="1214">
        <f>(1+$D$3)*'R1 DRE'!M5</f>
        <v>2232704.8146479758</v>
      </c>
      <c r="N10" s="1214">
        <f>(1+$D$3)*'R1 DRE'!N5</f>
        <v>2233810.6662304434</v>
      </c>
      <c r="O10" s="1214">
        <f>(1+$D$3)*'R1 DRE'!O5</f>
        <v>2232794.5449336567</v>
      </c>
      <c r="P10" s="1214">
        <f>(1+$D$3)*'R1 DRE'!P5</f>
        <v>2236004.1202258468</v>
      </c>
      <c r="Q10" s="1214">
        <f>(1+$D$3)*'R1 DRE'!Q5</f>
        <v>2239213.6955180378</v>
      </c>
      <c r="R10" s="1214">
        <f>(1+$D$3)*'R1 DRE'!R5</f>
        <v>2242155.8062025448</v>
      </c>
      <c r="S10" s="1214">
        <f>(1+$D$3)*'R1 DRE'!S5</f>
        <v>2244830.4522793703</v>
      </c>
      <c r="T10" s="1214">
        <f>(1+$D$3)*'R1 DRE'!T5</f>
        <v>2247505.0983561953</v>
      </c>
      <c r="U10" s="1214">
        <f>(1+$D$3)*'R1 DRE'!U5</f>
        <v>2250179.7444330198</v>
      </c>
      <c r="V10" s="1214">
        <f>(1+$D$3)*'R1 DRE'!V5</f>
        <v>2252586.9259021631</v>
      </c>
      <c r="W10" s="1214">
        <f>(1+$D$3)*'R1 DRE'!W5</f>
        <v>2255529.0365866716</v>
      </c>
      <c r="X10" s="1214">
        <f>(1+$D$3)*'R1 DRE'!X5</f>
        <v>2258471.1472711782</v>
      </c>
      <c r="Y10" s="1214">
        <f>(1+$D$3)*'R1 DRE'!Y5</f>
        <v>2260610.8641326386</v>
      </c>
      <c r="Z10" s="1214">
        <f>(1+$D$3)*'R1 DRE'!Z5</f>
        <v>2262750.5809940994</v>
      </c>
      <c r="AA10" s="1214">
        <f>(1+$D$3)*'R1 DRE'!AA5</f>
        <v>2264890.2978555593</v>
      </c>
      <c r="AB10" s="1214">
        <f>(1+$D$3)*'R1 DRE'!AB5</f>
        <v>2267564.9439323847</v>
      </c>
      <c r="AC10" s="1214">
        <f>(1+$D$3)*'R1 DRE'!AC5</f>
        <v>2270239.5900092092</v>
      </c>
      <c r="AD10" s="1214">
        <f>(1+$D$3)*'R1 DRE'!AD5</f>
        <v>2272646.7714783521</v>
      </c>
      <c r="AE10" s="1214">
        <f>(1+$D$3)*'R1 DRE'!AE5</f>
        <v>2275321.4175551771</v>
      </c>
      <c r="AF10" s="1214">
        <f>(1+$D$3)*'R1 DRE'!AF5</f>
        <v>2277193.6698089549</v>
      </c>
      <c r="AG10" s="1213">
        <f t="shared" si="1"/>
        <v>64936683.210294306</v>
      </c>
    </row>
    <row r="11" spans="1:33" ht="20.25" customHeight="1">
      <c r="B11" s="469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14">
        <f>(1+$D$3)*'R1 DRE'!K6</f>
        <v>1798646.0561692878</v>
      </c>
      <c r="L11" s="1214">
        <f>(1+$D$3)*'R1 DRE'!L6</f>
        <v>1897541.9658600679</v>
      </c>
      <c r="M11" s="1214">
        <f>(1+$D$3)*'R1 DRE'!M6</f>
        <v>2092966.8034468135</v>
      </c>
      <c r="N11" s="1214">
        <f>(1+$D$3)*'R1 DRE'!N6</f>
        <v>2387275.4649032089</v>
      </c>
      <c r="O11" s="1214">
        <f>(1+$D$3)*'R1 DRE'!O6</f>
        <v>2390712.0418680403</v>
      </c>
      <c r="P11" s="1214">
        <f>(1+$D$3)*'R1 DRE'!P6</f>
        <v>2394148.6188328722</v>
      </c>
      <c r="Q11" s="1214">
        <f>(1+$D$3)*'R1 DRE'!Q6</f>
        <v>2397585.1957977046</v>
      </c>
      <c r="R11" s="1214">
        <f>(1+$D$3)*'R1 DRE'!R6</f>
        <v>2400735.3913488002</v>
      </c>
      <c r="S11" s="1214">
        <f>(1+$D$3)*'R1 DRE'!S6</f>
        <v>2403599.2054861602</v>
      </c>
      <c r="T11" s="1214">
        <f>(1+$D$3)*'R1 DRE'!T6</f>
        <v>2406463.0196235194</v>
      </c>
      <c r="U11" s="1214">
        <f>(1+$D$3)*'R1 DRE'!U6</f>
        <v>2409326.833760879</v>
      </c>
      <c r="V11" s="1214">
        <f>(1+$D$3)*'R1 DRE'!V6</f>
        <v>2411904.2664845036</v>
      </c>
      <c r="W11" s="1214">
        <f>(1+$D$3)*'R1 DRE'!W6</f>
        <v>2415054.4620356001</v>
      </c>
      <c r="X11" s="1214">
        <f>(1+$D$3)*'R1 DRE'!X6</f>
        <v>2418204.6575866956</v>
      </c>
      <c r="Y11" s="1214">
        <f>(1+$D$3)*'R1 DRE'!Y6</f>
        <v>2420495.7088965839</v>
      </c>
      <c r="Z11" s="1214">
        <f>(1+$D$3)*'R1 DRE'!Z6</f>
        <v>2422786.7602064717</v>
      </c>
      <c r="AA11" s="1214">
        <f>(1+$D$3)*'R1 DRE'!AA6</f>
        <v>2425077.811516359</v>
      </c>
      <c r="AB11" s="1214">
        <f>(1+$D$3)*'R1 DRE'!AB6</f>
        <v>2427941.62565372</v>
      </c>
      <c r="AC11" s="1214">
        <f>(1+$D$3)*'R1 DRE'!AC6</f>
        <v>2430805.4397910787</v>
      </c>
      <c r="AD11" s="1214">
        <f>(1+$D$3)*'R1 DRE'!AD6</f>
        <v>2433382.8725147028</v>
      </c>
      <c r="AE11" s="1214">
        <f>(1+$D$3)*'R1 DRE'!AE6</f>
        <v>2436246.6866520634</v>
      </c>
      <c r="AF11" s="1214">
        <f>(1+$D$3)*'R1 DRE'!AF6</f>
        <v>2438251.3565482153</v>
      </c>
      <c r="AG11" s="1213">
        <f t="shared" si="1"/>
        <v>60623642.680406868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14">
        <f>(1+$D$3)*'R1 DRE'!K7</f>
        <v>40369.963218139448</v>
      </c>
      <c r="L12" s="1214">
        <f>(1+$D$3)*'R1 DRE'!L7</f>
        <v>41309.728791959227</v>
      </c>
      <c r="M12" s="1214">
        <f>(1+$D$3)*'R1 DRE'!M7</f>
        <v>43256.7161809479</v>
      </c>
      <c r="N12" s="1214">
        <f>(1+$D$3)*'R1 DRE'!N7</f>
        <v>46210.861311336521</v>
      </c>
      <c r="O12" s="1214">
        <f>(1+$D$3)*'R1 DRE'!O7</f>
        <v>46235.065868016965</v>
      </c>
      <c r="P12" s="1214">
        <f>(1+$D$3)*'R1 DRE'!P7</f>
        <v>46301.527390587195</v>
      </c>
      <c r="Q12" s="1214">
        <f>(1+$D$3)*'R1 DRE'!Q7</f>
        <v>46367.988913157424</v>
      </c>
      <c r="R12" s="1214">
        <f>(1+$D$3)*'R1 DRE'!R7</f>
        <v>46428.911975513445</v>
      </c>
      <c r="S12" s="1214">
        <f>(1+$D$3)*'R1 DRE'!S7</f>
        <v>46484.296577655303</v>
      </c>
      <c r="T12" s="1214">
        <f>(1+$D$3)*'R1 DRE'!T7</f>
        <v>46539.681179797153</v>
      </c>
      <c r="U12" s="1214">
        <f>(1+$D$3)*'R1 DRE'!U7</f>
        <v>46595.065781938982</v>
      </c>
      <c r="V12" s="1214">
        <f>(1+$D$3)*'R1 DRE'!V7</f>
        <v>46644.911923866668</v>
      </c>
      <c r="W12" s="1214">
        <f>(1+$D$3)*'R1 DRE'!W7</f>
        <v>46705.834986222719</v>
      </c>
      <c r="X12" s="1214">
        <f>(1+$D$3)*'R1 DRE'!X7</f>
        <v>46766.758048578733</v>
      </c>
      <c r="Y12" s="1214">
        <f>(1+$D$3)*'R1 DRE'!Y7</f>
        <v>46811.065730292234</v>
      </c>
      <c r="Z12" s="1214">
        <f>(1+$D$3)*'R1 DRE'!Z7</f>
        <v>46855.373412005712</v>
      </c>
      <c r="AA12" s="1214">
        <f>(1+$D$3)*'R1 DRE'!AA7</f>
        <v>46899.681093719191</v>
      </c>
      <c r="AB12" s="1214">
        <f>(1+$D$3)*'R1 DRE'!AB7</f>
        <v>46955.065695861042</v>
      </c>
      <c r="AC12" s="1214">
        <f>(1+$D$3)*'R1 DRE'!AC7</f>
        <v>47010.450298002877</v>
      </c>
      <c r="AD12" s="1214">
        <f>(1+$D$3)*'R1 DRE'!AD7</f>
        <v>47060.296439930549</v>
      </c>
      <c r="AE12" s="1214">
        <f>(1+$D$3)*'R1 DRE'!AE7</f>
        <v>47115.681042072414</v>
      </c>
      <c r="AF12" s="1214">
        <f>(1+$D$3)*'R1 DRE'!AF7</f>
        <v>47154.450263571714</v>
      </c>
      <c r="AG12" s="1213">
        <f t="shared" si="1"/>
        <v>1304887.8459127734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2">-SUM(D14:D15)</f>
        <v>-234617.19486967311</v>
      </c>
      <c r="E13" s="1212">
        <f t="shared" si="2"/>
        <v>-255067.11447188459</v>
      </c>
      <c r="F13" s="1212">
        <f t="shared" si="2"/>
        <v>-266470.53804765607</v>
      </c>
      <c r="G13" s="1212">
        <f t="shared" si="2"/>
        <v>-277240.35544356558</v>
      </c>
      <c r="H13" s="1212">
        <f t="shared" si="2"/>
        <v>-305292.86829691898</v>
      </c>
      <c r="I13" s="1212">
        <f t="shared" si="2"/>
        <v>-343021.62437981495</v>
      </c>
      <c r="J13" s="1212">
        <f t="shared" si="2"/>
        <v>-370742.7283114891</v>
      </c>
      <c r="K13" s="1212">
        <f t="shared" si="2"/>
        <v>-377156.38136546774</v>
      </c>
      <c r="L13" s="1212">
        <f t="shared" si="2"/>
        <v>-385936.14123887906</v>
      </c>
      <c r="M13" s="1212">
        <f t="shared" si="2"/>
        <v>-404125.87092050561</v>
      </c>
      <c r="N13" s="1212">
        <f t="shared" si="2"/>
        <v>-431724.97180116153</v>
      </c>
      <c r="O13" s="1212">
        <f t="shared" si="2"/>
        <v>-431951.1028719485</v>
      </c>
      <c r="P13" s="1212">
        <f t="shared" si="2"/>
        <v>-432572.01964656083</v>
      </c>
      <c r="Q13" s="1212">
        <f t="shared" si="2"/>
        <v>-433192.93642117316</v>
      </c>
      <c r="R13" s="1212">
        <f t="shared" si="2"/>
        <v>-433762.11013123445</v>
      </c>
      <c r="S13" s="1212">
        <f t="shared" si="2"/>
        <v>-434279.54077674472</v>
      </c>
      <c r="T13" s="1212">
        <f t="shared" si="2"/>
        <v>-434796.97142225486</v>
      </c>
      <c r="U13" s="1212">
        <f t="shared" si="2"/>
        <v>-435314.40206776501</v>
      </c>
      <c r="V13" s="1212">
        <f t="shared" si="2"/>
        <v>-435780.0896487243</v>
      </c>
      <c r="W13" s="1212">
        <f t="shared" si="2"/>
        <v>-436349.26335878577</v>
      </c>
      <c r="X13" s="1212">
        <f t="shared" si="2"/>
        <v>-436918.43706884689</v>
      </c>
      <c r="Y13" s="1212">
        <f t="shared" si="2"/>
        <v>-437332.38158525503</v>
      </c>
      <c r="Z13" s="1212">
        <f t="shared" si="2"/>
        <v>-437746.32610166341</v>
      </c>
      <c r="AA13" s="1212">
        <f t="shared" si="2"/>
        <v>-438160.27061807143</v>
      </c>
      <c r="AB13" s="1212">
        <f t="shared" si="2"/>
        <v>-438677.70126358187</v>
      </c>
      <c r="AC13" s="1212">
        <f t="shared" si="2"/>
        <v>-439195.13190909196</v>
      </c>
      <c r="AD13" s="1212">
        <f t="shared" si="2"/>
        <v>-439660.81949005125</v>
      </c>
      <c r="AE13" s="1212">
        <f t="shared" si="2"/>
        <v>-440178.25013556139</v>
      </c>
      <c r="AF13" s="1212">
        <f t="shared" si="2"/>
        <v>-440540.45158741862</v>
      </c>
      <c r="AG13" s="1213">
        <f t="shared" si="1"/>
        <v>-11687225.960292468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3">0.076*G9</f>
        <v>227786.67041849715</v>
      </c>
      <c r="H14" s="1214">
        <f t="shared" si="3"/>
        <v>250835.22151963072</v>
      </c>
      <c r="I14" s="1214">
        <f t="shared" si="3"/>
        <v>281833.98327422631</v>
      </c>
      <c r="J14" s="1214">
        <f t="shared" si="3"/>
        <v>304610.24163970997</v>
      </c>
      <c r="K14" s="1214">
        <f t="shared" si="3"/>
        <v>309879.83766243834</v>
      </c>
      <c r="L14" s="1214">
        <f t="shared" si="3"/>
        <v>317093.478207079</v>
      </c>
      <c r="M14" s="1214">
        <f t="shared" si="3"/>
        <v>332038.55340495595</v>
      </c>
      <c r="N14" s="1214">
        <f t="shared" si="3"/>
        <v>354714.57142581919</v>
      </c>
      <c r="O14" s="1214">
        <f t="shared" si="3"/>
        <v>354900.36560289824</v>
      </c>
      <c r="P14" s="1214">
        <f t="shared" si="3"/>
        <v>355410.52425014728</v>
      </c>
      <c r="Q14" s="1214">
        <f t="shared" si="3"/>
        <v>355920.68289739633</v>
      </c>
      <c r="R14" s="1214">
        <f t="shared" si="3"/>
        <v>356388.32832404127</v>
      </c>
      <c r="S14" s="1214">
        <f t="shared" si="3"/>
        <v>356813.46053008211</v>
      </c>
      <c r="T14" s="1214">
        <f t="shared" si="3"/>
        <v>357238.5927361229</v>
      </c>
      <c r="U14" s="1214">
        <f t="shared" si="3"/>
        <v>357663.72494216368</v>
      </c>
      <c r="V14" s="1214">
        <f t="shared" si="3"/>
        <v>358046.34392760048</v>
      </c>
      <c r="W14" s="1214">
        <f t="shared" si="3"/>
        <v>358513.9893542456</v>
      </c>
      <c r="X14" s="1214">
        <f t="shared" si="3"/>
        <v>358981.63478089042</v>
      </c>
      <c r="Y14" s="1214">
        <f t="shared" si="3"/>
        <v>359321.74054572306</v>
      </c>
      <c r="Z14" s="1214">
        <f t="shared" si="3"/>
        <v>359661.84631055588</v>
      </c>
      <c r="AA14" s="1214">
        <f t="shared" si="3"/>
        <v>360001.9520753884</v>
      </c>
      <c r="AB14" s="1214">
        <f t="shared" si="3"/>
        <v>360427.08428142942</v>
      </c>
      <c r="AC14" s="1214">
        <f t="shared" si="3"/>
        <v>360852.21648747014</v>
      </c>
      <c r="AD14" s="1214">
        <f t="shared" si="3"/>
        <v>361234.83547290694</v>
      </c>
      <c r="AE14" s="1214">
        <f t="shared" si="3"/>
        <v>361659.96767894772</v>
      </c>
      <c r="AF14" s="1214">
        <f t="shared" si="3"/>
        <v>361957.56022317638</v>
      </c>
      <c r="AG14" s="1213">
        <f t="shared" si="1"/>
        <v>9602485.6246460583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4">0.0165*G9</f>
        <v>49453.685025068458</v>
      </c>
      <c r="H15" s="1214">
        <f t="shared" si="4"/>
        <v>54457.646777288253</v>
      </c>
      <c r="I15" s="1214">
        <f t="shared" si="4"/>
        <v>61187.641105588613</v>
      </c>
      <c r="J15" s="1214">
        <f t="shared" si="4"/>
        <v>66132.486671779145</v>
      </c>
      <c r="K15" s="1214">
        <f t="shared" si="4"/>
        <v>67276.543703029383</v>
      </c>
      <c r="L15" s="1214">
        <f t="shared" si="4"/>
        <v>68842.663031800053</v>
      </c>
      <c r="M15" s="1214">
        <f t="shared" si="4"/>
        <v>72087.317515549657</v>
      </c>
      <c r="N15" s="1214">
        <f t="shared" si="4"/>
        <v>77010.400375342331</v>
      </c>
      <c r="O15" s="1214">
        <f t="shared" si="4"/>
        <v>77050.737269050282</v>
      </c>
      <c r="P15" s="1214">
        <f t="shared" si="4"/>
        <v>77161.495396413549</v>
      </c>
      <c r="Q15" s="1214">
        <f t="shared" si="4"/>
        <v>77272.253523776846</v>
      </c>
      <c r="R15" s="1214">
        <f t="shared" si="4"/>
        <v>77373.781807193169</v>
      </c>
      <c r="S15" s="1214">
        <f t="shared" si="4"/>
        <v>77466.080246662576</v>
      </c>
      <c r="T15" s="1214">
        <f t="shared" si="4"/>
        <v>77558.378686131953</v>
      </c>
      <c r="U15" s="1214">
        <f t="shared" si="4"/>
        <v>77650.677125601331</v>
      </c>
      <c r="V15" s="1214">
        <f t="shared" si="4"/>
        <v>77733.745721123792</v>
      </c>
      <c r="W15" s="1214">
        <f t="shared" si="4"/>
        <v>77835.274004540173</v>
      </c>
      <c r="X15" s="1214">
        <f t="shared" si="4"/>
        <v>77936.802287956481</v>
      </c>
      <c r="Y15" s="1214">
        <f t="shared" si="4"/>
        <v>78010.641039531984</v>
      </c>
      <c r="Z15" s="1214">
        <f t="shared" si="4"/>
        <v>78084.479791107529</v>
      </c>
      <c r="AA15" s="1214">
        <f t="shared" si="4"/>
        <v>78158.318542683017</v>
      </c>
      <c r="AB15" s="1214">
        <f t="shared" si="4"/>
        <v>78250.616982152438</v>
      </c>
      <c r="AC15" s="1214">
        <f t="shared" si="4"/>
        <v>78342.915421621816</v>
      </c>
      <c r="AD15" s="1214">
        <f t="shared" si="4"/>
        <v>78425.984017144277</v>
      </c>
      <c r="AE15" s="1214">
        <f t="shared" si="4"/>
        <v>78518.282456613655</v>
      </c>
      <c r="AF15" s="1214">
        <f t="shared" si="4"/>
        <v>78582.891364242256</v>
      </c>
      <c r="AG15" s="1213">
        <f t="shared" si="1"/>
        <v>2084740.3356464128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1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5">D9+D13+D16</f>
        <v>2348736.4306745757</v>
      </c>
      <c r="E17" s="1212">
        <f t="shared" si="5"/>
        <v>2607846.6711710477</v>
      </c>
      <c r="F17" s="1212">
        <f t="shared" si="5"/>
        <v>2673176.6493209945</v>
      </c>
      <c r="G17" s="1212">
        <f t="shared" si="5"/>
        <v>2744549.5840927921</v>
      </c>
      <c r="H17" s="1212">
        <f t="shared" si="5"/>
        <v>3009978.9826078052</v>
      </c>
      <c r="I17" s="1212">
        <f t="shared" si="5"/>
        <v>3344926.3386004027</v>
      </c>
      <c r="J17" s="1212">
        <f t="shared" si="5"/>
        <v>3622302.386444245</v>
      </c>
      <c r="K17" s="1212">
        <f t="shared" si="5"/>
        <v>3696926.3806759566</v>
      </c>
      <c r="L17" s="1212">
        <f t="shared" si="5"/>
        <v>3781604.9179950915</v>
      </c>
      <c r="M17" s="1212">
        <f t="shared" si="5"/>
        <v>3954979.0181415305</v>
      </c>
      <c r="N17" s="1212">
        <f t="shared" si="5"/>
        <v>4220667.0022519175</v>
      </c>
      <c r="O17" s="1212">
        <f t="shared" si="5"/>
        <v>4237668.4266973194</v>
      </c>
      <c r="P17" s="1212">
        <f t="shared" si="5"/>
        <v>4243546.9179097693</v>
      </c>
      <c r="Q17" s="1212">
        <f t="shared" si="5"/>
        <v>4249638.6149147507</v>
      </c>
      <c r="R17" s="1212">
        <f t="shared" si="5"/>
        <v>4255250.6145770634</v>
      </c>
      <c r="S17" s="1212">
        <f t="shared" si="5"/>
        <v>4260354.9728222946</v>
      </c>
      <c r="T17" s="1212">
        <f t="shared" si="5"/>
        <v>4265431.3869931102</v>
      </c>
      <c r="U17" s="1212">
        <f t="shared" si="5"/>
        <v>4270507.8011639267</v>
      </c>
      <c r="V17" s="1212">
        <f t="shared" si="5"/>
        <v>4275104.5179920765</v>
      </c>
      <c r="W17" s="1212">
        <f t="shared" si="5"/>
        <v>4280632.6854311479</v>
      </c>
      <c r="X17" s="1212">
        <f t="shared" si="5"/>
        <v>4286216.741019045</v>
      </c>
      <c r="Y17" s="1212">
        <f t="shared" si="5"/>
        <v>4290361.7045789417</v>
      </c>
      <c r="Z17" s="1212">
        <f t="shared" si="5"/>
        <v>4294422.8359155962</v>
      </c>
      <c r="AA17" s="1212">
        <f t="shared" si="5"/>
        <v>4298483.967252248</v>
      </c>
      <c r="AB17" s="1212">
        <f t="shared" si="5"/>
        <v>4303504.493274238</v>
      </c>
      <c r="AC17" s="1212">
        <f t="shared" si="5"/>
        <v>4308580.9074450536</v>
      </c>
      <c r="AD17" s="1212">
        <f t="shared" si="5"/>
        <v>4313177.6242732033</v>
      </c>
      <c r="AE17" s="1212">
        <f t="shared" si="5"/>
        <v>4318226.0943696043</v>
      </c>
      <c r="AF17" s="1212">
        <f t="shared" si="5"/>
        <v>4321863.4165124204</v>
      </c>
      <c r="AG17" s="1213">
        <f t="shared" si="1"/>
        <v>114961739.30434027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6">D19+D20</f>
        <v>-369565.70052795502</v>
      </c>
      <c r="E18" s="1212">
        <f t="shared" si="6"/>
        <v>-372990.80023137957</v>
      </c>
      <c r="F18" s="1212">
        <f t="shared" si="6"/>
        <v>-365825.26800000004</v>
      </c>
      <c r="G18" s="1212">
        <f t="shared" si="6"/>
        <v>-364530.62316929037</v>
      </c>
      <c r="H18" s="1212">
        <f t="shared" si="6"/>
        <v>-386664.99739602057</v>
      </c>
      <c r="I18" s="1212">
        <f t="shared" si="6"/>
        <v>-368051.52738592168</v>
      </c>
      <c r="J18" s="1212">
        <f t="shared" si="6"/>
        <v>-369563.79094887548</v>
      </c>
      <c r="K18" s="1212">
        <f t="shared" si="6"/>
        <v>-374710.74257447</v>
      </c>
      <c r="L18" s="1212">
        <f t="shared" si="6"/>
        <v>-362395.04255699547</v>
      </c>
      <c r="M18" s="1212">
        <f t="shared" si="6"/>
        <v>-362481.33999999997</v>
      </c>
      <c r="N18" s="1212">
        <f t="shared" si="6"/>
        <v>-362490.34070234851</v>
      </c>
      <c r="O18" s="1212">
        <f t="shared" si="6"/>
        <v>-362536.99326174881</v>
      </c>
      <c r="P18" s="1212">
        <f t="shared" si="6"/>
        <v>-362583.70954566193</v>
      </c>
      <c r="Q18" s="1212">
        <f t="shared" si="6"/>
        <v>-362630.4975196523</v>
      </c>
      <c r="R18" s="1212">
        <f t="shared" si="6"/>
        <v>-362696.54000000004</v>
      </c>
      <c r="S18" s="1212">
        <f t="shared" si="6"/>
        <v>-362712.66594447545</v>
      </c>
      <c r="T18" s="1212">
        <f t="shared" si="6"/>
        <v>-362751.99800359353</v>
      </c>
      <c r="U18" s="1212">
        <f t="shared" si="6"/>
        <v>-362789.80886980717</v>
      </c>
      <c r="V18" s="1212">
        <f t="shared" si="6"/>
        <v>-362825.60956597811</v>
      </c>
      <c r="W18" s="1212">
        <f t="shared" si="6"/>
        <v>-362857.98</v>
      </c>
      <c r="X18" s="1212">
        <f t="shared" si="6"/>
        <v>-362911.24421609647</v>
      </c>
      <c r="Y18" s="1212">
        <f t="shared" si="6"/>
        <v>-362943.6906476072</v>
      </c>
      <c r="Z18" s="1212">
        <f t="shared" si="6"/>
        <v>-362978.11100334622</v>
      </c>
      <c r="AA18" s="1212">
        <f t="shared" si="6"/>
        <v>-363012.92385767959</v>
      </c>
      <c r="AB18" s="1212">
        <f t="shared" si="6"/>
        <v>-363097.00400000002</v>
      </c>
      <c r="AC18" s="1212">
        <f t="shared" si="6"/>
        <v>-363097.00762754027</v>
      </c>
      <c r="AD18" s="1212">
        <f t="shared" si="6"/>
        <v>-363135.18987865513</v>
      </c>
      <c r="AE18" s="1212">
        <f t="shared" si="6"/>
        <v>-363180.18092086643</v>
      </c>
      <c r="AF18" s="1212">
        <f t="shared" si="6"/>
        <v>-363220.56991323736</v>
      </c>
      <c r="AG18" s="1213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14">
        <f>-TRANSPOSE('16 R1 OPEX'!$H$5:$H$34)</f>
        <v>-222919.5</v>
      </c>
      <c r="L19" s="1214">
        <f>-TRANSPOSE('16 R1 OPEX'!$H$5:$H$34)</f>
        <v>-222919.5</v>
      </c>
      <c r="M19" s="1214">
        <f>-TRANSPOSE('16 R1 OPEX'!$H$5:$H$34)</f>
        <v>-222919.5</v>
      </c>
      <c r="N19" s="1214">
        <f>-TRANSPOSE('16 R1 OPEX'!$H$5:$H$34)</f>
        <v>-222919.5</v>
      </c>
      <c r="O19" s="1214">
        <f>-TRANSPOSE('16 R1 OPEX'!$H$5:$H$34)</f>
        <v>-222919.5</v>
      </c>
      <c r="P19" s="1214">
        <f>-TRANSPOSE('16 R1 OPEX'!$H$5:$H$34)</f>
        <v>-222919.5</v>
      </c>
      <c r="Q19" s="1214">
        <f>-TRANSPOSE('16 R1 OPEX'!$H$5:$H$34)</f>
        <v>-222919.5</v>
      </c>
      <c r="R19" s="1214">
        <f>-TRANSPOSE('16 R1 OPEX'!$H$5:$H$34)</f>
        <v>-222919.5</v>
      </c>
      <c r="S19" s="1214">
        <f>-TRANSPOSE('16 R1 OPEX'!$H$5:$H$34)</f>
        <v>-222919.5</v>
      </c>
      <c r="T19" s="1214">
        <f>-TRANSPOSE('16 R1 OPEX'!$H$5:$H$34)</f>
        <v>-222919.5</v>
      </c>
      <c r="U19" s="1214">
        <f>-TRANSPOSE('16 R1 OPEX'!$H$5:$H$34)</f>
        <v>-222919.5</v>
      </c>
      <c r="V19" s="1214">
        <f>-TRANSPOSE('16 R1 OPEX'!$H$5:$H$34)</f>
        <v>-222919.5</v>
      </c>
      <c r="W19" s="1214">
        <f>-TRANSPOSE('16 R1 OPEX'!$H$5:$H$34)</f>
        <v>-222919.5</v>
      </c>
      <c r="X19" s="1214">
        <f>-TRANSPOSE('16 R1 OPEX'!$H$5:$H$34)</f>
        <v>-222919.5</v>
      </c>
      <c r="Y19" s="1214">
        <f>-TRANSPOSE('16 R1 OPEX'!$H$5:$H$34)</f>
        <v>-222919.5</v>
      </c>
      <c r="Z19" s="1214">
        <f>-TRANSPOSE('16 R1 OPEX'!$H$5:$H$34)</f>
        <v>-222919.5</v>
      </c>
      <c r="AA19" s="1214">
        <f>-TRANSPOSE('16 R1 OPEX'!$H$5:$H$34)</f>
        <v>-222919.5</v>
      </c>
      <c r="AB19" s="1214">
        <f>-TRANSPOSE('16 R1 OPEX'!$H$5:$H$34)</f>
        <v>-222919.5</v>
      </c>
      <c r="AC19" s="1214">
        <f>-TRANSPOSE('16 R1 OPEX'!$H$5:$H$34)</f>
        <v>-222919.5</v>
      </c>
      <c r="AD19" s="1214">
        <f>-TRANSPOSE('16 R1 OPEX'!$H$5:$H$34)</f>
        <v>-222919.5</v>
      </c>
      <c r="AE19" s="1214">
        <f>-TRANSPOSE('16 R1 OPEX'!$H$5:$H$34)</f>
        <v>-222919.5</v>
      </c>
      <c r="AF19" s="1214">
        <f>-TRANSPOSE('16 R1 OPEX'!$H$5:$H$34)</f>
        <v>-222919.5</v>
      </c>
      <c r="AG19" s="1215">
        <f t="shared" si="7"/>
        <v>-6687585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14">
        <f>-'16 R1 OPEX'!I13</f>
        <v>-151791.24257447</v>
      </c>
      <c r="L20" s="1214">
        <f>-'16 R1 OPEX'!I14</f>
        <v>-139475.54255699547</v>
      </c>
      <c r="M20" s="1214">
        <f>-'16 R1 OPEX'!I15</f>
        <v>-139561.84</v>
      </c>
      <c r="N20" s="1214">
        <f>-'16 R1 OPEX'!I16</f>
        <v>-139570.84070234848</v>
      </c>
      <c r="O20" s="1214">
        <f>-'16 R1 OPEX'!I17</f>
        <v>-139617.49326174878</v>
      </c>
      <c r="P20" s="1214">
        <f>-'16 R1 OPEX'!I18</f>
        <v>-139664.20954566196</v>
      </c>
      <c r="Q20" s="1214">
        <f>-'16 R1 OPEX'!I19</f>
        <v>-139710.9975196523</v>
      </c>
      <c r="R20" s="1214">
        <f>-'16 R1 OPEX'!I20</f>
        <v>-139777.04</v>
      </c>
      <c r="S20" s="1214">
        <f>-'16 R1 OPEX'!I21</f>
        <v>-139793.16594447548</v>
      </c>
      <c r="T20" s="1214">
        <f>-'16 R1 OPEX'!I22</f>
        <v>-139832.49800359353</v>
      </c>
      <c r="U20" s="1214">
        <f>-'16 R1 OPEX'!I23</f>
        <v>-139870.30886980714</v>
      </c>
      <c r="V20" s="1214">
        <f>-'16 R1 OPEX'!I24</f>
        <v>-139906.10956597811</v>
      </c>
      <c r="W20" s="1214">
        <f>-'16 R1 OPEX'!I25</f>
        <v>-139938.48000000001</v>
      </c>
      <c r="X20" s="1214">
        <f>-'16 R1 OPEX'!I26</f>
        <v>-139991.74421609644</v>
      </c>
      <c r="Y20" s="1214">
        <f>-'16 R1 OPEX'!I27</f>
        <v>-140024.19064760717</v>
      </c>
      <c r="Z20" s="1214">
        <f>-'16 R1 OPEX'!I28</f>
        <v>-140058.61100334622</v>
      </c>
      <c r="AA20" s="1214">
        <f>-'16 R1 OPEX'!I29</f>
        <v>-140093.42385767962</v>
      </c>
      <c r="AB20" s="1214">
        <f>-'16 R1 OPEX'!I30</f>
        <v>-140177.50400000002</v>
      </c>
      <c r="AC20" s="1214">
        <f>-'16 R1 OPEX'!I31</f>
        <v>-140177.5076275403</v>
      </c>
      <c r="AD20" s="1214">
        <f>-'16 R1 OPEX'!I32</f>
        <v>-140215.68987865516</v>
      </c>
      <c r="AE20" s="1214">
        <f>-'16 R1 OPEX'!I33</f>
        <v>-140260.68092086641</v>
      </c>
      <c r="AF20" s="1214">
        <f>-'16 R1 OPEX'!I34</f>
        <v>-140301.06991323733</v>
      </c>
      <c r="AG20" s="1215">
        <f t="shared" si="7"/>
        <v>-4365715.761531245</v>
      </c>
    </row>
    <row r="21" spans="1:36" ht="20.25" customHeight="1">
      <c r="B21" s="468" t="s">
        <v>214</v>
      </c>
      <c r="C21" s="1212">
        <f>C22+C23+C24+C25</f>
        <v>-1057726.1211375801</v>
      </c>
      <c r="D21" s="1212">
        <f t="shared" ref="D21:AF21" si="8">D22+D23+D24+D25</f>
        <v>-1230333.4491819092</v>
      </c>
      <c r="E21" s="1212">
        <f t="shared" si="8"/>
        <v>-1446955.7106549616</v>
      </c>
      <c r="F21" s="1212">
        <f t="shared" si="8"/>
        <v>-1394736.70628292</v>
      </c>
      <c r="G21" s="1212">
        <f t="shared" si="8"/>
        <v>-1374152.6783216291</v>
      </c>
      <c r="H21" s="1212">
        <f t="shared" si="8"/>
        <v>-1373869.312645494</v>
      </c>
      <c r="I21" s="1212">
        <f t="shared" si="8"/>
        <v>-1367996.6573958332</v>
      </c>
      <c r="J21" s="1212">
        <f t="shared" si="8"/>
        <v>-1417386.1931357863</v>
      </c>
      <c r="K21" s="1212">
        <f t="shared" si="8"/>
        <v>-1440466.9621045997</v>
      </c>
      <c r="L21" s="1212">
        <f t="shared" si="8"/>
        <v>-1461241.8706254982</v>
      </c>
      <c r="M21" s="1212">
        <f t="shared" si="8"/>
        <v>-1462366.0195070179</v>
      </c>
      <c r="N21" s="1212">
        <f t="shared" si="8"/>
        <v>-1463592.6379848279</v>
      </c>
      <c r="O21" s="1212">
        <f t="shared" si="8"/>
        <v>-1464386.9323148429</v>
      </c>
      <c r="P21" s="1212">
        <f t="shared" si="8"/>
        <v>-1465181.2266448578</v>
      </c>
      <c r="Q21" s="1212">
        <f t="shared" si="8"/>
        <v>-1465975.5209748731</v>
      </c>
      <c r="R21" s="1212">
        <f t="shared" si="8"/>
        <v>-1466629.1931138074</v>
      </c>
      <c r="S21" s="1212">
        <f t="shared" si="8"/>
        <v>-1467276.8495547709</v>
      </c>
      <c r="T21" s="1212">
        <f t="shared" si="8"/>
        <v>-1467923.4302346562</v>
      </c>
      <c r="U21" s="1212">
        <f t="shared" si="8"/>
        <v>-1468670.0109145411</v>
      </c>
      <c r="V21" s="1212">
        <f t="shared" si="8"/>
        <v>-1469316.591594426</v>
      </c>
      <c r="W21" s="1212">
        <f t="shared" si="8"/>
        <v>-1470093.4360885399</v>
      </c>
      <c r="X21" s="1212">
        <f t="shared" si="8"/>
        <v>-1470677.1451495844</v>
      </c>
      <c r="Y21" s="1212">
        <f t="shared" si="8"/>
        <v>-1471229.2994638837</v>
      </c>
      <c r="Z21" s="1212">
        <f t="shared" si="8"/>
        <v>-1471781.4537781829</v>
      </c>
      <c r="AA21" s="1212">
        <f t="shared" si="8"/>
        <v>-1472333.6080924817</v>
      </c>
      <c r="AB21" s="1212">
        <f t="shared" si="8"/>
        <v>-1473098.6656280612</v>
      </c>
      <c r="AC21" s="1212">
        <f t="shared" si="8"/>
        <v>-1473705.9057253376</v>
      </c>
      <c r="AD21" s="1212">
        <f t="shared" si="8"/>
        <v>-1474296.7549024269</v>
      </c>
      <c r="AE21" s="1212">
        <f t="shared" si="8"/>
        <v>-1474913.5715805516</v>
      </c>
      <c r="AF21" s="1212">
        <f t="shared" si="8"/>
        <v>-1475285.5865488043</v>
      </c>
      <c r="AG21" s="1213">
        <f t="shared" si="7"/>
        <v>-42953599.501282685</v>
      </c>
    </row>
    <row r="22" spans="1:36" s="1127" customFormat="1" ht="20.25" customHeight="1">
      <c r="B22" s="1223" t="s">
        <v>215</v>
      </c>
      <c r="C22" s="1211">
        <f t="array" ref="C22:AF22">-TRANSPOSE('E1 9 R2 EE'!P4:P33)</f>
        <v>-550943.08806485729</v>
      </c>
      <c r="D22" s="1211">
        <v>-520726.94953219243</v>
      </c>
      <c r="E22" s="1211">
        <v>-477275.84931978828</v>
      </c>
      <c r="F22" s="1211">
        <v>-344403.68855712708</v>
      </c>
      <c r="G22" s="1211">
        <v>-455487.66739033093</v>
      </c>
      <c r="H22" s="1211">
        <v>-454207.58910337416</v>
      </c>
      <c r="I22" s="1211">
        <v>-448131.92873404676</v>
      </c>
      <c r="J22" s="1211">
        <v>-477332.3326502862</v>
      </c>
      <c r="K22" s="1211">
        <v>-484991.4912323436</v>
      </c>
      <c r="L22" s="1211">
        <v>-490984.8454241883</v>
      </c>
      <c r="M22" s="1211">
        <v>-491753.60923834378</v>
      </c>
      <c r="N22" s="1211">
        <v>-492467.43145287182</v>
      </c>
      <c r="O22" s="1211">
        <v>-493173.85906057863</v>
      </c>
      <c r="P22" s="1211">
        <v>-493880.28666828526</v>
      </c>
      <c r="Q22" s="1211">
        <v>-494586.71427599201</v>
      </c>
      <c r="R22" s="1211">
        <v>-495167.3296953052</v>
      </c>
      <c r="S22" s="1211">
        <v>-495743.28896263463</v>
      </c>
      <c r="T22" s="1211">
        <v>-496318.32996725256</v>
      </c>
      <c r="U22" s="1211">
        <v>-496893.37097187043</v>
      </c>
      <c r="V22" s="1211">
        <v>-497468.41197648842</v>
      </c>
      <c r="W22" s="1211">
        <v>-498159.94642223662</v>
      </c>
      <c r="X22" s="1211">
        <v>-498677.94812676474</v>
      </c>
      <c r="Y22" s="1211">
        <v>-499169.01490318938</v>
      </c>
      <c r="Z22" s="1211">
        <v>-499660.08167961391</v>
      </c>
      <c r="AA22" s="1211">
        <v>-500151.14845603844</v>
      </c>
      <c r="AB22" s="1211">
        <v>-500832.62162796105</v>
      </c>
      <c r="AC22" s="1211">
        <v>-501371.67256780365</v>
      </c>
      <c r="AD22" s="1211">
        <v>-501897.21491803054</v>
      </c>
      <c r="AE22" s="1211">
        <v>-502445.88625950681</v>
      </c>
      <c r="AF22" s="1211">
        <v>-502775.47914780863</v>
      </c>
      <c r="AG22" s="1217">
        <f t="shared" si="7"/>
        <v>-14657079.076387111</v>
      </c>
      <c r="AI22" s="1224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-'16 R1 OPEX'!E9</f>
        <v>-14599.065768930037</v>
      </c>
      <c r="H23" s="1214">
        <f>-'16 R1 OPEX'!E10</f>
        <v>-15057.798117373999</v>
      </c>
      <c r="I23" s="1214">
        <f>-'16 R1 OPEX'!E11</f>
        <v>-15064.87973247327</v>
      </c>
      <c r="J23" s="1214">
        <f>-'16 R1 OPEX'!E12</f>
        <v>-15072.495622356846</v>
      </c>
      <c r="K23" s="1214">
        <f>-'16 R1 OPEX'!E13</f>
        <v>-15192.826253067265</v>
      </c>
      <c r="L23" s="1214">
        <f>-'16 R1 OPEX'!E14</f>
        <v>-15347.122255394672</v>
      </c>
      <c r="M23" s="1214">
        <f>-'16 R1 OPEX'!E15</f>
        <v>-15631.795172996442</v>
      </c>
      <c r="N23" s="1214">
        <f>-'16 R1 OPEX'!E16</f>
        <v>-16078.51764681211</v>
      </c>
      <c r="O23" s="1214">
        <f>-'16 R1 OPEX'!E17</f>
        <v>-16101.57888608165</v>
      </c>
      <c r="P23" s="1214">
        <f>-'16 R1 OPEX'!E18</f>
        <v>-16124.640125351203</v>
      </c>
      <c r="Q23" s="1214">
        <f>-'16 R1 OPEX'!E19</f>
        <v>-16147.701364620751</v>
      </c>
      <c r="R23" s="1214">
        <f>-'16 R1 OPEX'!E20</f>
        <v>-16166.143434356836</v>
      </c>
      <c r="S23" s="1214">
        <f>-'16 R1 OPEX'!E21</f>
        <v>-16184.911737817845</v>
      </c>
      <c r="T23" s="1214">
        <f>-'16 R1 OPEX'!E22</f>
        <v>-16203.680041278865</v>
      </c>
      <c r="U23" s="1214">
        <f>-'16 R1 OPEX'!E23</f>
        <v>-16222.448344739874</v>
      </c>
      <c r="V23" s="1214">
        <f>-'16 R1 OPEX'!E24</f>
        <v>-16241.216648200887</v>
      </c>
      <c r="W23" s="1214">
        <f>-'16 R1 OPEX'!E25</f>
        <v>-16264.319313534354</v>
      </c>
      <c r="X23" s="1214">
        <f>-'16 R1 OPEX'!E26</f>
        <v>-16280.34814305808</v>
      </c>
      <c r="Y23" s="1214">
        <f>-'16 R1 OPEX'!E27</f>
        <v>-16296.376972581807</v>
      </c>
      <c r="Z23" s="1214">
        <f>-'16 R1 OPEX'!E28</f>
        <v>-16312.405802105539</v>
      </c>
      <c r="AA23" s="1214">
        <f>-'16 R1 OPEX'!E29</f>
        <v>-16328.434631629261</v>
      </c>
      <c r="AB23" s="1214">
        <f>-'16 R1 OPEX'!E30</f>
        <v>-16351.537299443749</v>
      </c>
      <c r="AC23" s="1214">
        <f>-'16 R1 OPEX'!E31</f>
        <v>-16368.34292048484</v>
      </c>
      <c r="AD23" s="1214">
        <f>-'16 R1 OPEX'!E32</f>
        <v>-16385.557657312653</v>
      </c>
      <c r="AE23" s="1214">
        <f>-'16 R1 OPEX'!E33</f>
        <v>-16403.549179438916</v>
      </c>
      <c r="AF23" s="1214">
        <f>-'16 R1 OPEX'!E34</f>
        <v>-16413.322066103116</v>
      </c>
      <c r="AG23" s="1215">
        <f t="shared" si="7"/>
        <v>-477854.6330623313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14">
        <f>-'16 R1 OPEX'!C13</f>
        <v>-553251.9</v>
      </c>
      <c r="L24" s="1214">
        <f>-'16 R1 OPEX'!C14</f>
        <v>-553251.9</v>
      </c>
      <c r="M24" s="1214">
        <f>-'16 R1 OPEX'!C15</f>
        <v>-553251.9</v>
      </c>
      <c r="N24" s="1214">
        <f>-'16 R1 OPEX'!C16</f>
        <v>-553251.9</v>
      </c>
      <c r="O24" s="1214">
        <f>-'16 R1 OPEX'!C17</f>
        <v>-553251.9</v>
      </c>
      <c r="P24" s="1214">
        <f>-'16 R1 OPEX'!C18</f>
        <v>-553251.9</v>
      </c>
      <c r="Q24" s="1214">
        <f>-'16 R1 OPEX'!C19</f>
        <v>-553251.9</v>
      </c>
      <c r="R24" s="1214">
        <f>-'16 R1 OPEX'!C20</f>
        <v>-553251.9</v>
      </c>
      <c r="S24" s="1214">
        <f>-'16 R1 OPEX'!C21</f>
        <v>-553251.9</v>
      </c>
      <c r="T24" s="1214">
        <f>-'16 R1 OPEX'!C22</f>
        <v>-553251.9</v>
      </c>
      <c r="U24" s="1214">
        <f>-'16 R1 OPEX'!C23</f>
        <v>-553251.9</v>
      </c>
      <c r="V24" s="1214">
        <f>-'16 R1 OPEX'!C24</f>
        <v>-553251.9</v>
      </c>
      <c r="W24" s="1214">
        <f>-'16 R1 OPEX'!C25</f>
        <v>-553251.9</v>
      </c>
      <c r="X24" s="1214">
        <f>-'16 R1 OPEX'!C26</f>
        <v>-553251.9</v>
      </c>
      <c r="Y24" s="1214">
        <f>-'16 R1 OPEX'!C27</f>
        <v>-553251.9</v>
      </c>
      <c r="Z24" s="1214">
        <f>-'16 R1 OPEX'!C28</f>
        <v>-553251.9</v>
      </c>
      <c r="AA24" s="1214">
        <f>-'16 R1 OPEX'!C29</f>
        <v>-553251.9</v>
      </c>
      <c r="AB24" s="1214">
        <f>-'16 R1 OPEX'!C30</f>
        <v>-553251.9</v>
      </c>
      <c r="AC24" s="1214">
        <f>-'16 R1 OPEX'!C31</f>
        <v>-553251.9</v>
      </c>
      <c r="AD24" s="1214">
        <f>-'16 R1 OPEX'!C32</f>
        <v>-553251.9</v>
      </c>
      <c r="AE24" s="1214">
        <f>-'16 R1 OPEX'!C33</f>
        <v>-553251.9</v>
      </c>
      <c r="AF24" s="1214">
        <f>-'16 R1 OPEX'!C34</f>
        <v>-553251.9</v>
      </c>
      <c r="AG24" s="1215">
        <f t="shared" si="7"/>
        <v>-16472445.540000008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14">
        <f>-'16 R1 OPEX'!F13</f>
        <v>-387030.74461918877</v>
      </c>
      <c r="L25" s="1214">
        <f>-'16 R1 OPEX'!F14</f>
        <v>-401658.00294591533</v>
      </c>
      <c r="M25" s="1214">
        <f>-'16 R1 OPEX'!F15</f>
        <v>-401728.7150956777</v>
      </c>
      <c r="N25" s="1214">
        <f>-'16 R1 OPEX'!F16</f>
        <v>-401794.78888514388</v>
      </c>
      <c r="O25" s="1214">
        <f>-'16 R1 OPEX'!F17</f>
        <v>-401859.59436818259</v>
      </c>
      <c r="P25" s="1214">
        <f>-'16 R1 OPEX'!F18</f>
        <v>-401924.39985122136</v>
      </c>
      <c r="Q25" s="1214">
        <f>-'16 R1 OPEX'!F19</f>
        <v>-401989.20533426024</v>
      </c>
      <c r="R25" s="1214">
        <f>-'16 R1 OPEX'!F20</f>
        <v>-402043.81998414529</v>
      </c>
      <c r="S25" s="1214">
        <f>-'16 R1 OPEX'!F21</f>
        <v>-402096.74885431846</v>
      </c>
      <c r="T25" s="1214">
        <f>-'16 R1 OPEX'!F22</f>
        <v>-402149.52022612467</v>
      </c>
      <c r="U25" s="1214">
        <f>-'16 R1 OPEX'!F23</f>
        <v>-402302.29159793071</v>
      </c>
      <c r="V25" s="1214">
        <f>-'16 R1 OPEX'!F24</f>
        <v>-402355.06296973687</v>
      </c>
      <c r="W25" s="1214">
        <f>-'16 R1 OPEX'!F25</f>
        <v>-402417.270352769</v>
      </c>
      <c r="X25" s="1214">
        <f>-'16 R1 OPEX'!F26</f>
        <v>-402466.94887976174</v>
      </c>
      <c r="Y25" s="1214">
        <f>-'16 R1 OPEX'!F27</f>
        <v>-402512.00758811249</v>
      </c>
      <c r="Z25" s="1214">
        <f>-'16 R1 OPEX'!F28</f>
        <v>-402557.06629646337</v>
      </c>
      <c r="AA25" s="1214">
        <f>-'16 R1 OPEX'!F29</f>
        <v>-402602.12500481395</v>
      </c>
      <c r="AB25" s="1214">
        <f>-'16 R1 OPEX'!F30</f>
        <v>-402662.60670065647</v>
      </c>
      <c r="AC25" s="1214">
        <f>-'16 R1 OPEX'!F31</f>
        <v>-402713.99023704906</v>
      </c>
      <c r="AD25" s="1214">
        <f>-'16 R1 OPEX'!F32</f>
        <v>-402762.08232708368</v>
      </c>
      <c r="AE25" s="1214">
        <f>-'16 R1 OPEX'!F33</f>
        <v>-402812.23614160577</v>
      </c>
      <c r="AF25" s="1214">
        <f>-'16 R1 OPEX'!F34</f>
        <v>-402844.88533489278</v>
      </c>
      <c r="AG25" s="1215">
        <f t="shared" si="7"/>
        <v>-11346220.251833245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9">-D17*0.01</f>
        <v>-23487.364306745756</v>
      </c>
      <c r="E26" s="1212">
        <f t="shared" si="9"/>
        <v>-26078.466711710476</v>
      </c>
      <c r="F26" s="1212">
        <f t="shared" si="9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0">-I17*0.005</f>
        <v>-16724.631693002015</v>
      </c>
      <c r="J26" s="1212">
        <f t="shared" si="10"/>
        <v>-18111.511932221227</v>
      </c>
      <c r="K26" s="1212">
        <f t="shared" si="10"/>
        <v>-18484.631903379784</v>
      </c>
      <c r="L26" s="1212">
        <f t="shared" si="10"/>
        <v>-18908.024589975459</v>
      </c>
      <c r="M26" s="1212">
        <f t="shared" si="10"/>
        <v>-19774.895090707654</v>
      </c>
      <c r="N26" s="1212">
        <f t="shared" si="10"/>
        <v>-21103.335011259587</v>
      </c>
      <c r="O26" s="1212">
        <f t="shared" si="10"/>
        <v>-21188.342133486596</v>
      </c>
      <c r="P26" s="1212">
        <f t="shared" si="10"/>
        <v>-21217.734589548847</v>
      </c>
      <c r="Q26" s="1212">
        <f t="shared" si="10"/>
        <v>-21248.193074573755</v>
      </c>
      <c r="R26" s="1212">
        <f t="shared" si="10"/>
        <v>-21276.253072885316</v>
      </c>
      <c r="S26" s="1212">
        <f t="shared" si="10"/>
        <v>-21301.774864111474</v>
      </c>
      <c r="T26" s="1212">
        <f t="shared" si="10"/>
        <v>-21327.156934965551</v>
      </c>
      <c r="U26" s="1212">
        <f t="shared" si="10"/>
        <v>-21352.539005819635</v>
      </c>
      <c r="V26" s="1212">
        <f t="shared" si="10"/>
        <v>-21375.522589960383</v>
      </c>
      <c r="W26" s="1212">
        <f t="shared" si="10"/>
        <v>-21403.163427155741</v>
      </c>
      <c r="X26" s="1212">
        <f t="shared" si="10"/>
        <v>-21431.083705095225</v>
      </c>
      <c r="Y26" s="1212">
        <f t="shared" si="10"/>
        <v>-21451.808522894709</v>
      </c>
      <c r="Z26" s="1212">
        <f t="shared" si="10"/>
        <v>-21472.11417957798</v>
      </c>
      <c r="AA26" s="1212">
        <f t="shared" si="10"/>
        <v>-21492.419836261241</v>
      </c>
      <c r="AB26" s="1212">
        <f t="shared" si="10"/>
        <v>-21517.522466371189</v>
      </c>
      <c r="AC26" s="1212">
        <f t="shared" si="10"/>
        <v>-21542.904537225269</v>
      </c>
      <c r="AD26" s="1212">
        <f t="shared" si="10"/>
        <v>-21565.888121366017</v>
      </c>
      <c r="AE26" s="1212">
        <f t="shared" si="10"/>
        <v>-21591.130471848021</v>
      </c>
      <c r="AF26" s="1212">
        <f t="shared" si="10"/>
        <v>-21609.317082562102</v>
      </c>
      <c r="AG26" s="1213">
        <f>SUM(C26:AF26)</f>
        <v>-629234.22533387714</v>
      </c>
      <c r="AI26" s="1218"/>
    </row>
    <row r="27" spans="1:36" s="89" customFormat="1" ht="20.25" customHeight="1">
      <c r="B27" s="468" t="s">
        <v>220</v>
      </c>
      <c r="C27" s="1212">
        <f>C17+C18+C21+C26</f>
        <v>344445.52263026108</v>
      </c>
      <c r="D27" s="1212">
        <f t="shared" ref="D27:AF27" si="11">D17+D18+D21+D26</f>
        <v>725349.91665796575</v>
      </c>
      <c r="E27" s="1212">
        <f t="shared" si="11"/>
        <v>761821.69357299618</v>
      </c>
      <c r="F27" s="1212">
        <f t="shared" si="11"/>
        <v>885882.90854486439</v>
      </c>
      <c r="G27" s="1212">
        <f t="shared" si="11"/>
        <v>985282.16072117677</v>
      </c>
      <c r="H27" s="1212">
        <f t="shared" si="11"/>
        <v>1234394.7776532515</v>
      </c>
      <c r="I27" s="1212">
        <f t="shared" si="11"/>
        <v>1592153.5221256458</v>
      </c>
      <c r="J27" s="1212">
        <f t="shared" si="11"/>
        <v>1817240.8904273617</v>
      </c>
      <c r="K27" s="1212">
        <f t="shared" si="11"/>
        <v>1863264.0440935071</v>
      </c>
      <c r="L27" s="1212">
        <f t="shared" si="11"/>
        <v>1939059.9802226224</v>
      </c>
      <c r="M27" s="1212">
        <f t="shared" si="11"/>
        <v>2110356.7635438051</v>
      </c>
      <c r="N27" s="1212">
        <f t="shared" si="11"/>
        <v>2373480.6885534814</v>
      </c>
      <c r="O27" s="1212">
        <f t="shared" si="11"/>
        <v>2389556.1589872409</v>
      </c>
      <c r="P27" s="1212">
        <f t="shared" si="11"/>
        <v>2394564.2471297011</v>
      </c>
      <c r="Q27" s="1212">
        <f t="shared" si="11"/>
        <v>2399784.4033456515</v>
      </c>
      <c r="R27" s="1212">
        <f t="shared" si="11"/>
        <v>2404648.6283903704</v>
      </c>
      <c r="S27" s="1212">
        <f t="shared" si="11"/>
        <v>2409063.6824589367</v>
      </c>
      <c r="T27" s="1212">
        <f t="shared" si="11"/>
        <v>2413428.8018198949</v>
      </c>
      <c r="U27" s="1212">
        <f t="shared" si="11"/>
        <v>2417695.4423737591</v>
      </c>
      <c r="V27" s="1212">
        <f t="shared" si="11"/>
        <v>2421586.794241712</v>
      </c>
      <c r="W27" s="1212">
        <f t="shared" si="11"/>
        <v>2426278.1059154519</v>
      </c>
      <c r="X27" s="1212">
        <f t="shared" si="11"/>
        <v>2431197.2679482689</v>
      </c>
      <c r="Y27" s="1212">
        <f t="shared" si="11"/>
        <v>2434736.9059445565</v>
      </c>
      <c r="Z27" s="1212">
        <f t="shared" si="11"/>
        <v>2438191.1569544892</v>
      </c>
      <c r="AA27" s="1212">
        <f t="shared" si="11"/>
        <v>2441645.0154658253</v>
      </c>
      <c r="AB27" s="1212">
        <f t="shared" si="11"/>
        <v>2445791.3011798053</v>
      </c>
      <c r="AC27" s="1212">
        <f t="shared" si="11"/>
        <v>2450235.0895549506</v>
      </c>
      <c r="AD27" s="1212">
        <f t="shared" si="11"/>
        <v>2454179.7913707555</v>
      </c>
      <c r="AE27" s="1212">
        <f t="shared" si="11"/>
        <v>2458541.2113963384</v>
      </c>
      <c r="AF27" s="1212">
        <f t="shared" si="11"/>
        <v>2461747.9429678167</v>
      </c>
      <c r="AG27" s="1213">
        <f t="shared" ref="AG27:AG33" si="12">SUM(C27:AF27)</f>
        <v>60325604.816192463</v>
      </c>
    </row>
    <row r="28" spans="1:36" s="89" customFormat="1" ht="20.25" customHeight="1">
      <c r="B28" s="468" t="s">
        <v>221</v>
      </c>
      <c r="C28" s="1212"/>
      <c r="D28" s="1212">
        <f>-'R1 DEPR'!AH11</f>
        <v>-19422.835502517231</v>
      </c>
      <c r="E28" s="1212">
        <f>-'R1 DEPR'!AH12</f>
        <v>-31767.091368703179</v>
      </c>
      <c r="F28" s="1212">
        <f>-'R1 DEPR'!AH13</f>
        <v>-42964.776963557146</v>
      </c>
      <c r="G28" s="1212">
        <f>-'R1 DEPR'!AH14</f>
        <v>-96570.054420457061</v>
      </c>
      <c r="H28" s="1212">
        <f>-'R1 DEPR'!AH15</f>
        <v>-304965.65942868049</v>
      </c>
      <c r="I28" s="1212">
        <f>-'R1 DEPR'!AH16</f>
        <v>-335294.75656698272</v>
      </c>
      <c r="J28" s="1212">
        <f>-'R1 DEPR'!AH17</f>
        <v>-409777.60554813145</v>
      </c>
      <c r="K28" s="1212">
        <f>-'R1 DEPR'!AH18</f>
        <v>-463947.68852428254</v>
      </c>
      <c r="L28" s="1212">
        <f>-'R1 DEPR'!AH19</f>
        <v>-555574.63704043371</v>
      </c>
      <c r="M28" s="1212">
        <f>-'R1 DEPR'!AH20</f>
        <v>-605563.54056842171</v>
      </c>
      <c r="N28" s="1212">
        <f>-'R1 DEPR'!AH21</f>
        <v>-745221.7237064041</v>
      </c>
      <c r="O28" s="1212">
        <f>-'R1 DEPR'!AH22</f>
        <v>-875944.51290035935</v>
      </c>
      <c r="P28" s="1212">
        <f>-'R1 DEPR'!AH23</f>
        <v>-879967.26312107325</v>
      </c>
      <c r="Q28" s="1212">
        <f>-'R1 DEPR'!AH24</f>
        <v>-884241.43523058179</v>
      </c>
      <c r="R28" s="1212">
        <f>-'R1 DEPR'!AH25</f>
        <v>-888800.5521473909</v>
      </c>
      <c r="S28" s="1212">
        <f>-'R1 DEPR'!AH26</f>
        <v>-893307.60598682927</v>
      </c>
      <c r="T28" s="1212">
        <f>-'R1 DEPR'!AH27</f>
        <v>-898161.35627545521</v>
      </c>
      <c r="U28" s="1212">
        <f>-'R1 DEPR'!AH28</f>
        <v>-903419.58575479989</v>
      </c>
      <c r="V28" s="1212">
        <f>-'R1 DEPR'!AH29</f>
        <v>-909155.83609590319</v>
      </c>
      <c r="W28" s="1212">
        <f>-'R1 DEPR'!AH30</f>
        <v>-915465.71147111687</v>
      </c>
      <c r="X28" s="1212">
        <f>-'R1 DEPR'!AH31</f>
        <v>-923109.46188802097</v>
      </c>
      <c r="Y28" s="1212">
        <f>-'R1 DEPR'!AH32</f>
        <v>-930539.30610703805</v>
      </c>
      <c r="Z28" s="1212">
        <f>-'R1 DEPR'!AH33</f>
        <v>-939030.55664305761</v>
      </c>
      <c r="AA28" s="1212">
        <f>-'R1 DEPR'!AH34</f>
        <v>-948937.01560174709</v>
      </c>
      <c r="AB28" s="1212">
        <f>-'R1 DEPR'!AH35</f>
        <v>-960824.76635217445</v>
      </c>
      <c r="AC28" s="1212">
        <f>-'R1 DEPR'!AH36</f>
        <v>-978023.20479020861</v>
      </c>
      <c r="AD28" s="1212">
        <f>-'R1 DEPR'!AH37</f>
        <v>-998107.45604092081</v>
      </c>
      <c r="AE28" s="1212">
        <f>-'R1 DEPR'!AH38</f>
        <v>-1028640.8329169891</v>
      </c>
      <c r="AF28" s="1212">
        <f>-'R1 DEPR'!AH39</f>
        <v>-1150372.8346658584</v>
      </c>
      <c r="AG28" s="1213">
        <f t="shared" si="12"/>
        <v>-20517119.663628098</v>
      </c>
    </row>
    <row r="29" spans="1:36" ht="20.25" customHeight="1">
      <c r="B29" s="468" t="s">
        <v>222</v>
      </c>
      <c r="C29" s="1212">
        <f>C27+C28</f>
        <v>344445.52263026108</v>
      </c>
      <c r="D29" s="1212">
        <f t="shared" ref="D29:AF29" si="13">D27+D28</f>
        <v>705927.08115544857</v>
      </c>
      <c r="E29" s="1212">
        <f t="shared" si="13"/>
        <v>730054.60220429301</v>
      </c>
      <c r="F29" s="1212">
        <f t="shared" si="13"/>
        <v>842918.13158130727</v>
      </c>
      <c r="G29" s="1212">
        <f t="shared" si="13"/>
        <v>888712.10630071966</v>
      </c>
      <c r="H29" s="1212">
        <f t="shared" si="13"/>
        <v>929429.11822457099</v>
      </c>
      <c r="I29" s="1212">
        <f t="shared" si="13"/>
        <v>1256858.7655586631</v>
      </c>
      <c r="J29" s="1212">
        <f t="shared" si="13"/>
        <v>1407463.2848792302</v>
      </c>
      <c r="K29" s="1212">
        <f t="shared" si="13"/>
        <v>1399316.3555692246</v>
      </c>
      <c r="L29" s="1212">
        <f t="shared" si="13"/>
        <v>1383485.3431821887</v>
      </c>
      <c r="M29" s="1212">
        <f t="shared" si="13"/>
        <v>1504793.2229753835</v>
      </c>
      <c r="N29" s="1212">
        <f t="shared" si="13"/>
        <v>1628258.9648470771</v>
      </c>
      <c r="O29" s="1212">
        <f t="shared" si="13"/>
        <v>1513611.6460868814</v>
      </c>
      <c r="P29" s="1212">
        <f t="shared" si="13"/>
        <v>1514596.9840086279</v>
      </c>
      <c r="Q29" s="1212">
        <f t="shared" si="13"/>
        <v>1515542.9681150697</v>
      </c>
      <c r="R29" s="1212">
        <f t="shared" si="13"/>
        <v>1515848.0762429796</v>
      </c>
      <c r="S29" s="1212">
        <f t="shared" si="13"/>
        <v>1515756.0764721073</v>
      </c>
      <c r="T29" s="1212">
        <f t="shared" si="13"/>
        <v>1515267.4455444398</v>
      </c>
      <c r="U29" s="1212">
        <f t="shared" si="13"/>
        <v>1514275.8566189592</v>
      </c>
      <c r="V29" s="1212">
        <f t="shared" si="13"/>
        <v>1512430.9581458089</v>
      </c>
      <c r="W29" s="1212">
        <f t="shared" si="13"/>
        <v>1510812.394444335</v>
      </c>
      <c r="X29" s="1212">
        <f t="shared" si="13"/>
        <v>1508087.8060602481</v>
      </c>
      <c r="Y29" s="1212">
        <f t="shared" si="13"/>
        <v>1504197.5998375183</v>
      </c>
      <c r="Z29" s="1212">
        <f t="shared" si="13"/>
        <v>1499160.6003114316</v>
      </c>
      <c r="AA29" s="1212">
        <f t="shared" si="13"/>
        <v>1492707.9998640781</v>
      </c>
      <c r="AB29" s="1212">
        <f t="shared" si="13"/>
        <v>1484966.534827631</v>
      </c>
      <c r="AC29" s="1212">
        <f t="shared" si="13"/>
        <v>1472211.8847647421</v>
      </c>
      <c r="AD29" s="1212">
        <f t="shared" si="13"/>
        <v>1456072.3353298348</v>
      </c>
      <c r="AE29" s="1212">
        <f t="shared" si="13"/>
        <v>1429900.3784793494</v>
      </c>
      <c r="AF29" s="1212">
        <f t="shared" si="13"/>
        <v>1311375.1083019583</v>
      </c>
      <c r="AG29" s="1213">
        <f t="shared" si="12"/>
        <v>39808485.152564377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4">D31+D32</f>
        <v>-216015.2075928525</v>
      </c>
      <c r="E30" s="1212">
        <f t="shared" si="14"/>
        <v>-224218.56474945962</v>
      </c>
      <c r="F30" s="1212">
        <f t="shared" si="14"/>
        <v>-262592.16473764449</v>
      </c>
      <c r="G30" s="1212">
        <f t="shared" si="14"/>
        <v>-278162.11614224466</v>
      </c>
      <c r="H30" s="1212">
        <f t="shared" si="14"/>
        <v>-292005.90019635414</v>
      </c>
      <c r="I30" s="1212">
        <f t="shared" si="14"/>
        <v>-403331.98028994544</v>
      </c>
      <c r="J30" s="1212">
        <f t="shared" si="14"/>
        <v>-454537.51685893827</v>
      </c>
      <c r="K30" s="1212">
        <f t="shared" si="14"/>
        <v>-451767.56089353637</v>
      </c>
      <c r="L30" s="1212">
        <f t="shared" si="14"/>
        <v>-446385.01668194414</v>
      </c>
      <c r="M30" s="1212">
        <f t="shared" si="14"/>
        <v>-487629.6958116304</v>
      </c>
      <c r="N30" s="1212">
        <f t="shared" si="14"/>
        <v>-529608.04804800625</v>
      </c>
      <c r="O30" s="1212">
        <f t="shared" si="14"/>
        <v>-490627.9596695397</v>
      </c>
      <c r="P30" s="1212">
        <f t="shared" si="14"/>
        <v>-490962.97456293349</v>
      </c>
      <c r="Q30" s="1212">
        <f t="shared" si="14"/>
        <v>-491284.60915912368</v>
      </c>
      <c r="R30" s="1212">
        <f t="shared" si="14"/>
        <v>-491388.34592261305</v>
      </c>
      <c r="S30" s="1212">
        <f t="shared" si="14"/>
        <v>-491357.06600051653</v>
      </c>
      <c r="T30" s="1212">
        <f t="shared" si="14"/>
        <v>-491190.9314851095</v>
      </c>
      <c r="U30" s="1212">
        <f t="shared" si="14"/>
        <v>-490853.79125044611</v>
      </c>
      <c r="V30" s="1212">
        <f t="shared" si="14"/>
        <v>-490226.52576957503</v>
      </c>
      <c r="W30" s="1212">
        <f t="shared" si="14"/>
        <v>-489676.21411107387</v>
      </c>
      <c r="X30" s="1212">
        <f t="shared" si="14"/>
        <v>-488749.85406048433</v>
      </c>
      <c r="Y30" s="1212">
        <f t="shared" si="14"/>
        <v>-487427.18394475622</v>
      </c>
      <c r="Z30" s="1212">
        <f t="shared" si="14"/>
        <v>-485714.60410588677</v>
      </c>
      <c r="AA30" s="1212">
        <f t="shared" si="14"/>
        <v>-483520.71995378658</v>
      </c>
      <c r="AB30" s="1212">
        <f t="shared" si="14"/>
        <v>-480888.62184139452</v>
      </c>
      <c r="AC30" s="1212">
        <f t="shared" si="14"/>
        <v>-476552.04082001233</v>
      </c>
      <c r="AD30" s="1212">
        <f t="shared" si="14"/>
        <v>-471064.59401214385</v>
      </c>
      <c r="AE30" s="1212">
        <f t="shared" si="14"/>
        <v>-462166.1286829788</v>
      </c>
      <c r="AF30" s="1212">
        <f t="shared" si="14"/>
        <v>-421867.53682266583</v>
      </c>
      <c r="AG30" s="1213">
        <f t="shared" si="12"/>
        <v>-12721773.474177597</v>
      </c>
    </row>
    <row r="31" spans="1:36" s="89" customFormat="1" ht="20.25" customHeight="1">
      <c r="B31" s="477" t="s">
        <v>224</v>
      </c>
      <c r="C31" s="1214"/>
      <c r="D31" s="1214">
        <f t="shared" ref="D31:AF31" si="15">-((D29*0.15)+((D29-240000)*0.1))</f>
        <v>-152481.77028886214</v>
      </c>
      <c r="E31" s="1214">
        <f t="shared" si="15"/>
        <v>-158513.65055107325</v>
      </c>
      <c r="F31" s="1214">
        <f t="shared" si="15"/>
        <v>-186729.53289532682</v>
      </c>
      <c r="G31" s="1214">
        <f t="shared" si="15"/>
        <v>-198178.02657517992</v>
      </c>
      <c r="H31" s="1214">
        <f t="shared" si="15"/>
        <v>-208357.27955614275</v>
      </c>
      <c r="I31" s="1214">
        <f t="shared" si="15"/>
        <v>-290214.69138966576</v>
      </c>
      <c r="J31" s="1214">
        <f t="shared" si="15"/>
        <v>-327865.82121980755</v>
      </c>
      <c r="K31" s="1214">
        <f t="shared" si="15"/>
        <v>-325829.08889230614</v>
      </c>
      <c r="L31" s="1214">
        <f t="shared" si="15"/>
        <v>-321871.33579554717</v>
      </c>
      <c r="M31" s="1214">
        <f t="shared" si="15"/>
        <v>-352198.30574384588</v>
      </c>
      <c r="N31" s="1214">
        <f t="shared" si="15"/>
        <v>-383064.74121176929</v>
      </c>
      <c r="O31" s="1214">
        <f t="shared" si="15"/>
        <v>-354402.91152172035</v>
      </c>
      <c r="P31" s="1214">
        <f t="shared" si="15"/>
        <v>-354649.24600215699</v>
      </c>
      <c r="Q31" s="1214">
        <f t="shared" si="15"/>
        <v>-354885.74202876742</v>
      </c>
      <c r="R31" s="1214">
        <f t="shared" si="15"/>
        <v>-354962.0190607449</v>
      </c>
      <c r="S31" s="1214">
        <f t="shared" si="15"/>
        <v>-354939.01911802683</v>
      </c>
      <c r="T31" s="1214">
        <f t="shared" si="15"/>
        <v>-354816.86138610996</v>
      </c>
      <c r="U31" s="1214">
        <f t="shared" si="15"/>
        <v>-354568.96415473981</v>
      </c>
      <c r="V31" s="1214">
        <f t="shared" si="15"/>
        <v>-354107.73953645222</v>
      </c>
      <c r="W31" s="1214">
        <f t="shared" si="15"/>
        <v>-353703.09861108375</v>
      </c>
      <c r="X31" s="1214">
        <f t="shared" si="15"/>
        <v>-353021.95151506201</v>
      </c>
      <c r="Y31" s="1214">
        <f t="shared" si="15"/>
        <v>-352049.39995937957</v>
      </c>
      <c r="Z31" s="1214">
        <f t="shared" si="15"/>
        <v>-350790.15007785789</v>
      </c>
      <c r="AA31" s="1214">
        <f t="shared" si="15"/>
        <v>-349176.99996601953</v>
      </c>
      <c r="AB31" s="1214">
        <f t="shared" si="15"/>
        <v>-347241.63370690774</v>
      </c>
      <c r="AC31" s="1214">
        <f t="shared" si="15"/>
        <v>-344052.97119118553</v>
      </c>
      <c r="AD31" s="1214">
        <f t="shared" si="15"/>
        <v>-340018.08383245871</v>
      </c>
      <c r="AE31" s="1214">
        <f t="shared" si="15"/>
        <v>-333475.09461983736</v>
      </c>
      <c r="AF31" s="1214">
        <f t="shared" si="15"/>
        <v>-303843.77707548958</v>
      </c>
      <c r="AG31" s="1213">
        <f t="shared" si="12"/>
        <v>-9170009.9074835274</v>
      </c>
    </row>
    <row r="32" spans="1:36" s="89" customFormat="1" ht="20.25" customHeight="1">
      <c r="B32" s="477" t="s">
        <v>225</v>
      </c>
      <c r="C32" s="1214"/>
      <c r="D32" s="1214">
        <f t="shared" ref="D32:AF32" si="16">-(D29*0.09)</f>
        <v>-63533.437303990366</v>
      </c>
      <c r="E32" s="1214">
        <f t="shared" si="16"/>
        <v>-65704.914198386366</v>
      </c>
      <c r="F32" s="1214">
        <f t="shared" si="16"/>
        <v>-75862.631842317656</v>
      </c>
      <c r="G32" s="1214">
        <f t="shared" si="16"/>
        <v>-79984.089567064773</v>
      </c>
      <c r="H32" s="1214">
        <f t="shared" si="16"/>
        <v>-83648.620640211389</v>
      </c>
      <c r="I32" s="1214">
        <f t="shared" si="16"/>
        <v>-113117.28890027967</v>
      </c>
      <c r="J32" s="1214">
        <f t="shared" si="16"/>
        <v>-126671.69563913072</v>
      </c>
      <c r="K32" s="1214">
        <f t="shared" si="16"/>
        <v>-125938.47200123021</v>
      </c>
      <c r="L32" s="1214">
        <f t="shared" si="16"/>
        <v>-124513.68088639698</v>
      </c>
      <c r="M32" s="1214">
        <f t="shared" si="16"/>
        <v>-135431.39006778452</v>
      </c>
      <c r="N32" s="1214">
        <f t="shared" si="16"/>
        <v>-146543.30683623694</v>
      </c>
      <c r="O32" s="1214">
        <f t="shared" si="16"/>
        <v>-136225.04814781933</v>
      </c>
      <c r="P32" s="1214">
        <f t="shared" si="16"/>
        <v>-136313.72856077651</v>
      </c>
      <c r="Q32" s="1214">
        <f t="shared" si="16"/>
        <v>-136398.86713035626</v>
      </c>
      <c r="R32" s="1214">
        <f t="shared" si="16"/>
        <v>-136426.32686186815</v>
      </c>
      <c r="S32" s="1214">
        <f t="shared" si="16"/>
        <v>-136418.04688248967</v>
      </c>
      <c r="T32" s="1214">
        <f t="shared" si="16"/>
        <v>-136374.07009899957</v>
      </c>
      <c r="U32" s="1214">
        <f t="shared" si="16"/>
        <v>-136284.82709570634</v>
      </c>
      <c r="V32" s="1214">
        <f t="shared" si="16"/>
        <v>-136118.78623312281</v>
      </c>
      <c r="W32" s="1214">
        <f t="shared" si="16"/>
        <v>-135973.11549999015</v>
      </c>
      <c r="X32" s="1214">
        <f t="shared" si="16"/>
        <v>-135727.90254542232</v>
      </c>
      <c r="Y32" s="1214">
        <f t="shared" si="16"/>
        <v>-135377.78398537665</v>
      </c>
      <c r="Z32" s="1214">
        <f t="shared" si="16"/>
        <v>-134924.45402802885</v>
      </c>
      <c r="AA32" s="1214">
        <f t="shared" si="16"/>
        <v>-134343.71998776702</v>
      </c>
      <c r="AB32" s="1214">
        <f t="shared" si="16"/>
        <v>-133646.98813448678</v>
      </c>
      <c r="AC32" s="1214">
        <f t="shared" si="16"/>
        <v>-132499.06962882678</v>
      </c>
      <c r="AD32" s="1214">
        <f t="shared" si="16"/>
        <v>-131046.51017968514</v>
      </c>
      <c r="AE32" s="1214">
        <f t="shared" si="16"/>
        <v>-128691.03406314144</v>
      </c>
      <c r="AF32" s="1214">
        <f t="shared" si="16"/>
        <v>-118023.75974717624</v>
      </c>
      <c r="AG32" s="1213">
        <f t="shared" si="12"/>
        <v>-3551763.5666940697</v>
      </c>
    </row>
    <row r="33" spans="2:34" s="89" customFormat="1" ht="20.25" customHeight="1" thickBot="1">
      <c r="B33" s="471" t="s">
        <v>226</v>
      </c>
      <c r="C33" s="1219">
        <f>C29+C30</f>
        <v>344445.52263026108</v>
      </c>
      <c r="D33" s="1219">
        <f t="shared" ref="D33:AF33" si="17">D29+D30</f>
        <v>489911.87356259604</v>
      </c>
      <c r="E33" s="1219">
        <f t="shared" si="17"/>
        <v>505836.03745483339</v>
      </c>
      <c r="F33" s="1219">
        <f t="shared" si="17"/>
        <v>580325.96684366278</v>
      </c>
      <c r="G33" s="1219">
        <f t="shared" si="17"/>
        <v>610549.990158475</v>
      </c>
      <c r="H33" s="1219">
        <f t="shared" si="17"/>
        <v>637423.21802821686</v>
      </c>
      <c r="I33" s="1219">
        <f t="shared" si="17"/>
        <v>853526.78526871768</v>
      </c>
      <c r="J33" s="1219">
        <f t="shared" si="17"/>
        <v>952925.76802029193</v>
      </c>
      <c r="K33" s="1219">
        <f t="shared" si="17"/>
        <v>947548.79467568826</v>
      </c>
      <c r="L33" s="1219">
        <f t="shared" si="17"/>
        <v>937100.32650024456</v>
      </c>
      <c r="M33" s="1219">
        <f t="shared" si="17"/>
        <v>1017163.5271637531</v>
      </c>
      <c r="N33" s="1219">
        <f t="shared" si="17"/>
        <v>1098650.9167990708</v>
      </c>
      <c r="O33" s="1219">
        <f t="shared" si="17"/>
        <v>1022983.6864173417</v>
      </c>
      <c r="P33" s="1219">
        <f t="shared" si="17"/>
        <v>1023634.0094456945</v>
      </c>
      <c r="Q33" s="1219">
        <f t="shared" si="17"/>
        <v>1024258.3589559461</v>
      </c>
      <c r="R33" s="1219">
        <f t="shared" si="17"/>
        <v>1024459.7303203666</v>
      </c>
      <c r="S33" s="1219">
        <f t="shared" si="17"/>
        <v>1024399.0104715908</v>
      </c>
      <c r="T33" s="1219">
        <f t="shared" si="17"/>
        <v>1024076.5140593303</v>
      </c>
      <c r="U33" s="1219">
        <f t="shared" si="17"/>
        <v>1023422.0653685131</v>
      </c>
      <c r="V33" s="1219">
        <f t="shared" si="17"/>
        <v>1022204.4323762339</v>
      </c>
      <c r="W33" s="1219">
        <f t="shared" si="17"/>
        <v>1021136.1803332611</v>
      </c>
      <c r="X33" s="1219">
        <f t="shared" si="17"/>
        <v>1019337.9519997637</v>
      </c>
      <c r="Y33" s="1219">
        <f t="shared" si="17"/>
        <v>1016770.4158927621</v>
      </c>
      <c r="Z33" s="1219">
        <f t="shared" si="17"/>
        <v>1013445.9962055448</v>
      </c>
      <c r="AA33" s="1219">
        <f t="shared" si="17"/>
        <v>1009187.2799102915</v>
      </c>
      <c r="AB33" s="1219">
        <f t="shared" si="17"/>
        <v>1004077.9129862364</v>
      </c>
      <c r="AC33" s="1219">
        <f t="shared" si="17"/>
        <v>995659.84394472977</v>
      </c>
      <c r="AD33" s="1219">
        <f t="shared" si="17"/>
        <v>985007.74131769105</v>
      </c>
      <c r="AE33" s="1219">
        <f t="shared" si="17"/>
        <v>967734.24979637063</v>
      </c>
      <c r="AF33" s="1219">
        <f t="shared" si="17"/>
        <v>889507.57147929247</v>
      </c>
      <c r="AG33" s="1220">
        <f t="shared" si="12"/>
        <v>27086711.67838677</v>
      </c>
      <c r="AH33" s="136"/>
    </row>
    <row r="35" spans="2:34" s="135" customFormat="1">
      <c r="C35" s="135">
        <f>C29*0.15</f>
        <v>51666.828394539159</v>
      </c>
      <c r="D35" s="135">
        <f t="shared" ref="D35:AF35" si="18">D29*0.15</f>
        <v>105889.06217331729</v>
      </c>
      <c r="E35" s="135">
        <f t="shared" si="18"/>
        <v>109508.19033064395</v>
      </c>
      <c r="F35" s="135">
        <f t="shared" si="18"/>
        <v>126437.71973719608</v>
      </c>
      <c r="G35" s="135">
        <f t="shared" si="18"/>
        <v>133306.81594510796</v>
      </c>
      <c r="H35" s="135">
        <f t="shared" si="18"/>
        <v>139414.36773368565</v>
      </c>
      <c r="I35" s="135">
        <f t="shared" si="18"/>
        <v>188528.81483379946</v>
      </c>
      <c r="J35" s="135">
        <f t="shared" si="18"/>
        <v>211119.49273188453</v>
      </c>
      <c r="K35" s="135">
        <f t="shared" si="18"/>
        <v>209897.45333538367</v>
      </c>
      <c r="L35" s="135">
        <f t="shared" si="18"/>
        <v>207522.80147732829</v>
      </c>
      <c r="M35" s="135">
        <f t="shared" si="18"/>
        <v>225718.98344630751</v>
      </c>
      <c r="N35" s="135">
        <f t="shared" si="18"/>
        <v>244238.84472706157</v>
      </c>
      <c r="O35" s="135">
        <f t="shared" si="18"/>
        <v>227041.7469130322</v>
      </c>
      <c r="P35" s="135">
        <f t="shared" si="18"/>
        <v>227189.54760129418</v>
      </c>
      <c r="Q35" s="135">
        <f t="shared" si="18"/>
        <v>227331.44521726045</v>
      </c>
      <c r="R35" s="135">
        <f t="shared" si="18"/>
        <v>227377.21143644693</v>
      </c>
      <c r="S35" s="135">
        <f t="shared" si="18"/>
        <v>227363.41147081609</v>
      </c>
      <c r="T35" s="135">
        <f t="shared" si="18"/>
        <v>227290.11683166598</v>
      </c>
      <c r="U35" s="135">
        <f t="shared" si="18"/>
        <v>227141.37849284388</v>
      </c>
      <c r="V35" s="135">
        <f t="shared" si="18"/>
        <v>226864.64372187134</v>
      </c>
      <c r="W35" s="135">
        <f t="shared" si="18"/>
        <v>226621.85916665025</v>
      </c>
      <c r="X35" s="135">
        <f t="shared" si="18"/>
        <v>226213.1709090372</v>
      </c>
      <c r="Y35" s="135">
        <f t="shared" si="18"/>
        <v>225629.63997562774</v>
      </c>
      <c r="Z35" s="135">
        <f t="shared" si="18"/>
        <v>224874.09004671473</v>
      </c>
      <c r="AA35" s="135">
        <f t="shared" si="18"/>
        <v>223906.1999796117</v>
      </c>
      <c r="AB35" s="135">
        <f t="shared" si="18"/>
        <v>222744.98022414465</v>
      </c>
      <c r="AC35" s="135">
        <f t="shared" si="18"/>
        <v>220831.7827147113</v>
      </c>
      <c r="AD35" s="135">
        <f t="shared" si="18"/>
        <v>218410.85029947522</v>
      </c>
      <c r="AE35" s="135">
        <f t="shared" si="18"/>
        <v>214485.0567719024</v>
      </c>
      <c r="AF35" s="135">
        <f t="shared" si="18"/>
        <v>196706.26624529375</v>
      </c>
    </row>
    <row r="36" spans="2:34" s="135" customFormat="1">
      <c r="C36" s="135">
        <f>(C29-240000)*0.1</f>
        <v>10444.552263026109</v>
      </c>
      <c r="D36" s="135">
        <f t="shared" ref="D36:AF36" si="19">(D29-240000)*0.1</f>
        <v>46592.708115544861</v>
      </c>
      <c r="E36" s="135">
        <f t="shared" si="19"/>
        <v>49005.460220429304</v>
      </c>
      <c r="F36" s="135">
        <f t="shared" si="19"/>
        <v>60291.813158130732</v>
      </c>
      <c r="G36" s="135">
        <f t="shared" si="19"/>
        <v>64871.210630071968</v>
      </c>
      <c r="H36" s="135">
        <f t="shared" si="19"/>
        <v>68942.911822457099</v>
      </c>
      <c r="I36" s="135">
        <f t="shared" si="19"/>
        <v>101685.87655586631</v>
      </c>
      <c r="J36" s="135">
        <f t="shared" si="19"/>
        <v>116746.32848792302</v>
      </c>
      <c r="K36" s="135">
        <f t="shared" si="19"/>
        <v>115931.63555692247</v>
      </c>
      <c r="L36" s="135">
        <f t="shared" si="19"/>
        <v>114348.53431821888</v>
      </c>
      <c r="M36" s="135">
        <f t="shared" si="19"/>
        <v>126479.32229753835</v>
      </c>
      <c r="N36" s="135">
        <f t="shared" si="19"/>
        <v>138825.89648470771</v>
      </c>
      <c r="O36" s="135">
        <f t="shared" si="19"/>
        <v>127361.16460868815</v>
      </c>
      <c r="P36" s="135">
        <f t="shared" si="19"/>
        <v>127459.69840086281</v>
      </c>
      <c r="Q36" s="135">
        <f t="shared" si="19"/>
        <v>127554.29681150697</v>
      </c>
      <c r="R36" s="135">
        <f t="shared" si="19"/>
        <v>127584.80762429797</v>
      </c>
      <c r="S36" s="135">
        <f t="shared" si="19"/>
        <v>127575.60764721074</v>
      </c>
      <c r="T36" s="135">
        <f t="shared" si="19"/>
        <v>127526.74455444398</v>
      </c>
      <c r="U36" s="135">
        <f t="shared" si="19"/>
        <v>127427.58566189592</v>
      </c>
      <c r="V36" s="135">
        <f t="shared" si="19"/>
        <v>127243.0958145809</v>
      </c>
      <c r="W36" s="135">
        <f t="shared" si="19"/>
        <v>127081.23944443351</v>
      </c>
      <c r="X36" s="135">
        <f t="shared" si="19"/>
        <v>126808.78060602481</v>
      </c>
      <c r="Y36" s="135">
        <f t="shared" si="19"/>
        <v>126419.75998375184</v>
      </c>
      <c r="Z36" s="135">
        <f t="shared" si="19"/>
        <v>125916.06003114316</v>
      </c>
      <c r="AA36" s="135">
        <f t="shared" si="19"/>
        <v>125270.79998640782</v>
      </c>
      <c r="AB36" s="135">
        <f t="shared" si="19"/>
        <v>124496.6534827631</v>
      </c>
      <c r="AC36" s="135">
        <f t="shared" si="19"/>
        <v>123221.18847647421</v>
      </c>
      <c r="AD36" s="135">
        <f t="shared" si="19"/>
        <v>121607.23353298349</v>
      </c>
      <c r="AE36" s="135">
        <f t="shared" si="19"/>
        <v>118990.03784793495</v>
      </c>
      <c r="AF36" s="135">
        <f t="shared" si="19"/>
        <v>107137.51083019584</v>
      </c>
    </row>
    <row r="37" spans="2:34" s="135" customFormat="1">
      <c r="C37" s="135">
        <f>C35+C36</f>
        <v>62111.380657565271</v>
      </c>
      <c r="D37" s="135">
        <f t="shared" ref="D37:AF37" si="20">D35+D36</f>
        <v>152481.77028886214</v>
      </c>
      <c r="E37" s="135">
        <f t="shared" si="20"/>
        <v>158513.65055107325</v>
      </c>
      <c r="F37" s="135">
        <f t="shared" si="20"/>
        <v>186729.53289532682</v>
      </c>
      <c r="G37" s="135">
        <f t="shared" si="20"/>
        <v>198178.02657517992</v>
      </c>
      <c r="H37" s="135">
        <f t="shared" si="20"/>
        <v>208357.27955614275</v>
      </c>
      <c r="I37" s="135">
        <f t="shared" si="20"/>
        <v>290214.69138966576</v>
      </c>
      <c r="J37" s="135">
        <f t="shared" si="20"/>
        <v>327865.82121980755</v>
      </c>
      <c r="K37" s="135">
        <f t="shared" si="20"/>
        <v>325829.08889230614</v>
      </c>
      <c r="L37" s="135">
        <f t="shared" si="20"/>
        <v>321871.33579554717</v>
      </c>
      <c r="M37" s="135">
        <f t="shared" si="20"/>
        <v>352198.30574384588</v>
      </c>
      <c r="N37" s="135">
        <f t="shared" si="20"/>
        <v>383064.74121176929</v>
      </c>
      <c r="O37" s="135">
        <f t="shared" si="20"/>
        <v>354402.91152172035</v>
      </c>
      <c r="P37" s="135">
        <f t="shared" si="20"/>
        <v>354649.24600215699</v>
      </c>
      <c r="Q37" s="135">
        <f t="shared" si="20"/>
        <v>354885.74202876742</v>
      </c>
      <c r="R37" s="135">
        <f t="shared" si="20"/>
        <v>354962.0190607449</v>
      </c>
      <c r="S37" s="135">
        <f t="shared" si="20"/>
        <v>354939.01911802683</v>
      </c>
      <c r="T37" s="135">
        <f t="shared" si="20"/>
        <v>354816.86138610996</v>
      </c>
      <c r="U37" s="135">
        <f t="shared" si="20"/>
        <v>354568.96415473981</v>
      </c>
      <c r="V37" s="135">
        <f t="shared" si="20"/>
        <v>354107.73953645222</v>
      </c>
      <c r="W37" s="135">
        <f t="shared" si="20"/>
        <v>353703.09861108375</v>
      </c>
      <c r="X37" s="135">
        <f t="shared" si="20"/>
        <v>353021.95151506201</v>
      </c>
      <c r="Y37" s="135">
        <f t="shared" si="20"/>
        <v>352049.39995937957</v>
      </c>
      <c r="Z37" s="135">
        <f t="shared" si="20"/>
        <v>350790.15007785789</v>
      </c>
      <c r="AA37" s="135">
        <f t="shared" si="20"/>
        <v>349176.99996601953</v>
      </c>
      <c r="AB37" s="135">
        <f t="shared" si="20"/>
        <v>347241.63370690774</v>
      </c>
      <c r="AC37" s="135">
        <f t="shared" si="20"/>
        <v>344052.97119118553</v>
      </c>
      <c r="AD37" s="135">
        <f t="shared" si="20"/>
        <v>340018.08383245871</v>
      </c>
      <c r="AE37" s="135">
        <f t="shared" si="20"/>
        <v>333475.09461983736</v>
      </c>
      <c r="AF37" s="135">
        <f t="shared" si="20"/>
        <v>303843.77707548958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344445.52263026108</v>
      </c>
      <c r="D45" s="1227">
        <f t="shared" ref="D45:AF45" si="22">D27</f>
        <v>725349.91665796575</v>
      </c>
      <c r="E45" s="1227">
        <f t="shared" si="22"/>
        <v>761821.69357299618</v>
      </c>
      <c r="F45" s="1227">
        <f t="shared" si="22"/>
        <v>885882.90854486439</v>
      </c>
      <c r="G45" s="1227">
        <f t="shared" si="22"/>
        <v>985282.16072117677</v>
      </c>
      <c r="H45" s="1227">
        <f t="shared" si="22"/>
        <v>1234394.7776532515</v>
      </c>
      <c r="I45" s="1227">
        <f t="shared" si="22"/>
        <v>1592153.5221256458</v>
      </c>
      <c r="J45" s="1227">
        <f t="shared" si="22"/>
        <v>1817240.8904273617</v>
      </c>
      <c r="K45" s="1227">
        <f t="shared" si="22"/>
        <v>1863264.0440935071</v>
      </c>
      <c r="L45" s="1227">
        <f t="shared" si="22"/>
        <v>1939059.9802226224</v>
      </c>
      <c r="M45" s="1227">
        <f t="shared" si="22"/>
        <v>2110356.7635438051</v>
      </c>
      <c r="N45" s="1227">
        <f t="shared" si="22"/>
        <v>2373480.6885534814</v>
      </c>
      <c r="O45" s="1227">
        <f t="shared" si="22"/>
        <v>2389556.1589872409</v>
      </c>
      <c r="P45" s="1227">
        <f t="shared" si="22"/>
        <v>2394564.2471297011</v>
      </c>
      <c r="Q45" s="1227">
        <f t="shared" si="22"/>
        <v>2399784.4033456515</v>
      </c>
      <c r="R45" s="1227">
        <f t="shared" si="22"/>
        <v>2404648.6283903704</v>
      </c>
      <c r="S45" s="1227">
        <f t="shared" si="22"/>
        <v>2409063.6824589367</v>
      </c>
      <c r="T45" s="1227">
        <f t="shared" si="22"/>
        <v>2413428.8018198949</v>
      </c>
      <c r="U45" s="1227">
        <f t="shared" si="22"/>
        <v>2417695.4423737591</v>
      </c>
      <c r="V45" s="1227">
        <f t="shared" si="22"/>
        <v>2421586.794241712</v>
      </c>
      <c r="W45" s="1227">
        <f t="shared" si="22"/>
        <v>2426278.1059154519</v>
      </c>
      <c r="X45" s="1227">
        <f t="shared" si="22"/>
        <v>2431197.2679482689</v>
      </c>
      <c r="Y45" s="1227">
        <f t="shared" si="22"/>
        <v>2434736.9059445565</v>
      </c>
      <c r="Z45" s="1227">
        <f t="shared" si="22"/>
        <v>2438191.1569544892</v>
      </c>
      <c r="AA45" s="1227">
        <f t="shared" si="22"/>
        <v>2441645.0154658253</v>
      </c>
      <c r="AB45" s="1227">
        <f t="shared" si="22"/>
        <v>2445791.3011798053</v>
      </c>
      <c r="AC45" s="1227">
        <f t="shared" si="22"/>
        <v>2450235.0895549506</v>
      </c>
      <c r="AD45" s="1227">
        <f t="shared" si="22"/>
        <v>2454179.7913707555</v>
      </c>
      <c r="AE45" s="1227">
        <f t="shared" si="22"/>
        <v>2458541.2113963384</v>
      </c>
      <c r="AF45" s="1227">
        <f t="shared" si="22"/>
        <v>2461747.9429678167</v>
      </c>
      <c r="AG45" s="1229">
        <f>SUM(C45:AF45)</f>
        <v>60325604.816192463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5" si="23">SUM(C46:AF46)</f>
        <v>0</v>
      </c>
    </row>
    <row r="47" spans="2:34" s="205" customFormat="1" ht="21" customHeight="1">
      <c r="B47" s="468" t="s">
        <v>229</v>
      </c>
      <c r="C47" s="1212">
        <f>C48+C52</f>
        <v>-563262.22957299976</v>
      </c>
      <c r="D47" s="1212">
        <f t="shared" ref="D47:AF47" si="24">D48+D52</f>
        <v>-561654.37184605899</v>
      </c>
      <c r="E47" s="1212">
        <f t="shared" si="24"/>
        <v>-526556.07581051672</v>
      </c>
      <c r="F47" s="1212">
        <f t="shared" si="24"/>
        <v>-1656329.3786170422</v>
      </c>
      <c r="G47" s="1212">
        <f t="shared" si="24"/>
        <v>-5488052.2413478307</v>
      </c>
      <c r="H47" s="1212">
        <f t="shared" si="24"/>
        <v>-1019904.231515607</v>
      </c>
      <c r="I47" s="1212">
        <f t="shared" si="24"/>
        <v>-2116437.506856367</v>
      </c>
      <c r="J47" s="1212">
        <f t="shared" si="24"/>
        <v>-1646279.3423342626</v>
      </c>
      <c r="K47" s="1212">
        <f t="shared" si="24"/>
        <v>-2375933.4797327118</v>
      </c>
      <c r="L47" s="1212">
        <f t="shared" si="24"/>
        <v>-1446163.0872417046</v>
      </c>
      <c r="M47" s="1212">
        <f t="shared" si="24"/>
        <v>-3141135.1754332958</v>
      </c>
      <c r="N47" s="1212">
        <f t="shared" si="24"/>
        <v>-2882618.2535392009</v>
      </c>
      <c r="O47" s="1212">
        <f t="shared" si="24"/>
        <v>-559014.71342167631</v>
      </c>
      <c r="P47" s="1212">
        <f t="shared" si="24"/>
        <v>-559349.72831507004</v>
      </c>
      <c r="Q47" s="1212">
        <f t="shared" si="24"/>
        <v>-559671.36291126022</v>
      </c>
      <c r="R47" s="1212">
        <f t="shared" si="24"/>
        <v>-554487.09967474965</v>
      </c>
      <c r="S47" s="1212">
        <f t="shared" si="24"/>
        <v>-554455.81975265313</v>
      </c>
      <c r="T47" s="1212">
        <f t="shared" si="24"/>
        <v>-554289.6852372461</v>
      </c>
      <c r="U47" s="1212">
        <f t="shared" si="24"/>
        <v>-553952.54500258272</v>
      </c>
      <c r="V47" s="1212">
        <f t="shared" si="24"/>
        <v>-553325.27952171164</v>
      </c>
      <c r="W47" s="1212">
        <f t="shared" si="24"/>
        <v>-558469.96786321048</v>
      </c>
      <c r="X47" s="1212">
        <f t="shared" si="24"/>
        <v>-548188.60781262093</v>
      </c>
      <c r="Y47" s="1212">
        <f t="shared" si="24"/>
        <v>-546865.93769689277</v>
      </c>
      <c r="Z47" s="1212">
        <f t="shared" si="24"/>
        <v>-545153.35785802337</v>
      </c>
      <c r="AA47" s="1212">
        <f t="shared" si="24"/>
        <v>-542959.47370592318</v>
      </c>
      <c r="AB47" s="1212">
        <f t="shared" si="24"/>
        <v>-549682.37559353106</v>
      </c>
      <c r="AC47" s="1212">
        <f t="shared" si="24"/>
        <v>-536804.79457214894</v>
      </c>
      <c r="AD47" s="1212">
        <f t="shared" si="24"/>
        <v>-532131.34776428039</v>
      </c>
      <c r="AE47" s="1212">
        <f t="shared" si="24"/>
        <v>-524450.8824351154</v>
      </c>
      <c r="AF47" s="1228">
        <f t="shared" si="24"/>
        <v>-481314.78481939877</v>
      </c>
      <c r="AG47" s="1231">
        <f t="shared" si="23"/>
        <v>-33238893.137805697</v>
      </c>
    </row>
    <row r="48" spans="2:34" s="206" customFormat="1" ht="21" customHeight="1">
      <c r="B48" s="468" t="s">
        <v>230</v>
      </c>
      <c r="C48" s="1212">
        <f>C49+C50+C51</f>
        <v>-563262.22957299976</v>
      </c>
      <c r="D48" s="1212">
        <f t="shared" ref="D48:AF48" si="25">D49+D50+D51</f>
        <v>-345639.16425320646</v>
      </c>
      <c r="E48" s="1212">
        <f t="shared" si="25"/>
        <v>-302337.51106105704</v>
      </c>
      <c r="F48" s="1212">
        <f t="shared" si="25"/>
        <v>-1393737.2138793978</v>
      </c>
      <c r="G48" s="1212">
        <f t="shared" si="25"/>
        <v>-5209890.1252055857</v>
      </c>
      <c r="H48" s="1212">
        <f t="shared" si="25"/>
        <v>-727898.33131925284</v>
      </c>
      <c r="I48" s="1212">
        <f t="shared" si="25"/>
        <v>-1713105.5265664214</v>
      </c>
      <c r="J48" s="1212">
        <f t="shared" si="25"/>
        <v>-1191741.8254753242</v>
      </c>
      <c r="K48" s="1212">
        <f t="shared" si="25"/>
        <v>-1924165.9188391753</v>
      </c>
      <c r="L48" s="1212">
        <f t="shared" si="25"/>
        <v>-999778.07055976056</v>
      </c>
      <c r="M48" s="1212">
        <f t="shared" si="25"/>
        <v>-2653505.4796216656</v>
      </c>
      <c r="N48" s="1212">
        <f t="shared" si="25"/>
        <v>-2353010.2054911945</v>
      </c>
      <c r="O48" s="1212">
        <f t="shared" si="25"/>
        <v>-68386.753752136574</v>
      </c>
      <c r="P48" s="1212">
        <f t="shared" si="25"/>
        <v>-68386.753752136574</v>
      </c>
      <c r="Q48" s="1212">
        <f t="shared" si="25"/>
        <v>-68386.753752136574</v>
      </c>
      <c r="R48" s="1212">
        <f t="shared" si="25"/>
        <v>-63098.753752136574</v>
      </c>
      <c r="S48" s="1212">
        <f t="shared" si="25"/>
        <v>-63098.753752136574</v>
      </c>
      <c r="T48" s="1212">
        <f t="shared" si="25"/>
        <v>-63098.753752136574</v>
      </c>
      <c r="U48" s="1212">
        <f t="shared" si="25"/>
        <v>-63098.753752136574</v>
      </c>
      <c r="V48" s="1212">
        <f t="shared" si="25"/>
        <v>-63098.753752136574</v>
      </c>
      <c r="W48" s="1212">
        <f t="shared" si="25"/>
        <v>-68793.753752136574</v>
      </c>
      <c r="X48" s="1212">
        <f t="shared" si="25"/>
        <v>-59438.753752136574</v>
      </c>
      <c r="Y48" s="1212">
        <f t="shared" si="25"/>
        <v>-59438.753752136574</v>
      </c>
      <c r="Z48" s="1212">
        <f t="shared" si="25"/>
        <v>-59438.753752136574</v>
      </c>
      <c r="AA48" s="1212">
        <f t="shared" si="25"/>
        <v>-59438.753752136574</v>
      </c>
      <c r="AB48" s="1212">
        <f t="shared" si="25"/>
        <v>-68793.753752136574</v>
      </c>
      <c r="AC48" s="1212">
        <f t="shared" si="25"/>
        <v>-60252.753752136574</v>
      </c>
      <c r="AD48" s="1212">
        <f t="shared" si="25"/>
        <v>-61066.753752136574</v>
      </c>
      <c r="AE48" s="1212">
        <f t="shared" si="25"/>
        <v>-62284.753752136574</v>
      </c>
      <c r="AF48" s="1228">
        <f t="shared" si="25"/>
        <v>-59447.247996732927</v>
      </c>
      <c r="AG48" s="1231">
        <f t="shared" si="23"/>
        <v>-20517119.663628064</v>
      </c>
      <c r="AH48" s="207"/>
    </row>
    <row r="49" spans="2:34" s="206" customFormat="1" ht="21" customHeight="1">
      <c r="B49" s="470" t="s">
        <v>231</v>
      </c>
      <c r="C49" s="1214">
        <f t="array" ref="C49:AF49">-TRANSPOSE('18 R1 Invest Total'!C4:C33)</f>
        <v>-408428.3754822117</v>
      </c>
      <c r="D49" s="1214">
        <v>-329783.01199834509</v>
      </c>
      <c r="E49" s="1214">
        <v>-226602.31678867349</v>
      </c>
      <c r="F49" s="1214">
        <v>-1359859.3479073208</v>
      </c>
      <c r="G49" s="1214">
        <v>-423362.0777800596</v>
      </c>
      <c r="H49" s="1214">
        <v>-99278.617780059591</v>
      </c>
      <c r="I49" s="1214">
        <v>-14581.887780059598</v>
      </c>
      <c r="J49" s="1214">
        <v>-14581.887780059598</v>
      </c>
      <c r="K49" s="1214">
        <v>-14581.887780059598</v>
      </c>
      <c r="L49" s="1214">
        <v>-15189.887780059598</v>
      </c>
      <c r="M49" s="1214">
        <v>-14785.887780059598</v>
      </c>
      <c r="N49" s="1214">
        <v>-14275.887780059598</v>
      </c>
      <c r="O49" s="1214">
        <v>-14275.887780059598</v>
      </c>
      <c r="P49" s="1214">
        <v>-14275.887780059598</v>
      </c>
      <c r="Q49" s="1214">
        <v>-14275.887780059598</v>
      </c>
      <c r="R49" s="1214">
        <v>-12851.887780059598</v>
      </c>
      <c r="S49" s="1214">
        <v>-12851.887780059598</v>
      </c>
      <c r="T49" s="1214">
        <v>-12851.887780059598</v>
      </c>
      <c r="U49" s="1214">
        <v>-12851.887780059598</v>
      </c>
      <c r="V49" s="1214">
        <v>-12851.887780059598</v>
      </c>
      <c r="W49" s="1214">
        <v>-14377.887780059598</v>
      </c>
      <c r="X49" s="1214">
        <v>-11835.887780059598</v>
      </c>
      <c r="Y49" s="1214">
        <v>-11835.887780059598</v>
      </c>
      <c r="Z49" s="1214">
        <v>-11835.887780059598</v>
      </c>
      <c r="AA49" s="1214">
        <v>-11835.887780059598</v>
      </c>
      <c r="AB49" s="1214">
        <v>-14377.887780059598</v>
      </c>
      <c r="AC49" s="1214">
        <v>-12039.887780059598</v>
      </c>
      <c r="AD49" s="1214">
        <v>-12243.887780059598</v>
      </c>
      <c r="AE49" s="1214">
        <v>-12647.887780059598</v>
      </c>
      <c r="AF49" s="1230">
        <v>-9773.2620246559418</v>
      </c>
      <c r="AG49" s="1231">
        <f t="shared" si="23"/>
        <v>-3165202.4287026967</v>
      </c>
    </row>
    <row r="50" spans="2:34" s="206" customFormat="1" ht="21" customHeight="1">
      <c r="B50" s="470" t="s">
        <v>232</v>
      </c>
      <c r="C50" s="1214">
        <f t="array" ref="C50:AF50">-TRANSPOSE('18 R1 Invest Total'!D4:D33)</f>
        <v>-37879.125589369905</v>
      </c>
      <c r="D50" s="1214">
        <v>-571.94869673148537</v>
      </c>
      <c r="E50" s="1214">
        <v>-9420.8028316306008</v>
      </c>
      <c r="F50" s="1214">
        <v>-816</v>
      </c>
      <c r="G50" s="1214">
        <v>-4753466.1814534497</v>
      </c>
      <c r="H50" s="1214">
        <v>-595557.84756711626</v>
      </c>
      <c r="I50" s="1214">
        <v>-1665461.7728142848</v>
      </c>
      <c r="J50" s="1214">
        <v>-1144098.0717231876</v>
      </c>
      <c r="K50" s="1214">
        <v>-1876522.1650870387</v>
      </c>
      <c r="L50" s="1214">
        <v>-951526.31680762395</v>
      </c>
      <c r="M50" s="1214">
        <v>-2605657.7258695289</v>
      </c>
      <c r="N50" s="1214">
        <v>-2305672.4517390579</v>
      </c>
      <c r="O50" s="1214">
        <v>-21049</v>
      </c>
      <c r="P50" s="1214">
        <v>-21049</v>
      </c>
      <c r="Q50" s="1214">
        <v>-21049</v>
      </c>
      <c r="R50" s="1214">
        <v>-17185</v>
      </c>
      <c r="S50" s="1214">
        <v>-17185</v>
      </c>
      <c r="T50" s="1214">
        <v>-17185</v>
      </c>
      <c r="U50" s="1214">
        <v>-17185</v>
      </c>
      <c r="V50" s="1214">
        <v>-17185</v>
      </c>
      <c r="W50" s="1214">
        <v>-21354</v>
      </c>
      <c r="X50" s="1214">
        <v>-14541</v>
      </c>
      <c r="Y50" s="1214">
        <v>-14541</v>
      </c>
      <c r="Z50" s="1214">
        <v>-14541</v>
      </c>
      <c r="AA50" s="1214">
        <v>-14541</v>
      </c>
      <c r="AB50" s="1214">
        <v>-21354</v>
      </c>
      <c r="AC50" s="1214">
        <v>-15151</v>
      </c>
      <c r="AD50" s="1214">
        <v>-15761</v>
      </c>
      <c r="AE50" s="1214">
        <v>-16575</v>
      </c>
      <c r="AF50" s="1230">
        <v>-16612.120000000003</v>
      </c>
      <c r="AG50" s="1231">
        <f t="shared" si="23"/>
        <v>-16260693.530179018</v>
      </c>
    </row>
    <row r="51" spans="2:34" s="206" customFormat="1" ht="21" customHeight="1">
      <c r="B51" s="470" t="s">
        <v>233</v>
      </c>
      <c r="C51" s="1214">
        <f t="array" ref="C51:AF51">-TRANSPOSE('18 R1 Invest Total'!E4:E33)</f>
        <v>-116954.72850141811</v>
      </c>
      <c r="D51" s="1214">
        <v>-15284.203558129915</v>
      </c>
      <c r="E51" s="1214">
        <v>-66314.391440752952</v>
      </c>
      <c r="F51" s="1214">
        <v>-33061.865972076979</v>
      </c>
      <c r="G51" s="1214">
        <v>-33061.865972076979</v>
      </c>
      <c r="H51" s="1214">
        <v>-33061.865972076979</v>
      </c>
      <c r="I51" s="1214">
        <v>-33061.865972076979</v>
      </c>
      <c r="J51" s="1214">
        <v>-33061.865972076979</v>
      </c>
      <c r="K51" s="1214">
        <v>-33061.865972076979</v>
      </c>
      <c r="L51" s="1214">
        <v>-33061.865972076979</v>
      </c>
      <c r="M51" s="1214">
        <v>-33061.865972076979</v>
      </c>
      <c r="N51" s="1214">
        <v>-33061.865972076979</v>
      </c>
      <c r="O51" s="1214">
        <v>-33061.865972076979</v>
      </c>
      <c r="P51" s="1214">
        <v>-33061.865972076979</v>
      </c>
      <c r="Q51" s="1214">
        <v>-33061.865972076979</v>
      </c>
      <c r="R51" s="1214">
        <v>-33061.865972076979</v>
      </c>
      <c r="S51" s="1214">
        <v>-33061.865972076979</v>
      </c>
      <c r="T51" s="1214">
        <v>-33061.865972076979</v>
      </c>
      <c r="U51" s="1214">
        <v>-33061.865972076979</v>
      </c>
      <c r="V51" s="1214">
        <v>-33061.865972076979</v>
      </c>
      <c r="W51" s="1214">
        <v>-33061.865972076979</v>
      </c>
      <c r="X51" s="1214">
        <v>-33061.865972076979</v>
      </c>
      <c r="Y51" s="1214">
        <v>-33061.865972076979</v>
      </c>
      <c r="Z51" s="1214">
        <v>-33061.865972076979</v>
      </c>
      <c r="AA51" s="1214">
        <v>-33061.865972076979</v>
      </c>
      <c r="AB51" s="1214">
        <v>-33061.865972076979</v>
      </c>
      <c r="AC51" s="1214">
        <v>-33061.865972076979</v>
      </c>
      <c r="AD51" s="1214">
        <v>-33061.865972076979</v>
      </c>
      <c r="AE51" s="1214">
        <v>-33061.865972076979</v>
      </c>
      <c r="AF51" s="1230">
        <v>-33061.865972076979</v>
      </c>
      <c r="AG51" s="1231">
        <f t="shared" si="23"/>
        <v>-1091223.70474638</v>
      </c>
    </row>
    <row r="52" spans="2:34" s="206" customFormat="1" ht="21" customHeight="1">
      <c r="B52" s="468" t="s">
        <v>234</v>
      </c>
      <c r="C52" s="1212">
        <f>C53+C54</f>
        <v>0</v>
      </c>
      <c r="D52" s="1212">
        <f t="shared" ref="D52:AF52" si="26">D53+D54</f>
        <v>-216015.2075928525</v>
      </c>
      <c r="E52" s="1212">
        <f t="shared" si="26"/>
        <v>-224218.56474945962</v>
      </c>
      <c r="F52" s="1212">
        <f t="shared" si="26"/>
        <v>-262592.16473764449</v>
      </c>
      <c r="G52" s="1212">
        <f t="shared" si="26"/>
        <v>-278162.11614224466</v>
      </c>
      <c r="H52" s="1212">
        <f t="shared" si="26"/>
        <v>-292005.90019635414</v>
      </c>
      <c r="I52" s="1212">
        <f t="shared" si="26"/>
        <v>-403331.98028994544</v>
      </c>
      <c r="J52" s="1212">
        <f t="shared" si="26"/>
        <v>-454537.51685893827</v>
      </c>
      <c r="K52" s="1212">
        <f t="shared" si="26"/>
        <v>-451767.56089353637</v>
      </c>
      <c r="L52" s="1212">
        <f t="shared" si="26"/>
        <v>-446385.01668194414</v>
      </c>
      <c r="M52" s="1212">
        <f t="shared" si="26"/>
        <v>-487629.6958116304</v>
      </c>
      <c r="N52" s="1212">
        <f t="shared" si="26"/>
        <v>-529608.04804800625</v>
      </c>
      <c r="O52" s="1212">
        <f t="shared" si="26"/>
        <v>-490627.9596695397</v>
      </c>
      <c r="P52" s="1212">
        <f t="shared" si="26"/>
        <v>-490962.97456293349</v>
      </c>
      <c r="Q52" s="1212">
        <f t="shared" si="26"/>
        <v>-491284.60915912368</v>
      </c>
      <c r="R52" s="1212">
        <f t="shared" si="26"/>
        <v>-491388.34592261305</v>
      </c>
      <c r="S52" s="1212">
        <f t="shared" si="26"/>
        <v>-491357.06600051653</v>
      </c>
      <c r="T52" s="1212">
        <f t="shared" si="26"/>
        <v>-491190.9314851095</v>
      </c>
      <c r="U52" s="1212">
        <f t="shared" si="26"/>
        <v>-490853.79125044611</v>
      </c>
      <c r="V52" s="1212">
        <f t="shared" si="26"/>
        <v>-490226.52576957503</v>
      </c>
      <c r="W52" s="1212">
        <f t="shared" si="26"/>
        <v>-489676.21411107387</v>
      </c>
      <c r="X52" s="1212">
        <f t="shared" si="26"/>
        <v>-488749.85406048433</v>
      </c>
      <c r="Y52" s="1212">
        <f t="shared" si="26"/>
        <v>-487427.18394475622</v>
      </c>
      <c r="Z52" s="1212">
        <f t="shared" si="26"/>
        <v>-485714.60410588677</v>
      </c>
      <c r="AA52" s="1212">
        <f t="shared" si="26"/>
        <v>-483520.71995378658</v>
      </c>
      <c r="AB52" s="1212">
        <f t="shared" si="26"/>
        <v>-480888.62184139452</v>
      </c>
      <c r="AC52" s="1212">
        <f t="shared" si="26"/>
        <v>-476552.04082001233</v>
      </c>
      <c r="AD52" s="1212">
        <f t="shared" si="26"/>
        <v>-471064.59401214385</v>
      </c>
      <c r="AE52" s="1212">
        <f t="shared" si="26"/>
        <v>-462166.1286829788</v>
      </c>
      <c r="AF52" s="1228">
        <f t="shared" si="26"/>
        <v>-421867.53682266583</v>
      </c>
      <c r="AG52" s="1231">
        <f t="shared" si="23"/>
        <v>-12721773.474177597</v>
      </c>
    </row>
    <row r="53" spans="2:34" s="206" customFormat="1" ht="21" customHeight="1">
      <c r="B53" s="469" t="s">
        <v>235</v>
      </c>
      <c r="C53" s="1214">
        <f>C31</f>
        <v>0</v>
      </c>
      <c r="D53" s="1214">
        <f t="shared" ref="D53:AF54" si="27">D31</f>
        <v>-152481.77028886214</v>
      </c>
      <c r="E53" s="1214">
        <f t="shared" si="27"/>
        <v>-158513.65055107325</v>
      </c>
      <c r="F53" s="1214">
        <f t="shared" si="27"/>
        <v>-186729.53289532682</v>
      </c>
      <c r="G53" s="1214">
        <f t="shared" si="27"/>
        <v>-198178.02657517992</v>
      </c>
      <c r="H53" s="1214">
        <f t="shared" si="27"/>
        <v>-208357.27955614275</v>
      </c>
      <c r="I53" s="1214">
        <f t="shared" si="27"/>
        <v>-290214.69138966576</v>
      </c>
      <c r="J53" s="1214">
        <f t="shared" si="27"/>
        <v>-327865.82121980755</v>
      </c>
      <c r="K53" s="1214">
        <f t="shared" si="27"/>
        <v>-325829.08889230614</v>
      </c>
      <c r="L53" s="1214">
        <f t="shared" si="27"/>
        <v>-321871.33579554717</v>
      </c>
      <c r="M53" s="1214">
        <f t="shared" si="27"/>
        <v>-352198.30574384588</v>
      </c>
      <c r="N53" s="1214">
        <f t="shared" si="27"/>
        <v>-383064.74121176929</v>
      </c>
      <c r="O53" s="1214">
        <f t="shared" si="27"/>
        <v>-354402.91152172035</v>
      </c>
      <c r="P53" s="1214">
        <f t="shared" si="27"/>
        <v>-354649.24600215699</v>
      </c>
      <c r="Q53" s="1214">
        <f t="shared" si="27"/>
        <v>-354885.74202876742</v>
      </c>
      <c r="R53" s="1214">
        <f t="shared" si="27"/>
        <v>-354962.0190607449</v>
      </c>
      <c r="S53" s="1214">
        <f t="shared" si="27"/>
        <v>-354939.01911802683</v>
      </c>
      <c r="T53" s="1214">
        <f t="shared" si="27"/>
        <v>-354816.86138610996</v>
      </c>
      <c r="U53" s="1214">
        <f t="shared" si="27"/>
        <v>-354568.96415473981</v>
      </c>
      <c r="V53" s="1214">
        <f t="shared" si="27"/>
        <v>-354107.73953645222</v>
      </c>
      <c r="W53" s="1214">
        <f t="shared" si="27"/>
        <v>-353703.09861108375</v>
      </c>
      <c r="X53" s="1214">
        <f t="shared" si="27"/>
        <v>-353021.95151506201</v>
      </c>
      <c r="Y53" s="1214">
        <f t="shared" si="27"/>
        <v>-352049.39995937957</v>
      </c>
      <c r="Z53" s="1214">
        <f t="shared" si="27"/>
        <v>-350790.15007785789</v>
      </c>
      <c r="AA53" s="1214">
        <f t="shared" si="27"/>
        <v>-349176.99996601953</v>
      </c>
      <c r="AB53" s="1214">
        <f t="shared" si="27"/>
        <v>-347241.63370690774</v>
      </c>
      <c r="AC53" s="1214">
        <f t="shared" si="27"/>
        <v>-344052.97119118553</v>
      </c>
      <c r="AD53" s="1214">
        <f t="shared" si="27"/>
        <v>-340018.08383245871</v>
      </c>
      <c r="AE53" s="1214">
        <f t="shared" si="27"/>
        <v>-333475.09461983736</v>
      </c>
      <c r="AF53" s="1214">
        <f t="shared" si="27"/>
        <v>-303843.77707548958</v>
      </c>
      <c r="AG53" s="1231">
        <f t="shared" si="23"/>
        <v>-9170009.9074835274</v>
      </c>
    </row>
    <row r="54" spans="2:34" s="206" customFormat="1" ht="21" customHeight="1" thickBot="1">
      <c r="B54" s="476" t="s">
        <v>236</v>
      </c>
      <c r="C54" s="1214">
        <f>C32</f>
        <v>0</v>
      </c>
      <c r="D54" s="1214">
        <f t="shared" si="27"/>
        <v>-63533.437303990366</v>
      </c>
      <c r="E54" s="1214">
        <f t="shared" si="27"/>
        <v>-65704.914198386366</v>
      </c>
      <c r="F54" s="1214">
        <f t="shared" si="27"/>
        <v>-75862.631842317656</v>
      </c>
      <c r="G54" s="1214">
        <f t="shared" si="27"/>
        <v>-79984.089567064773</v>
      </c>
      <c r="H54" s="1214">
        <f t="shared" si="27"/>
        <v>-83648.620640211389</v>
      </c>
      <c r="I54" s="1214">
        <f t="shared" si="27"/>
        <v>-113117.28890027967</v>
      </c>
      <c r="J54" s="1214">
        <f t="shared" si="27"/>
        <v>-126671.69563913072</v>
      </c>
      <c r="K54" s="1214">
        <f t="shared" si="27"/>
        <v>-125938.47200123021</v>
      </c>
      <c r="L54" s="1214">
        <f t="shared" si="27"/>
        <v>-124513.68088639698</v>
      </c>
      <c r="M54" s="1214">
        <f t="shared" si="27"/>
        <v>-135431.39006778452</v>
      </c>
      <c r="N54" s="1214">
        <f t="shared" si="27"/>
        <v>-146543.30683623694</v>
      </c>
      <c r="O54" s="1214">
        <f t="shared" si="27"/>
        <v>-136225.04814781933</v>
      </c>
      <c r="P54" s="1214">
        <f t="shared" si="27"/>
        <v>-136313.72856077651</v>
      </c>
      <c r="Q54" s="1214">
        <f t="shared" si="27"/>
        <v>-136398.86713035626</v>
      </c>
      <c r="R54" s="1214">
        <f t="shared" si="27"/>
        <v>-136426.32686186815</v>
      </c>
      <c r="S54" s="1214">
        <f t="shared" si="27"/>
        <v>-136418.04688248967</v>
      </c>
      <c r="T54" s="1214">
        <f t="shared" si="27"/>
        <v>-136374.07009899957</v>
      </c>
      <c r="U54" s="1214">
        <f t="shared" si="27"/>
        <v>-136284.82709570634</v>
      </c>
      <c r="V54" s="1214">
        <f t="shared" si="27"/>
        <v>-136118.78623312281</v>
      </c>
      <c r="W54" s="1214">
        <f t="shared" si="27"/>
        <v>-135973.11549999015</v>
      </c>
      <c r="X54" s="1214">
        <f t="shared" si="27"/>
        <v>-135727.90254542232</v>
      </c>
      <c r="Y54" s="1214">
        <f t="shared" si="27"/>
        <v>-135377.78398537665</v>
      </c>
      <c r="Z54" s="1214">
        <f t="shared" si="27"/>
        <v>-134924.45402802885</v>
      </c>
      <c r="AA54" s="1214">
        <f t="shared" si="27"/>
        <v>-134343.71998776702</v>
      </c>
      <c r="AB54" s="1214">
        <f t="shared" si="27"/>
        <v>-133646.98813448678</v>
      </c>
      <c r="AC54" s="1214">
        <f t="shared" si="27"/>
        <v>-132499.06962882678</v>
      </c>
      <c r="AD54" s="1214">
        <f t="shared" si="27"/>
        <v>-131046.51017968514</v>
      </c>
      <c r="AE54" s="1214">
        <f t="shared" si="27"/>
        <v>-128691.03406314144</v>
      </c>
      <c r="AF54" s="1214">
        <f t="shared" si="27"/>
        <v>-118023.75974717624</v>
      </c>
      <c r="AG54" s="1232">
        <f t="shared" si="23"/>
        <v>-3551763.5666940697</v>
      </c>
    </row>
    <row r="55" spans="2:34" s="206" customFormat="1" ht="21" customHeight="1" thickBot="1">
      <c r="B55" s="472" t="s">
        <v>237</v>
      </c>
      <c r="C55" s="1233">
        <f>C45+C47</f>
        <v>-218816.70694273867</v>
      </c>
      <c r="D55" s="1233">
        <f t="shared" ref="D55:AF55" si="28">D45+D47</f>
        <v>163695.54481190676</v>
      </c>
      <c r="E55" s="1233">
        <f t="shared" si="28"/>
        <v>235265.61776247947</v>
      </c>
      <c r="F55" s="1233">
        <f t="shared" si="28"/>
        <v>-770446.47007217782</v>
      </c>
      <c r="G55" s="1233">
        <f t="shared" si="28"/>
        <v>-4502770.0806266535</v>
      </c>
      <c r="H55" s="1233">
        <f t="shared" si="28"/>
        <v>214490.54613764456</v>
      </c>
      <c r="I55" s="1233">
        <f t="shared" si="28"/>
        <v>-524283.98473072122</v>
      </c>
      <c r="J55" s="1233">
        <f t="shared" si="28"/>
        <v>170961.54809309915</v>
      </c>
      <c r="K55" s="1233">
        <f t="shared" si="28"/>
        <v>-512669.43563920469</v>
      </c>
      <c r="L55" s="1233">
        <f t="shared" si="28"/>
        <v>492896.89298091782</v>
      </c>
      <c r="M55" s="1233">
        <f t="shared" si="28"/>
        <v>-1030778.4118894907</v>
      </c>
      <c r="N55" s="1233">
        <f t="shared" si="28"/>
        <v>-509137.56498571951</v>
      </c>
      <c r="O55" s="1233">
        <f t="shared" si="28"/>
        <v>1830541.4455655646</v>
      </c>
      <c r="P55" s="1233">
        <f t="shared" si="28"/>
        <v>1835214.518814631</v>
      </c>
      <c r="Q55" s="1233">
        <f t="shared" si="28"/>
        <v>1840113.0404343912</v>
      </c>
      <c r="R55" s="1233">
        <f t="shared" si="28"/>
        <v>1850161.5287156207</v>
      </c>
      <c r="S55" s="1233">
        <f t="shared" si="28"/>
        <v>1854607.8627062836</v>
      </c>
      <c r="T55" s="1233">
        <f t="shared" si="28"/>
        <v>1859139.1165826488</v>
      </c>
      <c r="U55" s="1233">
        <f t="shared" si="28"/>
        <v>1863742.8973711764</v>
      </c>
      <c r="V55" s="1233">
        <f t="shared" si="28"/>
        <v>1868261.5147200003</v>
      </c>
      <c r="W55" s="1233">
        <f t="shared" si="28"/>
        <v>1867808.1380522414</v>
      </c>
      <c r="X55" s="1233">
        <f t="shared" si="28"/>
        <v>1883008.660135648</v>
      </c>
      <c r="Y55" s="1233">
        <f t="shared" si="28"/>
        <v>1887870.9682476637</v>
      </c>
      <c r="Z55" s="1233">
        <f t="shared" si="28"/>
        <v>1893037.7990964658</v>
      </c>
      <c r="AA55" s="1233">
        <f t="shared" si="28"/>
        <v>1898685.5417599021</v>
      </c>
      <c r="AB55" s="1233">
        <f t="shared" si="28"/>
        <v>1896108.9255862744</v>
      </c>
      <c r="AC55" s="1233">
        <f t="shared" si="28"/>
        <v>1913430.2949828017</v>
      </c>
      <c r="AD55" s="1233">
        <f t="shared" si="28"/>
        <v>1922048.4436064751</v>
      </c>
      <c r="AE55" s="1233">
        <f t="shared" si="28"/>
        <v>1934090.3289612229</v>
      </c>
      <c r="AF55" s="1234">
        <f t="shared" si="28"/>
        <v>1980433.1581484179</v>
      </c>
      <c r="AG55" s="1235">
        <f t="shared" si="23"/>
        <v>27086711.67838677</v>
      </c>
      <c r="AH55" s="207"/>
    </row>
    <row r="56" spans="2:34" s="206" customFormat="1" ht="21" customHeight="1" thickBot="1">
      <c r="B56" s="472" t="s">
        <v>238</v>
      </c>
      <c r="C56" s="886">
        <f>IRR(C55:AF55)</f>
        <v>0.12031451146279948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714</v>
      </c>
      <c r="C58" s="886">
        <v>0.1203</v>
      </c>
    </row>
    <row r="59" spans="2:34" ht="15" thickBot="1"/>
    <row r="60" spans="2:34" ht="15.75" thickBot="1">
      <c r="B60" s="472" t="s">
        <v>659</v>
      </c>
      <c r="C60" s="886">
        <f>C56-C58</f>
        <v>1.4511462799474129E-5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29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7030A0"/>
  </sheetPr>
  <dimension ref="A1:AJ125"/>
  <sheetViews>
    <sheetView topLeftCell="A39" zoomScale="70" zoomScaleNormal="70" workbookViewId="0">
      <selection activeCell="P102" sqref="P102"/>
    </sheetView>
  </sheetViews>
  <sheetFormatPr defaultRowHeight="12.75"/>
  <cols>
    <col min="1" max="1" width="5.140625" style="172" customWidth="1"/>
    <col min="2" max="2" width="34" style="172" customWidth="1"/>
    <col min="3" max="3" width="10.5703125" style="201" customWidth="1"/>
    <col min="4" max="4" width="13" style="777" bestFit="1" customWidth="1"/>
    <col min="5" max="5" width="17.28515625" style="172" customWidth="1"/>
    <col min="6" max="6" width="20.5703125" style="172" customWidth="1"/>
    <col min="7" max="36" width="13.7109375" customWidth="1"/>
  </cols>
  <sheetData>
    <row r="1" spans="1:36" ht="15.75">
      <c r="A1" s="484" t="s">
        <v>139</v>
      </c>
      <c r="B1" s="484"/>
      <c r="C1" s="484"/>
      <c r="D1" s="484"/>
      <c r="E1" s="484"/>
      <c r="F1" s="484"/>
      <c r="G1" s="1037"/>
      <c r="H1" s="1037"/>
      <c r="I1" s="1037"/>
      <c r="J1" s="491"/>
      <c r="K1" s="491"/>
      <c r="L1" s="491"/>
      <c r="M1" s="491"/>
      <c r="N1" s="491"/>
      <c r="O1" s="491"/>
      <c r="P1" s="491"/>
    </row>
    <row r="2" spans="1:36">
      <c r="G2" s="1038" t="s">
        <v>140</v>
      </c>
      <c r="H2" s="1039"/>
      <c r="I2" s="1039"/>
      <c r="J2" s="1039"/>
      <c r="K2" s="1039"/>
      <c r="L2" s="1039"/>
      <c r="M2" s="1039"/>
      <c r="N2" s="1039"/>
      <c r="O2" s="1039"/>
      <c r="P2" s="1039"/>
      <c r="Q2" s="1015"/>
      <c r="R2" s="1015"/>
      <c r="S2" s="1015"/>
      <c r="T2" s="1015"/>
      <c r="U2" s="1015"/>
      <c r="V2" s="1015"/>
      <c r="W2" s="1015"/>
      <c r="X2" s="1015"/>
      <c r="Y2" s="1015"/>
      <c r="Z2" s="1015"/>
      <c r="AA2" s="1015"/>
      <c r="AB2" s="1015"/>
      <c r="AC2" s="1015"/>
      <c r="AD2" s="1015"/>
      <c r="AE2" s="1015"/>
      <c r="AF2" s="1015"/>
      <c r="AG2" s="1015"/>
      <c r="AH2" s="1015"/>
      <c r="AI2" s="1015"/>
      <c r="AJ2" s="1015"/>
    </row>
    <row r="3" spans="1:36">
      <c r="A3" s="1040"/>
      <c r="B3" s="1041"/>
      <c r="C3" s="1042" t="s">
        <v>141</v>
      </c>
      <c r="D3" s="1042" t="s">
        <v>142</v>
      </c>
      <c r="E3" s="1042" t="s">
        <v>143</v>
      </c>
      <c r="F3" s="1043" t="s">
        <v>144</v>
      </c>
      <c r="G3" s="1044" t="s">
        <v>530</v>
      </c>
      <c r="H3" s="1044" t="s">
        <v>531</v>
      </c>
      <c r="I3" s="1044" t="s">
        <v>532</v>
      </c>
      <c r="J3" s="1044" t="s">
        <v>533</v>
      </c>
      <c r="K3" s="1044" t="s">
        <v>534</v>
      </c>
      <c r="L3" s="1044" t="s">
        <v>535</v>
      </c>
      <c r="M3" s="1044" t="s">
        <v>536</v>
      </c>
      <c r="N3" s="1044" t="s">
        <v>537</v>
      </c>
      <c r="O3" s="1044" t="s">
        <v>538</v>
      </c>
      <c r="P3" s="1044" t="s">
        <v>539</v>
      </c>
      <c r="Q3" s="1044" t="s">
        <v>540</v>
      </c>
      <c r="R3" s="1044" t="s">
        <v>541</v>
      </c>
      <c r="S3" s="1044" t="s">
        <v>542</v>
      </c>
      <c r="T3" s="1044" t="s">
        <v>543</v>
      </c>
      <c r="U3" s="1044" t="s">
        <v>544</v>
      </c>
      <c r="V3" s="1044" t="s">
        <v>187</v>
      </c>
      <c r="W3" s="1044" t="s">
        <v>188</v>
      </c>
      <c r="X3" s="1044" t="s">
        <v>189</v>
      </c>
      <c r="Y3" s="1044" t="s">
        <v>190</v>
      </c>
      <c r="Z3" s="1044" t="s">
        <v>191</v>
      </c>
      <c r="AA3" s="1044" t="s">
        <v>192</v>
      </c>
      <c r="AB3" s="1044" t="s">
        <v>193</v>
      </c>
      <c r="AC3" s="1044" t="s">
        <v>194</v>
      </c>
      <c r="AD3" s="1044" t="s">
        <v>195</v>
      </c>
      <c r="AE3" s="1044" t="s">
        <v>196</v>
      </c>
      <c r="AF3" s="1044" t="s">
        <v>197</v>
      </c>
      <c r="AG3" s="1044" t="s">
        <v>198</v>
      </c>
      <c r="AH3" s="1044" t="s">
        <v>199</v>
      </c>
      <c r="AI3" s="1044" t="s">
        <v>200</v>
      </c>
      <c r="AJ3" s="1044" t="s">
        <v>201</v>
      </c>
    </row>
    <row r="4" spans="1:36" s="1049" customFormat="1">
      <c r="A4" s="1699">
        <v>1</v>
      </c>
      <c r="B4" s="1703" t="s">
        <v>145</v>
      </c>
      <c r="C4" s="1045"/>
      <c r="D4" s="1046" t="s">
        <v>590</v>
      </c>
      <c r="E4" s="1046"/>
      <c r="F4" s="1047">
        <v>2716172.4824640313</v>
      </c>
      <c r="G4" s="1048">
        <v>415657.32533219026</v>
      </c>
      <c r="H4" s="1048">
        <v>276066.08191973524</v>
      </c>
      <c r="I4" s="1048">
        <v>179425.64556351057</v>
      </c>
      <c r="J4" s="1048">
        <v>985469.68437296071</v>
      </c>
      <c r="K4" s="1048">
        <v>33061.865972076979</v>
      </c>
      <c r="L4" s="1048">
        <v>33061.865972076979</v>
      </c>
      <c r="M4" s="1048">
        <v>33061.865972076979</v>
      </c>
      <c r="N4" s="1048">
        <v>33061.865972076979</v>
      </c>
      <c r="O4" s="1048">
        <v>33061.865972076979</v>
      </c>
      <c r="P4" s="1048">
        <v>33061.865972076979</v>
      </c>
      <c r="Q4" s="1048">
        <v>33061.865972076979</v>
      </c>
      <c r="R4" s="1048">
        <v>33061.865972076979</v>
      </c>
      <c r="S4" s="1048">
        <v>33061.865972076979</v>
      </c>
      <c r="T4" s="1048">
        <v>33061.865972076979</v>
      </c>
      <c r="U4" s="1048">
        <v>33061.865972076979</v>
      </c>
      <c r="V4" s="1048">
        <v>33061.865972076979</v>
      </c>
      <c r="W4" s="1048">
        <v>33061.865972076979</v>
      </c>
      <c r="X4" s="1048">
        <v>33061.865972076979</v>
      </c>
      <c r="Y4" s="1048">
        <v>33061.865972076979</v>
      </c>
      <c r="Z4" s="1048">
        <v>33061.865972076979</v>
      </c>
      <c r="AA4" s="1048">
        <v>33061.865972076979</v>
      </c>
      <c r="AB4" s="1048">
        <v>33061.865972076979</v>
      </c>
      <c r="AC4" s="1048">
        <v>33061.865972076979</v>
      </c>
      <c r="AD4" s="1048">
        <v>33061.865972076979</v>
      </c>
      <c r="AE4" s="1048">
        <v>33061.865972076979</v>
      </c>
      <c r="AF4" s="1048">
        <v>33061.865972076979</v>
      </c>
      <c r="AG4" s="1048">
        <v>33061.865972076979</v>
      </c>
      <c r="AH4" s="1048">
        <v>33061.865972076979</v>
      </c>
      <c r="AI4" s="1048">
        <v>33061.865972076979</v>
      </c>
      <c r="AJ4" s="1048">
        <v>33061.865972076979</v>
      </c>
    </row>
    <row r="5" spans="1:36" s="1054" customFormat="1">
      <c r="A5" s="1700"/>
      <c r="B5" s="1704"/>
      <c r="C5" s="1050"/>
      <c r="D5" s="1051" t="s">
        <v>545</v>
      </c>
      <c r="E5" s="1051"/>
      <c r="F5" s="1052">
        <v>2227078.7523773117</v>
      </c>
      <c r="G5" s="1048">
        <v>415602.55533382273</v>
      </c>
      <c r="H5" s="1048">
        <v>276066.08191973524</v>
      </c>
      <c r="I5" s="1048">
        <v>179425.64556351057</v>
      </c>
      <c r="J5" s="1048">
        <v>496375.95428624109</v>
      </c>
      <c r="K5" s="1048">
        <v>33061.865972076979</v>
      </c>
      <c r="L5" s="1048">
        <v>33061.865972076979</v>
      </c>
      <c r="M5" s="1048">
        <v>33061.865972076979</v>
      </c>
      <c r="N5" s="1048">
        <v>33061.865972076979</v>
      </c>
      <c r="O5" s="1048">
        <v>33061.865972076979</v>
      </c>
      <c r="P5" s="1048">
        <v>33061.865972076979</v>
      </c>
      <c r="Q5" s="1048">
        <v>33061.865972076979</v>
      </c>
      <c r="R5" s="1048">
        <v>33061.865972076979</v>
      </c>
      <c r="S5" s="1048">
        <v>33061.865972076979</v>
      </c>
      <c r="T5" s="1048">
        <v>33061.865972076979</v>
      </c>
      <c r="U5" s="1048">
        <v>33061.865972076979</v>
      </c>
      <c r="V5" s="1048">
        <v>33061.865972076979</v>
      </c>
      <c r="W5" s="1048">
        <v>33061.865972076979</v>
      </c>
      <c r="X5" s="1048">
        <v>33061.865972076979</v>
      </c>
      <c r="Y5" s="1048">
        <v>33061.865972076979</v>
      </c>
      <c r="Z5" s="1048">
        <v>33061.865972076979</v>
      </c>
      <c r="AA5" s="1048">
        <v>33061.865972076979</v>
      </c>
      <c r="AB5" s="1048">
        <v>33061.865972076979</v>
      </c>
      <c r="AC5" s="1048">
        <v>33061.865972076979</v>
      </c>
      <c r="AD5" s="1048">
        <v>33061.865972076979</v>
      </c>
      <c r="AE5" s="1048">
        <v>33061.865972076979</v>
      </c>
      <c r="AF5" s="1048">
        <v>33061.865972076979</v>
      </c>
      <c r="AG5" s="1048">
        <v>33061.865972076979</v>
      </c>
      <c r="AH5" s="1048">
        <v>33061.865972076979</v>
      </c>
      <c r="AI5" s="1048">
        <v>33061.865972076979</v>
      </c>
      <c r="AJ5" s="1048">
        <v>33061.865972076979</v>
      </c>
    </row>
    <row r="6" spans="1:36" s="1049" customFormat="1">
      <c r="A6" s="1703" t="s">
        <v>146</v>
      </c>
      <c r="B6" s="1701" t="s">
        <v>147</v>
      </c>
      <c r="C6" s="1055"/>
      <c r="D6" s="1056"/>
      <c r="E6" s="1057"/>
      <c r="F6" s="1058">
        <v>601353.6686383913</v>
      </c>
      <c r="G6" s="1048">
        <v>298647.82683240459</v>
      </c>
      <c r="H6" s="1048">
        <v>65491.021928009926</v>
      </c>
      <c r="I6" s="1048">
        <v>113111.25412275761</v>
      </c>
      <c r="J6" s="1048">
        <v>124103.5657552193</v>
      </c>
      <c r="K6" s="1048">
        <v>0</v>
      </c>
      <c r="L6" s="1048">
        <v>0</v>
      </c>
      <c r="M6" s="1048">
        <v>0</v>
      </c>
      <c r="N6" s="1048">
        <v>0</v>
      </c>
      <c r="O6" s="1048">
        <v>0</v>
      </c>
      <c r="P6" s="1048">
        <v>0</v>
      </c>
      <c r="Q6" s="1048">
        <v>0</v>
      </c>
      <c r="R6" s="1048">
        <v>0</v>
      </c>
      <c r="S6" s="1048">
        <v>0</v>
      </c>
      <c r="T6" s="1048">
        <v>0</v>
      </c>
      <c r="U6" s="1048">
        <v>0</v>
      </c>
      <c r="V6" s="1048">
        <v>0</v>
      </c>
      <c r="W6" s="1048">
        <v>0</v>
      </c>
      <c r="X6" s="1048">
        <v>0</v>
      </c>
      <c r="Y6" s="1048">
        <v>0</v>
      </c>
      <c r="Z6" s="1048">
        <v>0</v>
      </c>
      <c r="AA6" s="1048">
        <v>0</v>
      </c>
      <c r="AB6" s="1048">
        <v>0</v>
      </c>
      <c r="AC6" s="1048">
        <v>0</v>
      </c>
      <c r="AD6" s="1048">
        <v>0</v>
      </c>
      <c r="AE6" s="1048">
        <v>0</v>
      </c>
      <c r="AF6" s="1048">
        <v>0</v>
      </c>
      <c r="AG6" s="1048">
        <v>0</v>
      </c>
      <c r="AH6" s="1048">
        <v>0</v>
      </c>
      <c r="AI6" s="1048">
        <v>0</v>
      </c>
      <c r="AJ6" s="1048">
        <v>0</v>
      </c>
    </row>
    <row r="7" spans="1:36" s="1054" customFormat="1">
      <c r="A7" s="1704"/>
      <c r="B7" s="1702"/>
      <c r="C7" s="1059"/>
      <c r="D7" s="1060"/>
      <c r="E7" s="1061"/>
      <c r="F7" s="1062">
        <v>549332.3489450902</v>
      </c>
      <c r="G7" s="1048">
        <v>298647.82683240459</v>
      </c>
      <c r="H7" s="1048">
        <v>65491.021928009926</v>
      </c>
      <c r="I7" s="1048">
        <v>113111.25412275761</v>
      </c>
      <c r="J7" s="1048">
        <v>72082.246061918137</v>
      </c>
      <c r="K7" s="1048">
        <v>0</v>
      </c>
      <c r="L7" s="1048">
        <v>0</v>
      </c>
      <c r="M7" s="1048">
        <v>0</v>
      </c>
      <c r="N7" s="1048">
        <v>0</v>
      </c>
      <c r="O7" s="1048">
        <v>0</v>
      </c>
      <c r="P7" s="1048">
        <v>0</v>
      </c>
      <c r="Q7" s="1048">
        <v>0</v>
      </c>
      <c r="R7" s="1048">
        <v>0</v>
      </c>
      <c r="S7" s="1048">
        <v>0</v>
      </c>
      <c r="T7" s="1048">
        <v>0</v>
      </c>
      <c r="U7" s="1048">
        <v>0</v>
      </c>
      <c r="V7" s="1048">
        <v>0</v>
      </c>
      <c r="W7" s="1048">
        <v>0</v>
      </c>
      <c r="X7" s="1048">
        <v>0</v>
      </c>
      <c r="Y7" s="1048">
        <v>0</v>
      </c>
      <c r="Z7" s="1048">
        <v>0</v>
      </c>
      <c r="AA7" s="1048">
        <v>0</v>
      </c>
      <c r="AB7" s="1048">
        <v>0</v>
      </c>
      <c r="AC7" s="1048">
        <v>0</v>
      </c>
      <c r="AD7" s="1048">
        <v>0</v>
      </c>
      <c r="AE7" s="1048">
        <v>0</v>
      </c>
      <c r="AF7" s="1048">
        <v>0</v>
      </c>
      <c r="AG7" s="1048">
        <v>0</v>
      </c>
      <c r="AH7" s="1048">
        <v>0</v>
      </c>
      <c r="AI7" s="1048">
        <v>0</v>
      </c>
      <c r="AJ7" s="1048">
        <v>0</v>
      </c>
    </row>
    <row r="8" spans="1:36" s="1049" customFormat="1" ht="15" customHeight="1">
      <c r="A8" s="1063"/>
      <c r="B8" s="1717" t="s">
        <v>248</v>
      </c>
      <c r="C8" s="1707">
        <v>1</v>
      </c>
      <c r="D8" s="1709" t="s">
        <v>249</v>
      </c>
      <c r="E8" s="1064">
        <v>61319.977355847921</v>
      </c>
      <c r="F8" s="1065">
        <v>61319.977355847921</v>
      </c>
      <c r="G8" s="1048">
        <v>22893.407629661378</v>
      </c>
      <c r="H8" s="1048">
        <v>0</v>
      </c>
      <c r="I8" s="1048">
        <v>0</v>
      </c>
      <c r="J8" s="1147">
        <v>38426.569726186543</v>
      </c>
      <c r="K8" s="1048">
        <v>0</v>
      </c>
      <c r="L8" s="1048">
        <v>0</v>
      </c>
      <c r="M8" s="1048">
        <v>0</v>
      </c>
      <c r="N8" s="1048">
        <v>0</v>
      </c>
      <c r="O8" s="1048">
        <v>0</v>
      </c>
      <c r="P8" s="1048">
        <v>0</v>
      </c>
      <c r="Q8" s="1048">
        <v>0</v>
      </c>
      <c r="R8" s="1048">
        <v>0</v>
      </c>
      <c r="S8" s="1048">
        <v>0</v>
      </c>
      <c r="T8" s="1048">
        <v>0</v>
      </c>
      <c r="U8" s="1048">
        <v>0</v>
      </c>
      <c r="V8" s="1048">
        <v>0</v>
      </c>
      <c r="W8" s="1048">
        <v>0</v>
      </c>
      <c r="X8" s="1048">
        <v>0</v>
      </c>
      <c r="Y8" s="1048">
        <v>0</v>
      </c>
      <c r="Z8" s="1048">
        <v>0</v>
      </c>
      <c r="AA8" s="1048">
        <v>0</v>
      </c>
      <c r="AB8" s="1048">
        <v>0</v>
      </c>
      <c r="AC8" s="1048">
        <v>0</v>
      </c>
      <c r="AD8" s="1048">
        <v>0</v>
      </c>
      <c r="AE8" s="1048">
        <v>0</v>
      </c>
      <c r="AF8" s="1048">
        <v>0</v>
      </c>
      <c r="AG8" s="1048">
        <v>0</v>
      </c>
      <c r="AH8" s="1048">
        <v>0</v>
      </c>
      <c r="AI8" s="1048">
        <v>0</v>
      </c>
      <c r="AJ8" s="1048">
        <v>0</v>
      </c>
    </row>
    <row r="9" spans="1:36" s="1054" customFormat="1" ht="15" customHeight="1">
      <c r="A9" s="1063"/>
      <c r="B9" s="1718"/>
      <c r="C9" s="1708"/>
      <c r="D9" s="1710"/>
      <c r="E9" s="1066"/>
      <c r="F9" s="1067">
        <v>22893.407629661378</v>
      </c>
      <c r="G9" s="1048">
        <v>22893.407629661378</v>
      </c>
      <c r="H9" s="1048">
        <v>0</v>
      </c>
      <c r="I9" s="1048">
        <v>0</v>
      </c>
      <c r="J9" s="1048">
        <v>0</v>
      </c>
      <c r="K9" s="1048">
        <v>0</v>
      </c>
      <c r="L9" s="1048">
        <v>0</v>
      </c>
      <c r="M9" s="1048">
        <v>0</v>
      </c>
      <c r="N9" s="1048">
        <v>0</v>
      </c>
      <c r="O9" s="1048">
        <v>0</v>
      </c>
      <c r="P9" s="1048">
        <v>0</v>
      </c>
      <c r="Q9" s="1048">
        <v>0</v>
      </c>
      <c r="R9" s="1048">
        <v>0</v>
      </c>
      <c r="S9" s="1048">
        <v>0</v>
      </c>
      <c r="T9" s="1048">
        <v>0</v>
      </c>
      <c r="U9" s="1048">
        <v>0</v>
      </c>
      <c r="V9" s="1048">
        <v>0</v>
      </c>
      <c r="W9" s="1048">
        <v>0</v>
      </c>
      <c r="X9" s="1048">
        <v>0</v>
      </c>
      <c r="Y9" s="1048">
        <v>0</v>
      </c>
      <c r="Z9" s="1048">
        <v>0</v>
      </c>
      <c r="AA9" s="1048">
        <v>0</v>
      </c>
      <c r="AB9" s="1048">
        <v>0</v>
      </c>
      <c r="AC9" s="1048">
        <v>0</v>
      </c>
      <c r="AD9" s="1048">
        <v>0</v>
      </c>
      <c r="AE9" s="1048">
        <v>0</v>
      </c>
      <c r="AF9" s="1048">
        <v>0</v>
      </c>
      <c r="AG9" s="1048">
        <v>0</v>
      </c>
      <c r="AH9" s="1048">
        <v>0</v>
      </c>
      <c r="AI9" s="1048">
        <v>0</v>
      </c>
      <c r="AJ9" s="1048">
        <v>0</v>
      </c>
    </row>
    <row r="10" spans="1:36" s="1049" customFormat="1" ht="19.5" customHeight="1">
      <c r="A10" s="1063"/>
      <c r="B10" s="1715" t="s">
        <v>546</v>
      </c>
      <c r="C10" s="1707">
        <v>1</v>
      </c>
      <c r="D10" s="1709" t="s">
        <v>249</v>
      </c>
      <c r="E10" s="1064">
        <v>71539.973581822574</v>
      </c>
      <c r="F10" s="1065">
        <v>217998.1680197581</v>
      </c>
      <c r="G10" s="1048">
        <v>114824.40634376337</v>
      </c>
      <c r="H10" s="1048">
        <v>28287.95200661978</v>
      </c>
      <c r="I10" s="1048">
        <v>74885.809669374954</v>
      </c>
      <c r="J10" s="1048">
        <v>0</v>
      </c>
      <c r="K10" s="1048">
        <v>0</v>
      </c>
      <c r="L10" s="1048">
        <v>0</v>
      </c>
      <c r="M10" s="1048">
        <v>0</v>
      </c>
      <c r="N10" s="1048">
        <v>0</v>
      </c>
      <c r="O10" s="1048">
        <v>0</v>
      </c>
      <c r="P10" s="1048">
        <v>0</v>
      </c>
      <c r="Q10" s="1048">
        <v>0</v>
      </c>
      <c r="R10" s="1048">
        <v>0</v>
      </c>
      <c r="S10" s="1048">
        <v>0</v>
      </c>
      <c r="T10" s="1048">
        <v>0</v>
      </c>
      <c r="U10" s="1048">
        <v>0</v>
      </c>
      <c r="V10" s="1048">
        <v>0</v>
      </c>
      <c r="W10" s="1048">
        <v>0</v>
      </c>
      <c r="X10" s="1048">
        <v>0</v>
      </c>
      <c r="Y10" s="1048">
        <v>0</v>
      </c>
      <c r="Z10" s="1048">
        <v>0</v>
      </c>
      <c r="AA10" s="1048">
        <v>0</v>
      </c>
      <c r="AB10" s="1048">
        <v>0</v>
      </c>
      <c r="AC10" s="1048">
        <v>0</v>
      </c>
      <c r="AD10" s="1048">
        <v>0</v>
      </c>
      <c r="AE10" s="1048">
        <v>0</v>
      </c>
      <c r="AF10" s="1048">
        <v>0</v>
      </c>
      <c r="AG10" s="1048">
        <v>0</v>
      </c>
      <c r="AH10" s="1048">
        <v>0</v>
      </c>
      <c r="AI10" s="1048">
        <v>0</v>
      </c>
      <c r="AJ10" s="1048">
        <v>0</v>
      </c>
    </row>
    <row r="11" spans="1:36" s="1054" customFormat="1" ht="18" customHeight="1">
      <c r="A11" s="1063"/>
      <c r="B11" s="1716"/>
      <c r="C11" s="1708"/>
      <c r="D11" s="1710"/>
      <c r="E11" s="1066"/>
      <c r="F11" s="1067">
        <v>217998.1680197581</v>
      </c>
      <c r="G11" s="1048">
        <v>114824.40634376337</v>
      </c>
      <c r="H11" s="1048">
        <v>28287.95200661978</v>
      </c>
      <c r="I11" s="1048">
        <v>74885.809669374954</v>
      </c>
      <c r="J11" s="1048">
        <v>0</v>
      </c>
      <c r="K11" s="1048">
        <v>0</v>
      </c>
      <c r="L11" s="1048">
        <v>0</v>
      </c>
      <c r="M11" s="1048">
        <v>0</v>
      </c>
      <c r="N11" s="1048">
        <v>0</v>
      </c>
      <c r="O11" s="1048">
        <v>0</v>
      </c>
      <c r="P11" s="1048">
        <v>0</v>
      </c>
      <c r="Q11" s="1048">
        <v>0</v>
      </c>
      <c r="R11" s="1048">
        <v>0</v>
      </c>
      <c r="S11" s="1048">
        <v>0</v>
      </c>
      <c r="T11" s="1048">
        <v>0</v>
      </c>
      <c r="U11" s="1048">
        <v>0</v>
      </c>
      <c r="V11" s="1048">
        <v>0</v>
      </c>
      <c r="W11" s="1048">
        <v>0</v>
      </c>
      <c r="X11" s="1048">
        <v>0</v>
      </c>
      <c r="Y11" s="1048">
        <v>0</v>
      </c>
      <c r="Z11" s="1048">
        <v>0</v>
      </c>
      <c r="AA11" s="1048">
        <v>0</v>
      </c>
      <c r="AB11" s="1048">
        <v>0</v>
      </c>
      <c r="AC11" s="1048">
        <v>0</v>
      </c>
      <c r="AD11" s="1048">
        <v>0</v>
      </c>
      <c r="AE11" s="1048">
        <v>0</v>
      </c>
      <c r="AF11" s="1048">
        <v>0</v>
      </c>
      <c r="AG11" s="1048">
        <v>0</v>
      </c>
      <c r="AH11" s="1048">
        <v>0</v>
      </c>
      <c r="AI11" s="1048">
        <v>0</v>
      </c>
      <c r="AJ11" s="1048">
        <v>0</v>
      </c>
    </row>
    <row r="12" spans="1:36" s="1049" customFormat="1" ht="15" customHeight="1">
      <c r="A12" s="1063"/>
      <c r="B12" s="1715" t="s">
        <v>250</v>
      </c>
      <c r="C12" s="1707">
        <v>1</v>
      </c>
      <c r="D12" s="1709" t="s">
        <v>249</v>
      </c>
      <c r="E12" s="1064">
        <v>204399.92451949307</v>
      </c>
      <c r="F12" s="1065">
        <v>178181.47332223738</v>
      </c>
      <c r="G12" s="1048">
        <v>148427.65537933988</v>
      </c>
      <c r="H12" s="1048">
        <v>12251.187422424493</v>
      </c>
      <c r="I12" s="1048">
        <v>17502.630520473009</v>
      </c>
      <c r="J12" s="1048">
        <v>0</v>
      </c>
      <c r="K12" s="1048">
        <v>0</v>
      </c>
      <c r="L12" s="1048">
        <v>0</v>
      </c>
      <c r="M12" s="1048">
        <v>0</v>
      </c>
      <c r="N12" s="1048">
        <v>0</v>
      </c>
      <c r="O12" s="1048">
        <v>0</v>
      </c>
      <c r="P12" s="1048">
        <v>0</v>
      </c>
      <c r="Q12" s="1048">
        <v>0</v>
      </c>
      <c r="R12" s="1048">
        <v>0</v>
      </c>
      <c r="S12" s="1048">
        <v>0</v>
      </c>
      <c r="T12" s="1048">
        <v>0</v>
      </c>
      <c r="U12" s="1048">
        <v>0</v>
      </c>
      <c r="V12" s="1048">
        <v>0</v>
      </c>
      <c r="W12" s="1048">
        <v>0</v>
      </c>
      <c r="X12" s="1048">
        <v>0</v>
      </c>
      <c r="Y12" s="1048">
        <v>0</v>
      </c>
      <c r="Z12" s="1048">
        <v>0</v>
      </c>
      <c r="AA12" s="1048">
        <v>0</v>
      </c>
      <c r="AB12" s="1048">
        <v>0</v>
      </c>
      <c r="AC12" s="1048">
        <v>0</v>
      </c>
      <c r="AD12" s="1048">
        <v>0</v>
      </c>
      <c r="AE12" s="1048">
        <v>0</v>
      </c>
      <c r="AF12" s="1048">
        <v>0</v>
      </c>
      <c r="AG12" s="1048">
        <v>0</v>
      </c>
      <c r="AH12" s="1048">
        <v>0</v>
      </c>
      <c r="AI12" s="1048">
        <v>0</v>
      </c>
      <c r="AJ12" s="1048">
        <v>0</v>
      </c>
    </row>
    <row r="13" spans="1:36" s="1054" customFormat="1" ht="15" customHeight="1">
      <c r="A13" s="1063"/>
      <c r="B13" s="1716"/>
      <c r="C13" s="1708"/>
      <c r="D13" s="1710"/>
      <c r="E13" s="1066"/>
      <c r="F13" s="1067">
        <v>178181.47332223738</v>
      </c>
      <c r="G13" s="1048">
        <v>148427.65537933988</v>
      </c>
      <c r="H13" s="1048">
        <v>12251.187422424493</v>
      </c>
      <c r="I13" s="1048">
        <v>17502.630520473009</v>
      </c>
      <c r="J13" s="1048">
        <v>0</v>
      </c>
      <c r="K13" s="1048">
        <v>0</v>
      </c>
      <c r="L13" s="1048">
        <v>0</v>
      </c>
      <c r="M13" s="1048">
        <v>0</v>
      </c>
      <c r="N13" s="1048">
        <v>0</v>
      </c>
      <c r="O13" s="1048">
        <v>0</v>
      </c>
      <c r="P13" s="1048">
        <v>0</v>
      </c>
      <c r="Q13" s="1048">
        <v>0</v>
      </c>
      <c r="R13" s="1048">
        <v>0</v>
      </c>
      <c r="S13" s="1048">
        <v>0</v>
      </c>
      <c r="T13" s="1048">
        <v>0</v>
      </c>
      <c r="U13" s="1048">
        <v>0</v>
      </c>
      <c r="V13" s="1048">
        <v>0</v>
      </c>
      <c r="W13" s="1048">
        <v>0</v>
      </c>
      <c r="X13" s="1048">
        <v>0</v>
      </c>
      <c r="Y13" s="1048">
        <v>0</v>
      </c>
      <c r="Z13" s="1048">
        <v>0</v>
      </c>
      <c r="AA13" s="1048">
        <v>0</v>
      </c>
      <c r="AB13" s="1048">
        <v>0</v>
      </c>
      <c r="AC13" s="1048">
        <v>0</v>
      </c>
      <c r="AD13" s="1048">
        <v>0</v>
      </c>
      <c r="AE13" s="1048">
        <v>0</v>
      </c>
      <c r="AF13" s="1048">
        <v>0</v>
      </c>
      <c r="AG13" s="1048">
        <v>0</v>
      </c>
      <c r="AH13" s="1048">
        <v>0</v>
      </c>
      <c r="AI13" s="1048">
        <v>0</v>
      </c>
      <c r="AJ13" s="1048">
        <v>0</v>
      </c>
    </row>
    <row r="14" spans="1:36" s="1049" customFormat="1" ht="15" customHeight="1">
      <c r="A14" s="1063"/>
      <c r="B14" s="1715" t="s">
        <v>547</v>
      </c>
      <c r="C14" s="1707">
        <v>1</v>
      </c>
      <c r="D14" s="1709" t="s">
        <v>249</v>
      </c>
      <c r="E14" s="1064">
        <v>76649.971694809894</v>
      </c>
      <c r="F14" s="1065">
        <v>76649.971694809894</v>
      </c>
      <c r="G14" s="1048">
        <v>1594.5135019288468</v>
      </c>
      <c r="H14" s="1048">
        <v>0</v>
      </c>
      <c r="I14" s="1048">
        <v>2973.2121309629151</v>
      </c>
      <c r="J14" s="1048">
        <v>72082.246061918137</v>
      </c>
      <c r="K14" s="1048">
        <v>0</v>
      </c>
      <c r="L14" s="1048">
        <v>0</v>
      </c>
      <c r="M14" s="1048">
        <v>0</v>
      </c>
      <c r="N14" s="1048">
        <v>0</v>
      </c>
      <c r="O14" s="1048">
        <v>0</v>
      </c>
      <c r="P14" s="1048">
        <v>0</v>
      </c>
      <c r="Q14" s="1048">
        <v>0</v>
      </c>
      <c r="R14" s="1048">
        <v>0</v>
      </c>
      <c r="S14" s="1048">
        <v>0</v>
      </c>
      <c r="T14" s="1048">
        <v>0</v>
      </c>
      <c r="U14" s="1048">
        <v>0</v>
      </c>
      <c r="V14" s="1048">
        <v>0</v>
      </c>
      <c r="W14" s="1048">
        <v>0</v>
      </c>
      <c r="X14" s="1048">
        <v>0</v>
      </c>
      <c r="Y14" s="1048">
        <v>0</v>
      </c>
      <c r="Z14" s="1048">
        <v>0</v>
      </c>
      <c r="AA14" s="1048">
        <v>0</v>
      </c>
      <c r="AB14" s="1048">
        <v>0</v>
      </c>
      <c r="AC14" s="1048">
        <v>0</v>
      </c>
      <c r="AD14" s="1048">
        <v>0</v>
      </c>
      <c r="AE14" s="1048">
        <v>0</v>
      </c>
      <c r="AF14" s="1048">
        <v>0</v>
      </c>
      <c r="AG14" s="1048">
        <v>0</v>
      </c>
      <c r="AH14" s="1048">
        <v>0</v>
      </c>
      <c r="AI14" s="1048">
        <v>0</v>
      </c>
      <c r="AJ14" s="1048">
        <v>0</v>
      </c>
    </row>
    <row r="15" spans="1:36" s="1054" customFormat="1" ht="15" customHeight="1">
      <c r="A15" s="1063"/>
      <c r="B15" s="1716"/>
      <c r="C15" s="1708"/>
      <c r="D15" s="1710"/>
      <c r="E15" s="1066"/>
      <c r="F15" s="1067">
        <v>76649.971694809894</v>
      </c>
      <c r="G15" s="1048">
        <v>1594.5135019288468</v>
      </c>
      <c r="H15" s="1048">
        <v>0</v>
      </c>
      <c r="I15" s="1048">
        <v>2973.2121309629151</v>
      </c>
      <c r="J15" s="1048">
        <v>72082.246061918137</v>
      </c>
      <c r="K15" s="1048">
        <v>0</v>
      </c>
      <c r="L15" s="1048">
        <v>0</v>
      </c>
      <c r="M15" s="1048">
        <v>0</v>
      </c>
      <c r="N15" s="1048">
        <v>0</v>
      </c>
      <c r="O15" s="1048">
        <v>0</v>
      </c>
      <c r="P15" s="1048">
        <v>0</v>
      </c>
      <c r="Q15" s="1048">
        <v>0</v>
      </c>
      <c r="R15" s="1048">
        <v>0</v>
      </c>
      <c r="S15" s="1048">
        <v>0</v>
      </c>
      <c r="T15" s="1048">
        <v>0</v>
      </c>
      <c r="U15" s="1048">
        <v>0</v>
      </c>
      <c r="V15" s="1048">
        <v>0</v>
      </c>
      <c r="W15" s="1048">
        <v>0</v>
      </c>
      <c r="X15" s="1048">
        <v>0</v>
      </c>
      <c r="Y15" s="1048">
        <v>0</v>
      </c>
      <c r="Z15" s="1048">
        <v>0</v>
      </c>
      <c r="AA15" s="1048">
        <v>0</v>
      </c>
      <c r="AB15" s="1048">
        <v>0</v>
      </c>
      <c r="AC15" s="1048">
        <v>0</v>
      </c>
      <c r="AD15" s="1048">
        <v>0</v>
      </c>
      <c r="AE15" s="1048">
        <v>0</v>
      </c>
      <c r="AF15" s="1048">
        <v>0</v>
      </c>
      <c r="AG15" s="1048">
        <v>0</v>
      </c>
      <c r="AH15" s="1048">
        <v>0</v>
      </c>
      <c r="AI15" s="1048">
        <v>0</v>
      </c>
      <c r="AJ15" s="1048">
        <v>0</v>
      </c>
    </row>
    <row r="16" spans="1:36" s="1049" customFormat="1" ht="15" customHeight="1">
      <c r="A16" s="1063"/>
      <c r="B16" s="1715" t="s">
        <v>548</v>
      </c>
      <c r="C16" s="1707">
        <v>2</v>
      </c>
      <c r="D16" s="1709" t="s">
        <v>142</v>
      </c>
      <c r="E16" s="1064">
        <v>7664.9971694809901</v>
      </c>
      <c r="F16" s="1065">
        <v>52896.083529373616</v>
      </c>
      <c r="G16" s="1048">
        <v>10194.599228461208</v>
      </c>
      <c r="H16" s="1048">
        <v>24951.88249896566</v>
      </c>
      <c r="I16" s="1048">
        <v>17749.601801946745</v>
      </c>
      <c r="J16" s="1048">
        <v>0</v>
      </c>
      <c r="K16" s="1048">
        <v>0</v>
      </c>
      <c r="L16" s="1048">
        <v>0</v>
      </c>
      <c r="M16" s="1048">
        <v>0</v>
      </c>
      <c r="N16" s="1048">
        <v>0</v>
      </c>
      <c r="O16" s="1048">
        <v>0</v>
      </c>
      <c r="P16" s="1048">
        <v>0</v>
      </c>
      <c r="Q16" s="1048">
        <v>0</v>
      </c>
      <c r="R16" s="1048">
        <v>0</v>
      </c>
      <c r="S16" s="1048">
        <v>0</v>
      </c>
      <c r="T16" s="1048">
        <v>0</v>
      </c>
      <c r="U16" s="1048">
        <v>0</v>
      </c>
      <c r="V16" s="1048">
        <v>0</v>
      </c>
      <c r="W16" s="1048">
        <v>0</v>
      </c>
      <c r="X16" s="1048">
        <v>0</v>
      </c>
      <c r="Y16" s="1048">
        <v>0</v>
      </c>
      <c r="Z16" s="1048">
        <v>0</v>
      </c>
      <c r="AA16" s="1048">
        <v>0</v>
      </c>
      <c r="AB16" s="1048">
        <v>0</v>
      </c>
      <c r="AC16" s="1048">
        <v>0</v>
      </c>
      <c r="AD16" s="1048">
        <v>0</v>
      </c>
      <c r="AE16" s="1048">
        <v>0</v>
      </c>
      <c r="AF16" s="1048">
        <v>0</v>
      </c>
      <c r="AG16" s="1048">
        <v>0</v>
      </c>
      <c r="AH16" s="1048">
        <v>0</v>
      </c>
      <c r="AI16" s="1048">
        <v>0</v>
      </c>
      <c r="AJ16" s="1048">
        <v>0</v>
      </c>
    </row>
    <row r="17" spans="1:36" s="1054" customFormat="1" ht="15" customHeight="1">
      <c r="A17" s="1063"/>
      <c r="B17" s="1716"/>
      <c r="C17" s="1708"/>
      <c r="D17" s="1710"/>
      <c r="E17" s="1066"/>
      <c r="F17" s="1067">
        <v>52896.083529373616</v>
      </c>
      <c r="G17" s="1048">
        <v>10194.599228461208</v>
      </c>
      <c r="H17" s="1048">
        <v>24951.88249896566</v>
      </c>
      <c r="I17" s="1048">
        <v>17749.601801946745</v>
      </c>
      <c r="J17" s="1048">
        <v>0</v>
      </c>
      <c r="K17" s="1048">
        <v>0</v>
      </c>
      <c r="L17" s="1048">
        <v>0</v>
      </c>
      <c r="M17" s="1048">
        <v>0</v>
      </c>
      <c r="N17" s="1048">
        <v>0</v>
      </c>
      <c r="O17" s="1048">
        <v>0</v>
      </c>
      <c r="P17" s="1048">
        <v>0</v>
      </c>
      <c r="Q17" s="1048">
        <v>0</v>
      </c>
      <c r="R17" s="1048">
        <v>0</v>
      </c>
      <c r="S17" s="1048">
        <v>0</v>
      </c>
      <c r="T17" s="1048">
        <v>0</v>
      </c>
      <c r="U17" s="1048">
        <v>0</v>
      </c>
      <c r="V17" s="1048">
        <v>0</v>
      </c>
      <c r="W17" s="1048">
        <v>0</v>
      </c>
      <c r="X17" s="1048">
        <v>0</v>
      </c>
      <c r="Y17" s="1048">
        <v>0</v>
      </c>
      <c r="Z17" s="1048">
        <v>0</v>
      </c>
      <c r="AA17" s="1048">
        <v>0</v>
      </c>
      <c r="AB17" s="1048">
        <v>0</v>
      </c>
      <c r="AC17" s="1048">
        <v>0</v>
      </c>
      <c r="AD17" s="1048">
        <v>0</v>
      </c>
      <c r="AE17" s="1048">
        <v>0</v>
      </c>
      <c r="AF17" s="1048">
        <v>0</v>
      </c>
      <c r="AG17" s="1048">
        <v>0</v>
      </c>
      <c r="AH17" s="1048">
        <v>0</v>
      </c>
      <c r="AI17" s="1048">
        <v>0</v>
      </c>
      <c r="AJ17" s="1048">
        <v>0</v>
      </c>
    </row>
    <row r="18" spans="1:36" s="1049" customFormat="1" ht="15" customHeight="1">
      <c r="A18" s="1063"/>
      <c r="B18" s="1715" t="s">
        <v>549</v>
      </c>
      <c r="C18" s="1707">
        <v>2</v>
      </c>
      <c r="D18" s="1709" t="s">
        <v>142</v>
      </c>
      <c r="E18" s="1064">
        <v>4087.9984903898617</v>
      </c>
      <c r="F18" s="1065">
        <v>8175.9969807797233</v>
      </c>
      <c r="G18" s="1048">
        <v>713.24474924989283</v>
      </c>
      <c r="H18" s="1048">
        <v>0</v>
      </c>
      <c r="I18" s="1048">
        <v>0</v>
      </c>
      <c r="J18" s="1147">
        <v>7462.7522315298302</v>
      </c>
      <c r="K18" s="1048">
        <v>0</v>
      </c>
      <c r="L18" s="1048">
        <v>0</v>
      </c>
      <c r="M18" s="1048">
        <v>0</v>
      </c>
      <c r="N18" s="1048">
        <v>0</v>
      </c>
      <c r="O18" s="1048">
        <v>0</v>
      </c>
      <c r="P18" s="1048">
        <v>0</v>
      </c>
      <c r="Q18" s="1048">
        <v>0</v>
      </c>
      <c r="R18" s="1048">
        <v>0</v>
      </c>
      <c r="S18" s="1048">
        <v>0</v>
      </c>
      <c r="T18" s="1048">
        <v>0</v>
      </c>
      <c r="U18" s="1048">
        <v>0</v>
      </c>
      <c r="V18" s="1048">
        <v>0</v>
      </c>
      <c r="W18" s="1048">
        <v>0</v>
      </c>
      <c r="X18" s="1048">
        <v>0</v>
      </c>
      <c r="Y18" s="1048">
        <v>0</v>
      </c>
      <c r="Z18" s="1048">
        <v>0</v>
      </c>
      <c r="AA18" s="1048">
        <v>0</v>
      </c>
      <c r="AB18" s="1048">
        <v>0</v>
      </c>
      <c r="AC18" s="1048">
        <v>0</v>
      </c>
      <c r="AD18" s="1048">
        <v>0</v>
      </c>
      <c r="AE18" s="1048">
        <v>0</v>
      </c>
      <c r="AF18" s="1048">
        <v>0</v>
      </c>
      <c r="AG18" s="1048">
        <v>0</v>
      </c>
      <c r="AH18" s="1048">
        <v>0</v>
      </c>
      <c r="AI18" s="1048">
        <v>0</v>
      </c>
      <c r="AJ18" s="1048">
        <v>0</v>
      </c>
    </row>
    <row r="19" spans="1:36" s="1054" customFormat="1" ht="15" customHeight="1">
      <c r="A19" s="1063"/>
      <c r="B19" s="1716"/>
      <c r="C19" s="1708"/>
      <c r="D19" s="1710"/>
      <c r="E19" s="1066"/>
      <c r="F19" s="1067">
        <v>713.24474924989283</v>
      </c>
      <c r="G19" s="1048">
        <v>713.24474924989283</v>
      </c>
      <c r="H19" s="1048">
        <v>0</v>
      </c>
      <c r="I19" s="1048">
        <v>0</v>
      </c>
      <c r="J19" s="1048">
        <v>0</v>
      </c>
      <c r="K19" s="1048">
        <v>0</v>
      </c>
      <c r="L19" s="1048">
        <v>0</v>
      </c>
      <c r="M19" s="1048">
        <v>0</v>
      </c>
      <c r="N19" s="1048">
        <v>0</v>
      </c>
      <c r="O19" s="1048">
        <v>0</v>
      </c>
      <c r="P19" s="1048">
        <v>0</v>
      </c>
      <c r="Q19" s="1048">
        <v>0</v>
      </c>
      <c r="R19" s="1048">
        <v>0</v>
      </c>
      <c r="S19" s="1048">
        <v>0</v>
      </c>
      <c r="T19" s="1048">
        <v>0</v>
      </c>
      <c r="U19" s="1048">
        <v>0</v>
      </c>
      <c r="V19" s="1048">
        <v>0</v>
      </c>
      <c r="W19" s="1048">
        <v>0</v>
      </c>
      <c r="X19" s="1048">
        <v>0</v>
      </c>
      <c r="Y19" s="1048">
        <v>0</v>
      </c>
      <c r="Z19" s="1048">
        <v>0</v>
      </c>
      <c r="AA19" s="1048">
        <v>0</v>
      </c>
      <c r="AB19" s="1048">
        <v>0</v>
      </c>
      <c r="AC19" s="1048">
        <v>0</v>
      </c>
      <c r="AD19" s="1048">
        <v>0</v>
      </c>
      <c r="AE19" s="1048">
        <v>0</v>
      </c>
      <c r="AF19" s="1048">
        <v>0</v>
      </c>
      <c r="AG19" s="1048">
        <v>0</v>
      </c>
      <c r="AH19" s="1048">
        <v>0</v>
      </c>
      <c r="AI19" s="1048">
        <v>0</v>
      </c>
      <c r="AJ19" s="1048">
        <v>0</v>
      </c>
    </row>
    <row r="20" spans="1:36" s="1049" customFormat="1" ht="15" customHeight="1">
      <c r="A20" s="1063"/>
      <c r="B20" s="1715" t="s">
        <v>550</v>
      </c>
      <c r="C20" s="1707">
        <v>3</v>
      </c>
      <c r="D20" s="1709" t="s">
        <v>142</v>
      </c>
      <c r="E20" s="1064">
        <v>2043.9992451949308</v>
      </c>
      <c r="F20" s="1065">
        <v>6131.9977355847923</v>
      </c>
      <c r="G20" s="1048">
        <v>0</v>
      </c>
      <c r="H20" s="1048">
        <v>0</v>
      </c>
      <c r="I20" s="1048">
        <v>0</v>
      </c>
      <c r="J20" s="1147">
        <v>6131.9977355847923</v>
      </c>
      <c r="K20" s="1048">
        <v>0</v>
      </c>
      <c r="L20" s="1048">
        <v>0</v>
      </c>
      <c r="M20" s="1048">
        <v>0</v>
      </c>
      <c r="N20" s="1048">
        <v>0</v>
      </c>
      <c r="O20" s="1048">
        <v>0</v>
      </c>
      <c r="P20" s="1048">
        <v>0</v>
      </c>
      <c r="Q20" s="1048">
        <v>0</v>
      </c>
      <c r="R20" s="1048">
        <v>0</v>
      </c>
      <c r="S20" s="1048">
        <v>0</v>
      </c>
      <c r="T20" s="1048">
        <v>0</v>
      </c>
      <c r="U20" s="1048">
        <v>0</v>
      </c>
      <c r="V20" s="1048">
        <v>0</v>
      </c>
      <c r="W20" s="1048">
        <v>0</v>
      </c>
      <c r="X20" s="1048">
        <v>0</v>
      </c>
      <c r="Y20" s="1048">
        <v>0</v>
      </c>
      <c r="Z20" s="1048">
        <v>0</v>
      </c>
      <c r="AA20" s="1048">
        <v>0</v>
      </c>
      <c r="AB20" s="1048">
        <v>0</v>
      </c>
      <c r="AC20" s="1048">
        <v>0</v>
      </c>
      <c r="AD20" s="1048">
        <v>0</v>
      </c>
      <c r="AE20" s="1048">
        <v>0</v>
      </c>
      <c r="AF20" s="1048">
        <v>0</v>
      </c>
      <c r="AG20" s="1048">
        <v>0</v>
      </c>
      <c r="AH20" s="1048">
        <v>0</v>
      </c>
      <c r="AI20" s="1048">
        <v>0</v>
      </c>
      <c r="AJ20" s="1048">
        <v>0</v>
      </c>
    </row>
    <row r="21" spans="1:36" s="1054" customFormat="1" ht="15" customHeight="1">
      <c r="A21" s="1063"/>
      <c r="B21" s="1716"/>
      <c r="C21" s="1708"/>
      <c r="D21" s="1710"/>
      <c r="E21" s="1066"/>
      <c r="F21" s="1067">
        <v>0</v>
      </c>
      <c r="G21" s="1048">
        <v>0</v>
      </c>
      <c r="H21" s="1048">
        <v>0</v>
      </c>
      <c r="I21" s="1048">
        <v>0</v>
      </c>
      <c r="J21" s="1048">
        <v>0</v>
      </c>
      <c r="K21" s="1048">
        <v>0</v>
      </c>
      <c r="L21" s="1048">
        <v>0</v>
      </c>
      <c r="M21" s="1048">
        <v>0</v>
      </c>
      <c r="N21" s="1048">
        <v>0</v>
      </c>
      <c r="O21" s="1048">
        <v>0</v>
      </c>
      <c r="P21" s="1048">
        <v>0</v>
      </c>
      <c r="Q21" s="1048">
        <v>0</v>
      </c>
      <c r="R21" s="1048">
        <v>0</v>
      </c>
      <c r="S21" s="1048">
        <v>0</v>
      </c>
      <c r="T21" s="1048">
        <v>0</v>
      </c>
      <c r="U21" s="1048">
        <v>0</v>
      </c>
      <c r="V21" s="1048">
        <v>0</v>
      </c>
      <c r="W21" s="1048">
        <v>0</v>
      </c>
      <c r="X21" s="1048">
        <v>0</v>
      </c>
      <c r="Y21" s="1048">
        <v>0</v>
      </c>
      <c r="Z21" s="1048">
        <v>0</v>
      </c>
      <c r="AA21" s="1048">
        <v>0</v>
      </c>
      <c r="AB21" s="1048">
        <v>0</v>
      </c>
      <c r="AC21" s="1048">
        <v>0</v>
      </c>
      <c r="AD21" s="1048">
        <v>0</v>
      </c>
      <c r="AE21" s="1048">
        <v>0</v>
      </c>
      <c r="AF21" s="1048">
        <v>0</v>
      </c>
      <c r="AG21" s="1048">
        <v>0</v>
      </c>
      <c r="AH21" s="1048">
        <v>0</v>
      </c>
      <c r="AI21" s="1048">
        <v>0</v>
      </c>
      <c r="AJ21" s="1048">
        <v>0</v>
      </c>
    </row>
    <row r="22" spans="1:36" hidden="1">
      <c r="D22" s="275"/>
      <c r="E22" s="511"/>
      <c r="F22" s="511"/>
      <c r="G22" s="1048"/>
      <c r="H22" s="1048"/>
      <c r="I22" s="1048"/>
      <c r="J22" s="1048"/>
      <c r="K22" s="1048"/>
      <c r="L22" s="1048"/>
      <c r="M22" s="1048"/>
      <c r="N22" s="1048"/>
      <c r="O22" s="1048"/>
      <c r="P22" s="1048"/>
      <c r="Q22" s="1048"/>
      <c r="R22" s="1048"/>
      <c r="S22" s="1048"/>
      <c r="T22" s="1048"/>
      <c r="U22" s="1048"/>
      <c r="V22" s="1048"/>
      <c r="W22" s="1048"/>
      <c r="X22" s="1048"/>
      <c r="Y22" s="1048"/>
      <c r="Z22" s="1048"/>
      <c r="AA22" s="1048"/>
      <c r="AB22" s="1048"/>
      <c r="AC22" s="1048"/>
      <c r="AD22" s="1048"/>
      <c r="AE22" s="1048"/>
      <c r="AF22" s="1048"/>
      <c r="AG22" s="1048"/>
      <c r="AH22" s="1048"/>
      <c r="AI22" s="1048"/>
      <c r="AJ22" s="1048"/>
    </row>
    <row r="23" spans="1:36" s="1049" customFormat="1" hidden="1">
      <c r="A23" s="1703" t="s">
        <v>148</v>
      </c>
      <c r="B23" s="1701" t="s">
        <v>149</v>
      </c>
      <c r="C23" s="1055"/>
      <c r="D23" s="1068"/>
      <c r="E23" s="1069"/>
      <c r="F23" s="1069">
        <v>0</v>
      </c>
      <c r="G23" s="1048">
        <v>0</v>
      </c>
      <c r="H23" s="1048">
        <v>0</v>
      </c>
      <c r="I23" s="1048">
        <v>0</v>
      </c>
      <c r="J23" s="1048">
        <v>0</v>
      </c>
      <c r="K23" s="1048">
        <v>0</v>
      </c>
      <c r="L23" s="1048">
        <v>0</v>
      </c>
      <c r="M23" s="1048">
        <v>0</v>
      </c>
      <c r="N23" s="1048">
        <v>0</v>
      </c>
      <c r="O23" s="1048">
        <v>0</v>
      </c>
      <c r="P23" s="1048">
        <v>0</v>
      </c>
      <c r="Q23" s="1048">
        <v>0</v>
      </c>
      <c r="R23" s="1048">
        <v>0</v>
      </c>
      <c r="S23" s="1048">
        <v>0</v>
      </c>
      <c r="T23" s="1048">
        <v>0</v>
      </c>
      <c r="U23" s="1048">
        <v>0</v>
      </c>
      <c r="V23" s="1048">
        <v>0</v>
      </c>
      <c r="W23" s="1048">
        <v>0</v>
      </c>
      <c r="X23" s="1048">
        <v>0</v>
      </c>
      <c r="Y23" s="1048">
        <v>0</v>
      </c>
      <c r="Z23" s="1048">
        <v>0</v>
      </c>
      <c r="AA23" s="1048">
        <v>0</v>
      </c>
      <c r="AB23" s="1048">
        <v>0</v>
      </c>
      <c r="AC23" s="1048">
        <v>0</v>
      </c>
      <c r="AD23" s="1048">
        <v>0</v>
      </c>
      <c r="AE23" s="1048">
        <v>0</v>
      </c>
      <c r="AF23" s="1048">
        <v>0</v>
      </c>
      <c r="AG23" s="1048">
        <v>0</v>
      </c>
      <c r="AH23" s="1048">
        <v>0</v>
      </c>
      <c r="AI23" s="1048">
        <v>0</v>
      </c>
      <c r="AJ23" s="1048">
        <v>0</v>
      </c>
    </row>
    <row r="24" spans="1:36" s="1054" customFormat="1" hidden="1">
      <c r="A24" s="1704"/>
      <c r="B24" s="1702"/>
      <c r="C24" s="1059"/>
      <c r="D24" s="1070"/>
      <c r="E24" s="1071"/>
      <c r="F24" s="1052">
        <v>0</v>
      </c>
      <c r="G24" s="1048">
        <v>0</v>
      </c>
      <c r="H24" s="1048">
        <v>0</v>
      </c>
      <c r="I24" s="1048">
        <v>0</v>
      </c>
      <c r="J24" s="1048">
        <v>0</v>
      </c>
      <c r="K24" s="1048">
        <v>0</v>
      </c>
      <c r="L24" s="1048">
        <v>0</v>
      </c>
      <c r="M24" s="1048">
        <v>0</v>
      </c>
      <c r="N24" s="1048">
        <v>0</v>
      </c>
      <c r="O24" s="1048">
        <v>0</v>
      </c>
      <c r="P24" s="1048">
        <v>0</v>
      </c>
      <c r="Q24" s="1048">
        <v>0</v>
      </c>
      <c r="R24" s="1048">
        <v>0</v>
      </c>
      <c r="S24" s="1048">
        <v>0</v>
      </c>
      <c r="T24" s="1048">
        <v>0</v>
      </c>
      <c r="U24" s="1048">
        <v>0</v>
      </c>
      <c r="V24" s="1048">
        <v>0</v>
      </c>
      <c r="W24" s="1048">
        <v>0</v>
      </c>
      <c r="X24" s="1048">
        <v>0</v>
      </c>
      <c r="Y24" s="1048">
        <v>0</v>
      </c>
      <c r="Z24" s="1048">
        <v>0</v>
      </c>
      <c r="AA24" s="1048">
        <v>0</v>
      </c>
      <c r="AB24" s="1048">
        <v>0</v>
      </c>
      <c r="AC24" s="1048">
        <v>0</v>
      </c>
      <c r="AD24" s="1048">
        <v>0</v>
      </c>
      <c r="AE24" s="1048">
        <v>0</v>
      </c>
      <c r="AF24" s="1048">
        <v>0</v>
      </c>
      <c r="AG24" s="1048">
        <v>0</v>
      </c>
      <c r="AH24" s="1048">
        <v>0</v>
      </c>
      <c r="AI24" s="1048">
        <v>0</v>
      </c>
      <c r="AJ24" s="1048">
        <v>0</v>
      </c>
    </row>
    <row r="25" spans="1:36" s="1049" customFormat="1" hidden="1">
      <c r="A25" s="1063"/>
      <c r="B25" s="1046"/>
      <c r="C25" s="1072"/>
      <c r="D25" s="1073"/>
      <c r="E25" s="1064"/>
      <c r="F25" s="1064"/>
      <c r="G25" s="1048">
        <v>0</v>
      </c>
      <c r="H25" s="1048">
        <v>0</v>
      </c>
      <c r="I25" s="1048">
        <v>0</v>
      </c>
      <c r="J25" s="1048">
        <v>0</v>
      </c>
      <c r="K25" s="1048">
        <v>0</v>
      </c>
      <c r="L25" s="1048">
        <v>0</v>
      </c>
      <c r="M25" s="1048">
        <v>0</v>
      </c>
      <c r="N25" s="1048">
        <v>0</v>
      </c>
      <c r="O25" s="1048">
        <v>0</v>
      </c>
      <c r="P25" s="1048">
        <v>0</v>
      </c>
      <c r="Q25" s="1048">
        <v>0</v>
      </c>
      <c r="R25" s="1048">
        <v>0</v>
      </c>
      <c r="S25" s="1048">
        <v>0</v>
      </c>
      <c r="T25" s="1048">
        <v>0</v>
      </c>
      <c r="U25" s="1048">
        <v>0</v>
      </c>
      <c r="V25" s="1048">
        <v>0</v>
      </c>
      <c r="W25" s="1048">
        <v>0</v>
      </c>
      <c r="X25" s="1048">
        <v>0</v>
      </c>
      <c r="Y25" s="1048">
        <v>0</v>
      </c>
      <c r="Z25" s="1048">
        <v>0</v>
      </c>
      <c r="AA25" s="1048">
        <v>0</v>
      </c>
      <c r="AB25" s="1048">
        <v>0</v>
      </c>
      <c r="AC25" s="1048">
        <v>0</v>
      </c>
      <c r="AD25" s="1048">
        <v>0</v>
      </c>
      <c r="AE25" s="1048">
        <v>0</v>
      </c>
      <c r="AF25" s="1048">
        <v>0</v>
      </c>
      <c r="AG25" s="1048">
        <v>0</v>
      </c>
      <c r="AH25" s="1048">
        <v>0</v>
      </c>
      <c r="AI25" s="1048">
        <v>0</v>
      </c>
      <c r="AJ25" s="1048">
        <v>0</v>
      </c>
    </row>
    <row r="26" spans="1:36" s="1054" customFormat="1" hidden="1">
      <c r="A26" s="1063"/>
      <c r="B26" s="1051"/>
      <c r="C26" s="1074"/>
      <c r="D26" s="1075"/>
      <c r="E26" s="1066"/>
      <c r="F26" s="1066"/>
      <c r="G26" s="1048"/>
      <c r="H26" s="1048"/>
      <c r="I26" s="1048"/>
      <c r="J26" s="1048"/>
      <c r="K26" s="1048"/>
      <c r="L26" s="1048"/>
      <c r="M26" s="1048"/>
      <c r="N26" s="1048"/>
      <c r="O26" s="1048"/>
      <c r="P26" s="1048"/>
      <c r="Q26" s="1048"/>
      <c r="R26" s="1048"/>
      <c r="S26" s="1048"/>
      <c r="T26" s="1048"/>
      <c r="U26" s="1048"/>
      <c r="V26" s="1048"/>
      <c r="W26" s="1048"/>
      <c r="X26" s="1048"/>
      <c r="Y26" s="1048"/>
      <c r="Z26" s="1048"/>
      <c r="AA26" s="1048"/>
      <c r="AB26" s="1048"/>
      <c r="AC26" s="1048"/>
      <c r="AD26" s="1048"/>
      <c r="AE26" s="1048"/>
      <c r="AF26" s="1048"/>
      <c r="AG26" s="1048"/>
      <c r="AH26" s="1048"/>
      <c r="AI26" s="1048"/>
      <c r="AJ26" s="1048"/>
    </row>
    <row r="27" spans="1:36" hidden="1">
      <c r="D27" s="275"/>
      <c r="E27" s="511"/>
      <c r="F27" s="511"/>
      <c r="G27" s="1048"/>
      <c r="H27" s="1048"/>
      <c r="I27" s="1048"/>
      <c r="J27" s="1048"/>
      <c r="K27" s="1048"/>
      <c r="L27" s="1048"/>
      <c r="M27" s="1048"/>
      <c r="N27" s="1048"/>
      <c r="O27" s="1048"/>
      <c r="P27" s="1048"/>
      <c r="Q27" s="1048"/>
      <c r="R27" s="1048"/>
      <c r="S27" s="1048"/>
      <c r="T27" s="1048"/>
      <c r="U27" s="1048"/>
      <c r="V27" s="1048"/>
      <c r="W27" s="1048"/>
      <c r="X27" s="1048"/>
      <c r="Y27" s="1048"/>
      <c r="Z27" s="1048"/>
      <c r="AA27" s="1048"/>
      <c r="AB27" s="1048"/>
      <c r="AC27" s="1048"/>
      <c r="AD27" s="1048"/>
      <c r="AE27" s="1048"/>
      <c r="AF27" s="1048"/>
      <c r="AG27" s="1048"/>
      <c r="AH27" s="1048"/>
      <c r="AI27" s="1048"/>
      <c r="AJ27" s="1048"/>
    </row>
    <row r="28" spans="1:36" s="1049" customFormat="1">
      <c r="A28" s="1703" t="s">
        <v>150</v>
      </c>
      <c r="B28" s="1701" t="s">
        <v>151</v>
      </c>
      <c r="C28" s="1055"/>
      <c r="D28" s="1068"/>
      <c r="E28" s="1069"/>
      <c r="F28" s="1069">
        <v>1023595.1090792598</v>
      </c>
      <c r="G28" s="1048">
        <v>0</v>
      </c>
      <c r="H28" s="1048">
        <v>195290.85643359539</v>
      </c>
      <c r="I28" s="1048">
        <v>0</v>
      </c>
      <c r="J28" s="1048">
        <v>828304.25264566438</v>
      </c>
      <c r="K28" s="1048">
        <v>0</v>
      </c>
      <c r="L28" s="1048">
        <v>0</v>
      </c>
      <c r="M28" s="1048">
        <v>0</v>
      </c>
      <c r="N28" s="1048">
        <v>0</v>
      </c>
      <c r="O28" s="1048">
        <v>0</v>
      </c>
      <c r="P28" s="1048">
        <v>0</v>
      </c>
      <c r="Q28" s="1048">
        <v>0</v>
      </c>
      <c r="R28" s="1048">
        <v>0</v>
      </c>
      <c r="S28" s="1048">
        <v>0</v>
      </c>
      <c r="T28" s="1048">
        <v>0</v>
      </c>
      <c r="U28" s="1048">
        <v>0</v>
      </c>
      <c r="V28" s="1048">
        <v>0</v>
      </c>
      <c r="W28" s="1048">
        <v>0</v>
      </c>
      <c r="X28" s="1048">
        <v>0</v>
      </c>
      <c r="Y28" s="1048">
        <v>0</v>
      </c>
      <c r="Z28" s="1048">
        <v>0</v>
      </c>
      <c r="AA28" s="1048">
        <v>0</v>
      </c>
      <c r="AB28" s="1048">
        <v>0</v>
      </c>
      <c r="AC28" s="1048">
        <v>0</v>
      </c>
      <c r="AD28" s="1048">
        <v>0</v>
      </c>
      <c r="AE28" s="1048">
        <v>0</v>
      </c>
      <c r="AF28" s="1048">
        <v>0</v>
      </c>
      <c r="AG28" s="1048">
        <v>0</v>
      </c>
      <c r="AH28" s="1048">
        <v>0</v>
      </c>
      <c r="AI28" s="1048">
        <v>0</v>
      </c>
      <c r="AJ28" s="1048">
        <v>0</v>
      </c>
    </row>
    <row r="29" spans="1:36" s="1054" customFormat="1">
      <c r="A29" s="1704"/>
      <c r="B29" s="1702"/>
      <c r="C29" s="1059"/>
      <c r="D29" s="1070"/>
      <c r="E29" s="1071"/>
      <c r="F29" s="1076">
        <v>586522.6986858414</v>
      </c>
      <c r="G29" s="1048">
        <v>0</v>
      </c>
      <c r="H29" s="1048">
        <v>195290.85643359539</v>
      </c>
      <c r="I29" s="1048">
        <v>0</v>
      </c>
      <c r="J29" s="1048">
        <v>391231.84225224599</v>
      </c>
      <c r="K29" s="1048">
        <v>0</v>
      </c>
      <c r="L29" s="1048">
        <v>0</v>
      </c>
      <c r="M29" s="1048">
        <v>0</v>
      </c>
      <c r="N29" s="1048">
        <v>0</v>
      </c>
      <c r="O29" s="1048">
        <v>0</v>
      </c>
      <c r="P29" s="1048">
        <v>0</v>
      </c>
      <c r="Q29" s="1048">
        <v>0</v>
      </c>
      <c r="R29" s="1048">
        <v>0</v>
      </c>
      <c r="S29" s="1048">
        <v>0</v>
      </c>
      <c r="T29" s="1048">
        <v>0</v>
      </c>
      <c r="U29" s="1048">
        <v>0</v>
      </c>
      <c r="V29" s="1048">
        <v>0</v>
      </c>
      <c r="W29" s="1048">
        <v>0</v>
      </c>
      <c r="X29" s="1048">
        <v>0</v>
      </c>
      <c r="Y29" s="1048">
        <v>0</v>
      </c>
      <c r="Z29" s="1048">
        <v>0</v>
      </c>
      <c r="AA29" s="1048">
        <v>0</v>
      </c>
      <c r="AB29" s="1048">
        <v>0</v>
      </c>
      <c r="AC29" s="1048">
        <v>0</v>
      </c>
      <c r="AD29" s="1048">
        <v>0</v>
      </c>
      <c r="AE29" s="1048">
        <v>0</v>
      </c>
      <c r="AF29" s="1048">
        <v>0</v>
      </c>
      <c r="AG29" s="1048">
        <v>0</v>
      </c>
      <c r="AH29" s="1048">
        <v>0</v>
      </c>
      <c r="AI29" s="1048">
        <v>0</v>
      </c>
      <c r="AJ29" s="1048">
        <v>0</v>
      </c>
    </row>
    <row r="30" spans="1:36" s="1049" customFormat="1" ht="13.5" customHeight="1">
      <c r="A30" s="1063"/>
      <c r="B30" s="1705" t="s">
        <v>551</v>
      </c>
      <c r="C30" s="1707">
        <v>7</v>
      </c>
      <c r="D30" s="1709" t="s">
        <v>142</v>
      </c>
      <c r="E30" s="1064">
        <v>4087.9984903898612</v>
      </c>
      <c r="F30" s="1065">
        <v>28615.989432729028</v>
      </c>
      <c r="G30" s="1048">
        <v>0</v>
      </c>
      <c r="H30" s="1048">
        <v>0</v>
      </c>
      <c r="I30" s="1048">
        <v>0</v>
      </c>
      <c r="J30" s="1048">
        <v>28615.989432729028</v>
      </c>
      <c r="K30" s="1048">
        <v>0</v>
      </c>
      <c r="L30" s="1048">
        <v>0</v>
      </c>
      <c r="M30" s="1048">
        <v>0</v>
      </c>
      <c r="N30" s="1048">
        <v>0</v>
      </c>
      <c r="O30" s="1048">
        <v>0</v>
      </c>
      <c r="P30" s="1048">
        <v>0</v>
      </c>
      <c r="Q30" s="1048">
        <v>0</v>
      </c>
      <c r="R30" s="1048">
        <v>0</v>
      </c>
      <c r="S30" s="1048">
        <v>0</v>
      </c>
      <c r="T30" s="1048">
        <v>0</v>
      </c>
      <c r="U30" s="1048">
        <v>0</v>
      </c>
      <c r="V30" s="1048">
        <v>0</v>
      </c>
      <c r="W30" s="1048">
        <v>0</v>
      </c>
      <c r="X30" s="1048">
        <v>0</v>
      </c>
      <c r="Y30" s="1048">
        <v>0</v>
      </c>
      <c r="Z30" s="1048">
        <v>0</v>
      </c>
      <c r="AA30" s="1048">
        <v>0</v>
      </c>
      <c r="AB30" s="1048">
        <v>0</v>
      </c>
      <c r="AC30" s="1048">
        <v>0</v>
      </c>
      <c r="AD30" s="1048">
        <v>0</v>
      </c>
      <c r="AE30" s="1048">
        <v>0</v>
      </c>
      <c r="AF30" s="1048">
        <v>0</v>
      </c>
      <c r="AG30" s="1048">
        <v>0</v>
      </c>
      <c r="AH30" s="1048">
        <v>0</v>
      </c>
      <c r="AI30" s="1048">
        <v>0</v>
      </c>
      <c r="AJ30" s="1048">
        <v>0</v>
      </c>
    </row>
    <row r="31" spans="1:36" s="1054" customFormat="1" ht="13.5" customHeight="1">
      <c r="A31" s="1063"/>
      <c r="B31" s="1706"/>
      <c r="C31" s="1708"/>
      <c r="D31" s="1710"/>
      <c r="E31" s="1066"/>
      <c r="F31" s="1067">
        <v>28615.989432729028</v>
      </c>
      <c r="G31" s="1048">
        <v>0</v>
      </c>
      <c r="H31" s="1048">
        <v>0</v>
      </c>
      <c r="I31" s="1048">
        <v>0</v>
      </c>
      <c r="J31" s="1048">
        <v>28615.989432729028</v>
      </c>
      <c r="K31" s="1048">
        <v>0</v>
      </c>
      <c r="L31" s="1048">
        <v>0</v>
      </c>
      <c r="M31" s="1048">
        <v>0</v>
      </c>
      <c r="N31" s="1048">
        <v>0</v>
      </c>
      <c r="O31" s="1048">
        <v>0</v>
      </c>
      <c r="P31" s="1048">
        <v>0</v>
      </c>
      <c r="Q31" s="1048">
        <v>0</v>
      </c>
      <c r="R31" s="1048">
        <v>0</v>
      </c>
      <c r="S31" s="1048">
        <v>0</v>
      </c>
      <c r="T31" s="1048">
        <v>0</v>
      </c>
      <c r="U31" s="1048">
        <v>0</v>
      </c>
      <c r="V31" s="1048">
        <v>0</v>
      </c>
      <c r="W31" s="1048">
        <v>0</v>
      </c>
      <c r="X31" s="1048">
        <v>0</v>
      </c>
      <c r="Y31" s="1048">
        <v>0</v>
      </c>
      <c r="Z31" s="1048">
        <v>0</v>
      </c>
      <c r="AA31" s="1048">
        <v>0</v>
      </c>
      <c r="AB31" s="1048">
        <v>0</v>
      </c>
      <c r="AC31" s="1048">
        <v>0</v>
      </c>
      <c r="AD31" s="1048">
        <v>0</v>
      </c>
      <c r="AE31" s="1048">
        <v>0</v>
      </c>
      <c r="AF31" s="1048">
        <v>0</v>
      </c>
      <c r="AG31" s="1048">
        <v>0</v>
      </c>
      <c r="AH31" s="1048">
        <v>0</v>
      </c>
      <c r="AI31" s="1048">
        <v>0</v>
      </c>
      <c r="AJ31" s="1048">
        <v>0</v>
      </c>
    </row>
    <row r="32" spans="1:36" s="1049" customFormat="1" ht="13.5" customHeight="1">
      <c r="A32" s="1063"/>
      <c r="B32" s="1705" t="s">
        <v>552</v>
      </c>
      <c r="C32" s="1707">
        <v>1</v>
      </c>
      <c r="D32" s="1709" t="s">
        <v>249</v>
      </c>
      <c r="E32" s="1064">
        <v>153299.94338961979</v>
      </c>
      <c r="F32" s="1065">
        <v>994979.11964653071</v>
      </c>
      <c r="G32" s="1048">
        <v>0</v>
      </c>
      <c r="H32" s="1048">
        <v>195290.85643359539</v>
      </c>
      <c r="I32" s="1048">
        <v>0</v>
      </c>
      <c r="J32" s="1048">
        <v>799688.2632129353</v>
      </c>
      <c r="K32" s="1048">
        <v>0</v>
      </c>
      <c r="L32" s="1048">
        <v>0</v>
      </c>
      <c r="M32" s="1048">
        <v>0</v>
      </c>
      <c r="N32" s="1048">
        <v>0</v>
      </c>
      <c r="O32" s="1048">
        <v>0</v>
      </c>
      <c r="P32" s="1048">
        <v>0</v>
      </c>
      <c r="Q32" s="1048">
        <v>0</v>
      </c>
      <c r="R32" s="1048">
        <v>0</v>
      </c>
      <c r="S32" s="1048">
        <v>0</v>
      </c>
      <c r="T32" s="1048">
        <v>0</v>
      </c>
      <c r="U32" s="1048">
        <v>0</v>
      </c>
      <c r="V32" s="1048">
        <v>0</v>
      </c>
      <c r="W32" s="1048">
        <v>0</v>
      </c>
      <c r="X32" s="1048">
        <v>0</v>
      </c>
      <c r="Y32" s="1048">
        <v>0</v>
      </c>
      <c r="Z32" s="1048">
        <v>0</v>
      </c>
      <c r="AA32" s="1048">
        <v>0</v>
      </c>
      <c r="AB32" s="1048">
        <v>0</v>
      </c>
      <c r="AC32" s="1048">
        <v>0</v>
      </c>
      <c r="AD32" s="1048">
        <v>0</v>
      </c>
      <c r="AE32" s="1048">
        <v>0</v>
      </c>
      <c r="AF32" s="1048">
        <v>0</v>
      </c>
      <c r="AG32" s="1048">
        <v>0</v>
      </c>
      <c r="AH32" s="1048">
        <v>0</v>
      </c>
      <c r="AI32" s="1048">
        <v>0</v>
      </c>
      <c r="AJ32" s="1048">
        <v>0</v>
      </c>
    </row>
    <row r="33" spans="1:36" s="1054" customFormat="1" ht="13.5" customHeight="1">
      <c r="A33" s="1051"/>
      <c r="B33" s="1706"/>
      <c r="C33" s="1708"/>
      <c r="D33" s="1710"/>
      <c r="E33" s="1066"/>
      <c r="F33" s="1067">
        <v>557906.70925311232</v>
      </c>
      <c r="G33" s="1048">
        <v>0</v>
      </c>
      <c r="H33" s="1048">
        <v>195290.85643359539</v>
      </c>
      <c r="I33" s="1048">
        <v>0</v>
      </c>
      <c r="J33" s="1147">
        <v>362615.85281951696</v>
      </c>
      <c r="K33" s="1048">
        <v>0</v>
      </c>
      <c r="L33" s="1048">
        <v>0</v>
      </c>
      <c r="M33" s="1048">
        <v>0</v>
      </c>
      <c r="N33" s="1048">
        <v>0</v>
      </c>
      <c r="O33" s="1048">
        <v>0</v>
      </c>
      <c r="P33" s="1048">
        <v>0</v>
      </c>
      <c r="Q33" s="1048">
        <v>0</v>
      </c>
      <c r="R33" s="1048">
        <v>0</v>
      </c>
      <c r="S33" s="1048">
        <v>0</v>
      </c>
      <c r="T33" s="1048">
        <v>0</v>
      </c>
      <c r="U33" s="1048">
        <v>0</v>
      </c>
      <c r="V33" s="1048">
        <v>0</v>
      </c>
      <c r="W33" s="1048">
        <v>0</v>
      </c>
      <c r="X33" s="1048">
        <v>0</v>
      </c>
      <c r="Y33" s="1048">
        <v>0</v>
      </c>
      <c r="Z33" s="1048">
        <v>0</v>
      </c>
      <c r="AA33" s="1048">
        <v>0</v>
      </c>
      <c r="AB33" s="1048">
        <v>0</v>
      </c>
      <c r="AC33" s="1048">
        <v>0</v>
      </c>
      <c r="AD33" s="1048">
        <v>0</v>
      </c>
      <c r="AE33" s="1048">
        <v>0</v>
      </c>
      <c r="AF33" s="1048">
        <v>0</v>
      </c>
      <c r="AG33" s="1048">
        <v>0</v>
      </c>
      <c r="AH33" s="1048">
        <v>0</v>
      </c>
      <c r="AI33" s="1048">
        <v>0</v>
      </c>
      <c r="AJ33" s="1048">
        <v>0</v>
      </c>
    </row>
    <row r="34" spans="1:36">
      <c r="D34" s="275"/>
      <c r="E34" s="511"/>
      <c r="F34" s="511"/>
      <c r="G34" s="1048"/>
      <c r="H34" s="1048"/>
      <c r="I34" s="1048"/>
      <c r="J34" s="1048"/>
      <c r="K34" s="1048"/>
      <c r="L34" s="1048"/>
      <c r="M34" s="1048"/>
      <c r="N34" s="1048"/>
      <c r="O34" s="1048"/>
      <c r="P34" s="1048"/>
      <c r="Q34" s="1048"/>
      <c r="R34" s="1048"/>
      <c r="S34" s="1048"/>
      <c r="T34" s="1048"/>
      <c r="U34" s="1048"/>
      <c r="V34" s="1048"/>
      <c r="W34" s="1048"/>
      <c r="X34" s="1048"/>
      <c r="Y34" s="1048"/>
      <c r="Z34" s="1048"/>
      <c r="AA34" s="1048"/>
      <c r="AB34" s="1048"/>
      <c r="AC34" s="1048"/>
      <c r="AD34" s="1048"/>
      <c r="AE34" s="1048"/>
      <c r="AF34" s="1048"/>
      <c r="AG34" s="1048"/>
      <c r="AH34" s="1048"/>
      <c r="AI34" s="1048"/>
      <c r="AJ34" s="1048"/>
    </row>
    <row r="35" spans="1:36" s="1049" customFormat="1">
      <c r="A35" s="1703" t="s">
        <v>152</v>
      </c>
      <c r="B35" s="1701" t="s">
        <v>153</v>
      </c>
      <c r="C35" s="1055"/>
      <c r="D35" s="1068"/>
      <c r="E35" s="1069"/>
      <c r="F35" s="1069">
        <v>1091223.70474638</v>
      </c>
      <c r="G35" s="1048">
        <v>117009.49849978567</v>
      </c>
      <c r="H35" s="1048">
        <v>15284.203558129915</v>
      </c>
      <c r="I35" s="1048">
        <v>66314.391440752952</v>
      </c>
      <c r="J35" s="1048">
        <v>33061.865972076979</v>
      </c>
      <c r="K35" s="1048">
        <v>33061.865972076979</v>
      </c>
      <c r="L35" s="1048">
        <v>33061.865972076979</v>
      </c>
      <c r="M35" s="1048">
        <v>33061.865972076979</v>
      </c>
      <c r="N35" s="1048">
        <v>33061.865972076979</v>
      </c>
      <c r="O35" s="1048">
        <v>33061.865972076979</v>
      </c>
      <c r="P35" s="1048">
        <v>33061.865972076979</v>
      </c>
      <c r="Q35" s="1048">
        <v>33061.865972076979</v>
      </c>
      <c r="R35" s="1048">
        <v>33061.865972076979</v>
      </c>
      <c r="S35" s="1048">
        <v>33061.865972076979</v>
      </c>
      <c r="T35" s="1048">
        <v>33061.865972076979</v>
      </c>
      <c r="U35" s="1048">
        <v>33061.865972076979</v>
      </c>
      <c r="V35" s="1048">
        <v>33061.865972076979</v>
      </c>
      <c r="W35" s="1048">
        <v>33061.865972076979</v>
      </c>
      <c r="X35" s="1048">
        <v>33061.865972076979</v>
      </c>
      <c r="Y35" s="1048">
        <v>33061.865972076979</v>
      </c>
      <c r="Z35" s="1048">
        <v>33061.865972076979</v>
      </c>
      <c r="AA35" s="1048">
        <v>33061.865972076979</v>
      </c>
      <c r="AB35" s="1048">
        <v>33061.865972076979</v>
      </c>
      <c r="AC35" s="1048">
        <v>33061.865972076979</v>
      </c>
      <c r="AD35" s="1048">
        <v>33061.865972076979</v>
      </c>
      <c r="AE35" s="1048">
        <v>33061.865972076979</v>
      </c>
      <c r="AF35" s="1048">
        <v>33061.865972076979</v>
      </c>
      <c r="AG35" s="1048">
        <v>33061.865972076979</v>
      </c>
      <c r="AH35" s="1048">
        <v>33061.865972076979</v>
      </c>
      <c r="AI35" s="1048">
        <v>33061.865972076979</v>
      </c>
      <c r="AJ35" s="1048">
        <v>33061.865972076979</v>
      </c>
    </row>
    <row r="36" spans="1:36" s="1054" customFormat="1">
      <c r="A36" s="1704"/>
      <c r="B36" s="1702"/>
      <c r="C36" s="1059"/>
      <c r="D36" s="1070"/>
      <c r="E36" s="1071"/>
      <c r="F36" s="1052">
        <v>1091223.70474638</v>
      </c>
      <c r="G36" s="1048">
        <v>116954.72850141811</v>
      </c>
      <c r="H36" s="1048">
        <v>15284.203558129915</v>
      </c>
      <c r="I36" s="1048">
        <v>66314.391440752952</v>
      </c>
      <c r="J36" s="1048">
        <v>33061.865972076979</v>
      </c>
      <c r="K36" s="1048">
        <v>33061.865972076979</v>
      </c>
      <c r="L36" s="1048">
        <v>33061.865972076979</v>
      </c>
      <c r="M36" s="1048">
        <v>33061.865972076979</v>
      </c>
      <c r="N36" s="1048">
        <v>33061.865972076979</v>
      </c>
      <c r="O36" s="1048">
        <v>33061.865972076979</v>
      </c>
      <c r="P36" s="1048">
        <v>33061.865972076979</v>
      </c>
      <c r="Q36" s="1048">
        <v>33061.865972076979</v>
      </c>
      <c r="R36" s="1048">
        <v>33061.865972076979</v>
      </c>
      <c r="S36" s="1048">
        <v>33061.865972076979</v>
      </c>
      <c r="T36" s="1048">
        <v>33061.865972076979</v>
      </c>
      <c r="U36" s="1048">
        <v>33061.865972076979</v>
      </c>
      <c r="V36" s="1048">
        <v>33061.865972076979</v>
      </c>
      <c r="W36" s="1048">
        <v>33061.865972076979</v>
      </c>
      <c r="X36" s="1048">
        <v>33061.865972076979</v>
      </c>
      <c r="Y36" s="1048">
        <v>33061.865972076979</v>
      </c>
      <c r="Z36" s="1048">
        <v>33061.865972076979</v>
      </c>
      <c r="AA36" s="1048">
        <v>33061.865972076979</v>
      </c>
      <c r="AB36" s="1048">
        <v>33061.865972076979</v>
      </c>
      <c r="AC36" s="1048">
        <v>33061.865972076979</v>
      </c>
      <c r="AD36" s="1048">
        <v>33061.865972076979</v>
      </c>
      <c r="AE36" s="1048">
        <v>33061.865972076979</v>
      </c>
      <c r="AF36" s="1048">
        <v>33061.865972076979</v>
      </c>
      <c r="AG36" s="1048">
        <v>33061.865972076979</v>
      </c>
      <c r="AH36" s="1048">
        <v>33061.865972076979</v>
      </c>
      <c r="AI36" s="1048">
        <v>33061.865972076979</v>
      </c>
      <c r="AJ36" s="1048">
        <v>33061.865972076979</v>
      </c>
    </row>
    <row r="37" spans="1:36" s="1049" customFormat="1" ht="14.25" customHeight="1">
      <c r="A37" s="1063"/>
      <c r="B37" s="1705" t="s">
        <v>251</v>
      </c>
      <c r="C37" s="1707">
        <v>1</v>
      </c>
      <c r="D37" s="1709" t="s">
        <v>249</v>
      </c>
      <c r="E37" s="1064">
        <v>124683.95395689078</v>
      </c>
      <c r="F37" s="1065">
        <v>131411.84610779874</v>
      </c>
      <c r="G37" s="1048">
        <v>91059.039862837541</v>
      </c>
      <c r="H37" s="1048">
        <v>15284.203558129915</v>
      </c>
      <c r="I37" s="1048">
        <v>25068.602686831306</v>
      </c>
      <c r="J37" s="1048">
        <v>0</v>
      </c>
      <c r="K37" s="1048">
        <v>0</v>
      </c>
      <c r="L37" s="1048">
        <v>0</v>
      </c>
      <c r="M37" s="1048">
        <v>0</v>
      </c>
      <c r="N37" s="1048">
        <v>0</v>
      </c>
      <c r="O37" s="1048">
        <v>0</v>
      </c>
      <c r="P37" s="1048">
        <v>0</v>
      </c>
      <c r="Q37" s="1048">
        <v>0</v>
      </c>
      <c r="R37" s="1048">
        <v>0</v>
      </c>
      <c r="S37" s="1048">
        <v>0</v>
      </c>
      <c r="T37" s="1048">
        <v>0</v>
      </c>
      <c r="U37" s="1048">
        <v>0</v>
      </c>
      <c r="V37" s="1048">
        <v>0</v>
      </c>
      <c r="W37" s="1048">
        <v>0</v>
      </c>
      <c r="X37" s="1048">
        <v>0</v>
      </c>
      <c r="Y37" s="1048">
        <v>0</v>
      </c>
      <c r="Z37" s="1048">
        <v>0</v>
      </c>
      <c r="AA37" s="1048">
        <v>0</v>
      </c>
      <c r="AB37" s="1048">
        <v>0</v>
      </c>
      <c r="AC37" s="1048">
        <v>0</v>
      </c>
      <c r="AD37" s="1048">
        <v>0</v>
      </c>
      <c r="AE37" s="1048">
        <v>0</v>
      </c>
      <c r="AF37" s="1048">
        <v>0</v>
      </c>
      <c r="AG37" s="1048">
        <v>0</v>
      </c>
      <c r="AH37" s="1048">
        <v>0</v>
      </c>
      <c r="AI37" s="1048">
        <v>0</v>
      </c>
      <c r="AJ37" s="1048">
        <v>0</v>
      </c>
    </row>
    <row r="38" spans="1:36" s="1054" customFormat="1" ht="14.25" customHeight="1">
      <c r="A38" s="1063"/>
      <c r="B38" s="1706"/>
      <c r="C38" s="1708"/>
      <c r="D38" s="1710"/>
      <c r="E38" s="1066"/>
      <c r="F38" s="1067">
        <v>131411.84610779874</v>
      </c>
      <c r="G38" s="1048">
        <v>91059.039862837541</v>
      </c>
      <c r="H38" s="1048">
        <v>15284.203558129915</v>
      </c>
      <c r="I38" s="1048">
        <v>25068.602686831306</v>
      </c>
      <c r="J38" s="1048">
        <v>0</v>
      </c>
      <c r="K38" s="1048">
        <v>0</v>
      </c>
      <c r="L38" s="1048">
        <v>0</v>
      </c>
      <c r="M38" s="1048">
        <v>0</v>
      </c>
      <c r="N38" s="1048">
        <v>0</v>
      </c>
      <c r="O38" s="1048">
        <v>0</v>
      </c>
      <c r="P38" s="1048">
        <v>0</v>
      </c>
      <c r="Q38" s="1048">
        <v>0</v>
      </c>
      <c r="R38" s="1048">
        <v>0</v>
      </c>
      <c r="S38" s="1048">
        <v>0</v>
      </c>
      <c r="T38" s="1048">
        <v>0</v>
      </c>
      <c r="U38" s="1048">
        <v>0</v>
      </c>
      <c r="V38" s="1048">
        <v>0</v>
      </c>
      <c r="W38" s="1048">
        <v>0</v>
      </c>
      <c r="X38" s="1048">
        <v>0</v>
      </c>
      <c r="Y38" s="1048">
        <v>0</v>
      </c>
      <c r="Z38" s="1048">
        <v>0</v>
      </c>
      <c r="AA38" s="1048">
        <v>0</v>
      </c>
      <c r="AB38" s="1048">
        <v>0</v>
      </c>
      <c r="AC38" s="1048">
        <v>0</v>
      </c>
      <c r="AD38" s="1048">
        <v>0</v>
      </c>
      <c r="AE38" s="1048">
        <v>0</v>
      </c>
      <c r="AF38" s="1048">
        <v>0</v>
      </c>
      <c r="AG38" s="1048">
        <v>0</v>
      </c>
      <c r="AH38" s="1048">
        <v>0</v>
      </c>
      <c r="AI38" s="1048">
        <v>0</v>
      </c>
      <c r="AJ38" s="1048">
        <v>0</v>
      </c>
    </row>
    <row r="39" spans="1:36" s="1049" customFormat="1" ht="14.25" customHeight="1">
      <c r="A39" s="1063"/>
      <c r="B39" s="1705" t="s">
        <v>252</v>
      </c>
      <c r="C39" s="1707">
        <v>231</v>
      </c>
      <c r="D39" s="1709" t="s">
        <v>142</v>
      </c>
      <c r="E39" s="1064">
        <v>112.10254821896351</v>
      </c>
      <c r="F39" s="1065">
        <v>25895.68863858057</v>
      </c>
      <c r="G39" s="1048">
        <v>25895.68863858057</v>
      </c>
      <c r="H39" s="1048">
        <v>0</v>
      </c>
      <c r="I39" s="1048">
        <v>0</v>
      </c>
      <c r="J39" s="1048">
        <v>0</v>
      </c>
      <c r="K39" s="1048">
        <v>0</v>
      </c>
      <c r="L39" s="1048">
        <v>0</v>
      </c>
      <c r="M39" s="1048">
        <v>0</v>
      </c>
      <c r="N39" s="1048">
        <v>0</v>
      </c>
      <c r="O39" s="1048">
        <v>0</v>
      </c>
      <c r="P39" s="1048">
        <v>0</v>
      </c>
      <c r="Q39" s="1048">
        <v>0</v>
      </c>
      <c r="R39" s="1048">
        <v>0</v>
      </c>
      <c r="S39" s="1048">
        <v>0</v>
      </c>
      <c r="T39" s="1048">
        <v>0</v>
      </c>
      <c r="U39" s="1048">
        <v>0</v>
      </c>
      <c r="V39" s="1048">
        <v>0</v>
      </c>
      <c r="W39" s="1048">
        <v>0</v>
      </c>
      <c r="X39" s="1048">
        <v>0</v>
      </c>
      <c r="Y39" s="1048">
        <v>0</v>
      </c>
      <c r="Z39" s="1048">
        <v>0</v>
      </c>
      <c r="AA39" s="1048">
        <v>0</v>
      </c>
      <c r="AB39" s="1048">
        <v>0</v>
      </c>
      <c r="AC39" s="1048">
        <v>0</v>
      </c>
      <c r="AD39" s="1048">
        <v>0</v>
      </c>
      <c r="AE39" s="1048">
        <v>0</v>
      </c>
      <c r="AF39" s="1048">
        <v>0</v>
      </c>
      <c r="AG39" s="1048">
        <v>0</v>
      </c>
      <c r="AH39" s="1048">
        <v>0</v>
      </c>
      <c r="AI39" s="1048">
        <v>0</v>
      </c>
      <c r="AJ39" s="1048">
        <v>0</v>
      </c>
    </row>
    <row r="40" spans="1:36" s="1054" customFormat="1" ht="14.25" customHeight="1">
      <c r="A40" s="1063"/>
      <c r="B40" s="1706"/>
      <c r="C40" s="1708"/>
      <c r="D40" s="1710"/>
      <c r="E40" s="1066"/>
      <c r="F40" s="1067">
        <v>25895.68863858057</v>
      </c>
      <c r="G40" s="1048">
        <v>25895.68863858057</v>
      </c>
      <c r="H40" s="1048">
        <v>0</v>
      </c>
      <c r="I40" s="1048">
        <v>0</v>
      </c>
      <c r="J40" s="1048">
        <v>0</v>
      </c>
      <c r="K40" s="1048">
        <v>0</v>
      </c>
      <c r="L40" s="1048">
        <v>0</v>
      </c>
      <c r="M40" s="1048">
        <v>0</v>
      </c>
      <c r="N40" s="1048">
        <v>0</v>
      </c>
      <c r="O40" s="1048">
        <v>0</v>
      </c>
      <c r="P40" s="1048">
        <v>0</v>
      </c>
      <c r="Q40" s="1048">
        <v>0</v>
      </c>
      <c r="R40" s="1048">
        <v>0</v>
      </c>
      <c r="S40" s="1048">
        <v>0</v>
      </c>
      <c r="T40" s="1048">
        <v>0</v>
      </c>
      <c r="U40" s="1048">
        <v>0</v>
      </c>
      <c r="V40" s="1048">
        <v>0</v>
      </c>
      <c r="W40" s="1048">
        <v>0</v>
      </c>
      <c r="X40" s="1048">
        <v>0</v>
      </c>
      <c r="Y40" s="1048">
        <v>0</v>
      </c>
      <c r="Z40" s="1048">
        <v>0</v>
      </c>
      <c r="AA40" s="1048">
        <v>0</v>
      </c>
      <c r="AB40" s="1048">
        <v>0</v>
      </c>
      <c r="AC40" s="1048">
        <v>0</v>
      </c>
      <c r="AD40" s="1048">
        <v>0</v>
      </c>
      <c r="AE40" s="1048">
        <v>0</v>
      </c>
      <c r="AF40" s="1048">
        <v>0</v>
      </c>
      <c r="AG40" s="1048">
        <v>0</v>
      </c>
      <c r="AH40" s="1048">
        <v>0</v>
      </c>
      <c r="AI40" s="1048">
        <v>0</v>
      </c>
      <c r="AJ40" s="1048">
        <v>0</v>
      </c>
    </row>
    <row r="41" spans="1:36" s="1049" customFormat="1" ht="14.25" customHeight="1">
      <c r="A41" s="1063"/>
      <c r="B41" s="1705" t="s">
        <v>253</v>
      </c>
      <c r="C41" s="1707">
        <v>1</v>
      </c>
      <c r="D41" s="1709" t="s">
        <v>249</v>
      </c>
      <c r="E41" s="1064">
        <v>933916.17157888901</v>
      </c>
      <c r="F41" s="1065">
        <v>933916.17000000062</v>
      </c>
      <c r="G41" s="1048">
        <v>0</v>
      </c>
      <c r="H41" s="1048">
        <v>0</v>
      </c>
      <c r="I41" s="1048">
        <v>41245.788753921646</v>
      </c>
      <c r="J41" s="1048">
        <v>33061.865972076979</v>
      </c>
      <c r="K41" s="1048">
        <v>33061.865972076979</v>
      </c>
      <c r="L41" s="1048">
        <v>33061.865972076979</v>
      </c>
      <c r="M41" s="1048">
        <v>33061.865972076979</v>
      </c>
      <c r="N41" s="1048">
        <v>33061.865972076979</v>
      </c>
      <c r="O41" s="1048">
        <v>33061.865972076979</v>
      </c>
      <c r="P41" s="1048">
        <v>33061.865972076979</v>
      </c>
      <c r="Q41" s="1048">
        <v>33061.865972076979</v>
      </c>
      <c r="R41" s="1048">
        <v>33061.865972076979</v>
      </c>
      <c r="S41" s="1048">
        <v>33061.865972076979</v>
      </c>
      <c r="T41" s="1048">
        <v>33061.865972076979</v>
      </c>
      <c r="U41" s="1048">
        <v>33061.865972076979</v>
      </c>
      <c r="V41" s="1048">
        <v>33061.865972076979</v>
      </c>
      <c r="W41" s="1048">
        <v>33061.865972076979</v>
      </c>
      <c r="X41" s="1048">
        <v>33061.865972076979</v>
      </c>
      <c r="Y41" s="1048">
        <v>33061.865972076979</v>
      </c>
      <c r="Z41" s="1048">
        <v>33061.865972076979</v>
      </c>
      <c r="AA41" s="1048">
        <v>33061.865972076979</v>
      </c>
      <c r="AB41" s="1048">
        <v>33061.865972076979</v>
      </c>
      <c r="AC41" s="1048">
        <v>33061.865972076979</v>
      </c>
      <c r="AD41" s="1048">
        <v>33061.865972076979</v>
      </c>
      <c r="AE41" s="1048">
        <v>33061.865972076979</v>
      </c>
      <c r="AF41" s="1048">
        <v>33061.865972076979</v>
      </c>
      <c r="AG41" s="1048">
        <v>33061.865972076979</v>
      </c>
      <c r="AH41" s="1048">
        <v>33061.865972076979</v>
      </c>
      <c r="AI41" s="1048">
        <v>33061.865972076979</v>
      </c>
      <c r="AJ41" s="1048">
        <v>33061.865972076979</v>
      </c>
    </row>
    <row r="42" spans="1:36" s="1054" customFormat="1" ht="14.25" customHeight="1">
      <c r="A42" s="1063"/>
      <c r="B42" s="1706"/>
      <c r="C42" s="1708"/>
      <c r="D42" s="1710"/>
      <c r="E42" s="1066"/>
      <c r="F42" s="1067">
        <v>933916.17000000062</v>
      </c>
      <c r="G42" s="1048">
        <v>0</v>
      </c>
      <c r="H42" s="1048">
        <v>0</v>
      </c>
      <c r="I42" s="1048">
        <v>41245.788753921646</v>
      </c>
      <c r="J42" s="1048">
        <v>33061.865972076979</v>
      </c>
      <c r="K42" s="1048">
        <v>33061.865972076979</v>
      </c>
      <c r="L42" s="1048">
        <v>33061.865972076979</v>
      </c>
      <c r="M42" s="1048">
        <v>33061.865972076979</v>
      </c>
      <c r="N42" s="1048">
        <v>33061.865972076979</v>
      </c>
      <c r="O42" s="1048">
        <v>33061.865972076979</v>
      </c>
      <c r="P42" s="1048">
        <v>33061.865972076979</v>
      </c>
      <c r="Q42" s="1048">
        <v>33061.865972076979</v>
      </c>
      <c r="R42" s="1048">
        <v>33061.865972076979</v>
      </c>
      <c r="S42" s="1048">
        <v>33061.865972076979</v>
      </c>
      <c r="T42" s="1048">
        <v>33061.865972076979</v>
      </c>
      <c r="U42" s="1048">
        <v>33061.865972076979</v>
      </c>
      <c r="V42" s="1048">
        <v>33061.865972076979</v>
      </c>
      <c r="W42" s="1048">
        <v>33061.865972076979</v>
      </c>
      <c r="X42" s="1048">
        <v>33061.865972076979</v>
      </c>
      <c r="Y42" s="1048">
        <v>33061.865972076979</v>
      </c>
      <c r="Z42" s="1048">
        <v>33061.865972076979</v>
      </c>
      <c r="AA42" s="1048">
        <v>33061.865972076979</v>
      </c>
      <c r="AB42" s="1048">
        <v>33061.865972076979</v>
      </c>
      <c r="AC42" s="1048">
        <v>33061.865972076979</v>
      </c>
      <c r="AD42" s="1048">
        <v>33061.865972076979</v>
      </c>
      <c r="AE42" s="1048">
        <v>33061.865972076979</v>
      </c>
      <c r="AF42" s="1048">
        <v>33061.865972076979</v>
      </c>
      <c r="AG42" s="1048">
        <v>33061.865972076979</v>
      </c>
      <c r="AH42" s="1048">
        <v>33061.865972076979</v>
      </c>
      <c r="AI42" s="1048">
        <v>33061.865972076979</v>
      </c>
      <c r="AJ42" s="1048">
        <v>33061.865972076979</v>
      </c>
    </row>
    <row r="43" spans="1:36" hidden="1">
      <c r="D43" s="275"/>
      <c r="E43" s="511"/>
      <c r="F43" s="511"/>
      <c r="G43" s="1048"/>
      <c r="H43" s="1048"/>
      <c r="I43" s="1048"/>
      <c r="J43" s="1048"/>
      <c r="K43" s="1048"/>
      <c r="L43" s="1048"/>
      <c r="M43" s="1048"/>
      <c r="N43" s="1048"/>
      <c r="O43" s="1048"/>
      <c r="P43" s="1048"/>
      <c r="Q43" s="1048"/>
      <c r="R43" s="1048"/>
      <c r="S43" s="1048"/>
      <c r="T43" s="1048"/>
      <c r="U43" s="1048"/>
      <c r="V43" s="1048"/>
      <c r="W43" s="1048"/>
      <c r="X43" s="1048"/>
      <c r="Y43" s="1048"/>
      <c r="Z43" s="1048"/>
      <c r="AA43" s="1048"/>
      <c r="AB43" s="1048"/>
      <c r="AC43" s="1048"/>
      <c r="AD43" s="1048"/>
      <c r="AE43" s="1048"/>
      <c r="AF43" s="1048"/>
      <c r="AG43" s="1048"/>
      <c r="AH43" s="1048"/>
      <c r="AI43" s="1048"/>
      <c r="AJ43" s="1048"/>
    </row>
    <row r="44" spans="1:36" s="1049" customFormat="1">
      <c r="A44" s="1077">
        <v>2</v>
      </c>
      <c r="B44" s="1703" t="s">
        <v>392</v>
      </c>
      <c r="C44" s="1045"/>
      <c r="D44" s="1078"/>
      <c r="E44" s="1079"/>
      <c r="F44" s="1080">
        <v>17032329.231717322</v>
      </c>
      <c r="G44" s="1048">
        <v>60636.090870124302</v>
      </c>
      <c r="H44" s="1048">
        <v>25899.54489035995</v>
      </c>
      <c r="I44" s="1048">
        <v>143833.93934518541</v>
      </c>
      <c r="J44" s="1048">
        <v>4324777.0619710768</v>
      </c>
      <c r="K44" s="1048">
        <v>985457.74878814025</v>
      </c>
      <c r="L44" s="1048">
        <v>439685.64756711625</v>
      </c>
      <c r="M44" s="1048">
        <v>1673597.7728142848</v>
      </c>
      <c r="N44" s="1048">
        <v>1152234.0717231876</v>
      </c>
      <c r="O44" s="1048">
        <v>1884616.6750870352</v>
      </c>
      <c r="P44" s="1048">
        <v>960270.31680762395</v>
      </c>
      <c r="Q44" s="1048">
        <v>2613997.7258695289</v>
      </c>
      <c r="R44" s="1048">
        <v>2313502.4517390579</v>
      </c>
      <c r="S44" s="1048">
        <v>28879</v>
      </c>
      <c r="T44" s="1048">
        <v>28879</v>
      </c>
      <c r="U44" s="1048">
        <v>28879</v>
      </c>
      <c r="V44" s="1048">
        <v>23591</v>
      </c>
      <c r="W44" s="1048">
        <v>23591</v>
      </c>
      <c r="X44" s="1048">
        <v>23591</v>
      </c>
      <c r="Y44" s="1048">
        <v>23591</v>
      </c>
      <c r="Z44" s="1048">
        <v>23591</v>
      </c>
      <c r="AA44" s="1048">
        <v>29286</v>
      </c>
      <c r="AB44" s="1048">
        <v>19931</v>
      </c>
      <c r="AC44" s="1048">
        <v>19931</v>
      </c>
      <c r="AD44" s="1048">
        <v>19931</v>
      </c>
      <c r="AE44" s="1048">
        <v>19931</v>
      </c>
      <c r="AF44" s="1048">
        <v>29286</v>
      </c>
      <c r="AG44" s="1048">
        <v>20745</v>
      </c>
      <c r="AH44" s="1048">
        <v>21559</v>
      </c>
      <c r="AI44" s="1048">
        <v>22777</v>
      </c>
      <c r="AJ44" s="1048">
        <v>19953</v>
      </c>
    </row>
    <row r="45" spans="1:36" s="1054" customFormat="1">
      <c r="A45" s="1077"/>
      <c r="B45" s="1704"/>
      <c r="C45" s="1050"/>
      <c r="D45" s="1081"/>
      <c r="E45" s="1082"/>
      <c r="F45" s="1083">
        <v>17427408.251717322</v>
      </c>
      <c r="G45" s="1048">
        <v>60636.090870124302</v>
      </c>
      <c r="H45" s="1048">
        <v>25899.54489035995</v>
      </c>
      <c r="I45" s="1048">
        <v>37248.668650953259</v>
      </c>
      <c r="J45" s="1048">
        <v>418682</v>
      </c>
      <c r="K45" s="1048">
        <v>5170382.3714534501</v>
      </c>
      <c r="L45" s="1048">
        <v>688390.57756711624</v>
      </c>
      <c r="M45" s="1048">
        <v>1673597.7728142848</v>
      </c>
      <c r="N45" s="1048">
        <v>1152234.0717231876</v>
      </c>
      <c r="O45" s="1048">
        <v>1884658.1650870387</v>
      </c>
      <c r="P45" s="1048">
        <v>960270.31680762395</v>
      </c>
      <c r="Q45" s="1048">
        <v>2613997.7258695289</v>
      </c>
      <c r="R45" s="1048">
        <v>2313502.4517390579</v>
      </c>
      <c r="S45" s="1048">
        <v>28879</v>
      </c>
      <c r="T45" s="1048">
        <v>28879</v>
      </c>
      <c r="U45" s="1048">
        <v>28879</v>
      </c>
      <c r="V45" s="1048">
        <v>23591</v>
      </c>
      <c r="W45" s="1048">
        <v>23591</v>
      </c>
      <c r="X45" s="1048">
        <v>23591</v>
      </c>
      <c r="Y45" s="1048">
        <v>23591</v>
      </c>
      <c r="Z45" s="1048">
        <v>23591</v>
      </c>
      <c r="AA45" s="1048">
        <v>29286</v>
      </c>
      <c r="AB45" s="1048">
        <v>19931</v>
      </c>
      <c r="AC45" s="1048">
        <v>19931</v>
      </c>
      <c r="AD45" s="1048">
        <v>19931</v>
      </c>
      <c r="AE45" s="1048">
        <v>19931</v>
      </c>
      <c r="AF45" s="1048">
        <v>29286</v>
      </c>
      <c r="AG45" s="1048">
        <v>20745</v>
      </c>
      <c r="AH45" s="1048">
        <v>21559</v>
      </c>
      <c r="AI45" s="1048">
        <v>22777</v>
      </c>
      <c r="AJ45" s="1048">
        <v>19939.494244596346</v>
      </c>
    </row>
    <row r="46" spans="1:36" s="1049" customFormat="1">
      <c r="A46" s="1703" t="s">
        <v>154</v>
      </c>
      <c r="B46" s="1701" t="s">
        <v>155</v>
      </c>
      <c r="C46" s="1055"/>
      <c r="D46" s="1068"/>
      <c r="E46" s="1069"/>
      <c r="F46" s="1069">
        <v>936659.90153830196</v>
      </c>
      <c r="G46" s="1048">
        <v>22756.965280754393</v>
      </c>
      <c r="H46" s="1048">
        <v>25327.596193628466</v>
      </c>
      <c r="I46" s="1048">
        <v>27827.865819322658</v>
      </c>
      <c r="J46" s="1048">
        <v>653589.9</v>
      </c>
      <c r="K46" s="1048">
        <v>8948</v>
      </c>
      <c r="L46" s="1048">
        <v>9152</v>
      </c>
      <c r="M46" s="1048">
        <v>8136</v>
      </c>
      <c r="N46" s="1048">
        <v>8136</v>
      </c>
      <c r="O46" s="1048">
        <v>8136</v>
      </c>
      <c r="P46" s="1048">
        <v>8744</v>
      </c>
      <c r="Q46" s="1048">
        <v>8340</v>
      </c>
      <c r="R46" s="1048">
        <v>7830</v>
      </c>
      <c r="S46" s="1048">
        <v>7830</v>
      </c>
      <c r="T46" s="1048">
        <v>7830</v>
      </c>
      <c r="U46" s="1048">
        <v>7830</v>
      </c>
      <c r="V46" s="1048">
        <v>6406</v>
      </c>
      <c r="W46" s="1048">
        <v>6406</v>
      </c>
      <c r="X46" s="1048">
        <v>6406</v>
      </c>
      <c r="Y46" s="1048">
        <v>6406</v>
      </c>
      <c r="Z46" s="1048">
        <v>6406</v>
      </c>
      <c r="AA46" s="1048">
        <v>7932</v>
      </c>
      <c r="AB46" s="1048">
        <v>5390</v>
      </c>
      <c r="AC46" s="1048">
        <v>5390</v>
      </c>
      <c r="AD46" s="1048">
        <v>5390</v>
      </c>
      <c r="AE46" s="1048">
        <v>5390</v>
      </c>
      <c r="AF46" s="1048">
        <v>7932</v>
      </c>
      <c r="AG46" s="1048">
        <v>5594</v>
      </c>
      <c r="AH46" s="1048">
        <v>5798</v>
      </c>
      <c r="AI46" s="1048">
        <v>6202</v>
      </c>
      <c r="AJ46" s="1048">
        <v>3354</v>
      </c>
    </row>
    <row r="47" spans="1:36" s="1054" customFormat="1">
      <c r="A47" s="1704"/>
      <c r="B47" s="1702"/>
      <c r="C47" s="1059"/>
      <c r="D47" s="1070"/>
      <c r="E47" s="1071"/>
      <c r="F47" s="1071">
        <v>1166714.721538302</v>
      </c>
      <c r="G47" s="1048">
        <v>22756.965280754393</v>
      </c>
      <c r="H47" s="1048">
        <v>25327.596193628466</v>
      </c>
      <c r="I47" s="1048">
        <v>27827.865819322658</v>
      </c>
      <c r="J47" s="1048">
        <v>417866</v>
      </c>
      <c r="K47" s="1048">
        <v>416916.19</v>
      </c>
      <c r="L47" s="1048">
        <v>92832.73</v>
      </c>
      <c r="M47" s="1048">
        <v>8136</v>
      </c>
      <c r="N47" s="1048">
        <v>8136</v>
      </c>
      <c r="O47" s="1048">
        <v>8136</v>
      </c>
      <c r="P47" s="1048">
        <v>8744</v>
      </c>
      <c r="Q47" s="1048">
        <v>8340</v>
      </c>
      <c r="R47" s="1048">
        <v>7830</v>
      </c>
      <c r="S47" s="1048">
        <v>7830</v>
      </c>
      <c r="T47" s="1048">
        <v>7830</v>
      </c>
      <c r="U47" s="1048">
        <v>7830</v>
      </c>
      <c r="V47" s="1048">
        <v>6406</v>
      </c>
      <c r="W47" s="1048">
        <v>6406</v>
      </c>
      <c r="X47" s="1048">
        <v>6406</v>
      </c>
      <c r="Y47" s="1048">
        <v>6406</v>
      </c>
      <c r="Z47" s="1048">
        <v>6406</v>
      </c>
      <c r="AA47" s="1048">
        <v>7932</v>
      </c>
      <c r="AB47" s="1048">
        <v>5390</v>
      </c>
      <c r="AC47" s="1048">
        <v>5390</v>
      </c>
      <c r="AD47" s="1048">
        <v>5390</v>
      </c>
      <c r="AE47" s="1048">
        <v>5390</v>
      </c>
      <c r="AF47" s="1048">
        <v>7932</v>
      </c>
      <c r="AG47" s="1048">
        <v>5594</v>
      </c>
      <c r="AH47" s="1048">
        <v>5798</v>
      </c>
      <c r="AI47" s="1048">
        <v>6202</v>
      </c>
      <c r="AJ47" s="1048">
        <v>3327.3742445963435</v>
      </c>
    </row>
    <row r="48" spans="1:36" s="1049" customFormat="1">
      <c r="A48" s="1063"/>
      <c r="B48" s="1705" t="s">
        <v>553</v>
      </c>
      <c r="C48" s="1707">
        <v>257</v>
      </c>
      <c r="D48" s="1709" t="s">
        <v>142</v>
      </c>
      <c r="E48" s="1064">
        <v>200</v>
      </c>
      <c r="F48" s="1065">
        <v>51400.001538301934</v>
      </c>
      <c r="G48" s="1048">
        <v>0</v>
      </c>
      <c r="H48" s="1048">
        <v>9135.2916839056688</v>
      </c>
      <c r="I48" s="1048">
        <v>13302.509854396265</v>
      </c>
      <c r="J48" s="1048">
        <v>1400</v>
      </c>
      <c r="K48" s="1048">
        <v>1400</v>
      </c>
      <c r="L48" s="1048">
        <v>1400</v>
      </c>
      <c r="M48" s="1048">
        <v>1200</v>
      </c>
      <c r="N48" s="1048">
        <v>1200</v>
      </c>
      <c r="O48" s="1048">
        <v>1200</v>
      </c>
      <c r="P48" s="1048">
        <v>1400</v>
      </c>
      <c r="Q48" s="1048">
        <v>1200</v>
      </c>
      <c r="R48" s="1048">
        <v>1200</v>
      </c>
      <c r="S48" s="1048">
        <v>1200</v>
      </c>
      <c r="T48" s="1048">
        <v>1200</v>
      </c>
      <c r="U48" s="1048">
        <v>1200</v>
      </c>
      <c r="V48" s="1048">
        <v>1000</v>
      </c>
      <c r="W48" s="1048">
        <v>1000</v>
      </c>
      <c r="X48" s="1048">
        <v>1000</v>
      </c>
      <c r="Y48" s="1048">
        <v>1000</v>
      </c>
      <c r="Z48" s="1048">
        <v>1000</v>
      </c>
      <c r="AA48" s="1048">
        <v>1200</v>
      </c>
      <c r="AB48" s="1048">
        <v>800</v>
      </c>
      <c r="AC48" s="1048">
        <v>800</v>
      </c>
      <c r="AD48" s="1048">
        <v>800</v>
      </c>
      <c r="AE48" s="1048">
        <v>800</v>
      </c>
      <c r="AF48" s="1048">
        <v>1200</v>
      </c>
      <c r="AG48" s="1048">
        <v>800</v>
      </c>
      <c r="AH48" s="1048">
        <v>800</v>
      </c>
      <c r="AI48" s="1048">
        <v>1000</v>
      </c>
      <c r="AJ48" s="1048">
        <v>562.20000000000005</v>
      </c>
    </row>
    <row r="49" spans="1:36" s="1054" customFormat="1">
      <c r="A49" s="1063"/>
      <c r="B49" s="1706"/>
      <c r="C49" s="1708"/>
      <c r="D49" s="1710"/>
      <c r="E49" s="1066"/>
      <c r="F49" s="1067">
        <v>51437.801538301937</v>
      </c>
      <c r="G49" s="1048">
        <v>0</v>
      </c>
      <c r="H49" s="1048">
        <v>9135.2916839056688</v>
      </c>
      <c r="I49" s="1048">
        <v>13302.509854396265</v>
      </c>
      <c r="J49" s="1048">
        <v>1400</v>
      </c>
      <c r="K49" s="1048">
        <v>1400</v>
      </c>
      <c r="L49" s="1048">
        <v>1400</v>
      </c>
      <c r="M49" s="1048">
        <v>1200</v>
      </c>
      <c r="N49" s="1048">
        <v>1200</v>
      </c>
      <c r="O49" s="1048">
        <v>1200</v>
      </c>
      <c r="P49" s="1048">
        <v>1400</v>
      </c>
      <c r="Q49" s="1048">
        <v>1200</v>
      </c>
      <c r="R49" s="1048">
        <v>1200</v>
      </c>
      <c r="S49" s="1048">
        <v>1200</v>
      </c>
      <c r="T49" s="1048">
        <v>1200</v>
      </c>
      <c r="U49" s="1048">
        <v>1200</v>
      </c>
      <c r="V49" s="1048">
        <v>1000</v>
      </c>
      <c r="W49" s="1048">
        <v>1000</v>
      </c>
      <c r="X49" s="1048">
        <v>1000</v>
      </c>
      <c r="Y49" s="1048">
        <v>1000</v>
      </c>
      <c r="Z49" s="1048">
        <v>1000</v>
      </c>
      <c r="AA49" s="1048">
        <v>1200</v>
      </c>
      <c r="AB49" s="1048">
        <v>800</v>
      </c>
      <c r="AC49" s="1048">
        <v>800</v>
      </c>
      <c r="AD49" s="1048">
        <v>800</v>
      </c>
      <c r="AE49" s="1048">
        <v>800</v>
      </c>
      <c r="AF49" s="1048">
        <v>1200</v>
      </c>
      <c r="AG49" s="1048">
        <v>800</v>
      </c>
      <c r="AH49" s="1048">
        <v>800</v>
      </c>
      <c r="AI49" s="1048">
        <v>1000</v>
      </c>
      <c r="AJ49" s="1048">
        <v>600</v>
      </c>
    </row>
    <row r="50" spans="1:36" s="1049" customFormat="1">
      <c r="A50" s="1063"/>
      <c r="B50" s="1713" t="s">
        <v>554</v>
      </c>
      <c r="C50" s="1084">
        <v>5860</v>
      </c>
      <c r="D50" s="1709" t="s">
        <v>254</v>
      </c>
      <c r="E50" s="1064">
        <v>102</v>
      </c>
      <c r="F50" s="1065">
        <v>623628</v>
      </c>
      <c r="G50" s="1048">
        <v>22756.965280754393</v>
      </c>
      <c r="H50" s="1048">
        <v>16192.304509722799</v>
      </c>
      <c r="I50" s="1048">
        <v>14525.355964926393</v>
      </c>
      <c r="J50" s="1048">
        <v>416466</v>
      </c>
      <c r="K50" s="1048">
        <v>7548</v>
      </c>
      <c r="L50" s="1048">
        <v>7752</v>
      </c>
      <c r="M50" s="1048">
        <v>6936</v>
      </c>
      <c r="N50" s="1048">
        <v>6936</v>
      </c>
      <c r="O50" s="1048">
        <v>6936</v>
      </c>
      <c r="P50" s="1048">
        <v>7344</v>
      </c>
      <c r="Q50" s="1048">
        <v>7140</v>
      </c>
      <c r="R50" s="1048">
        <v>6630</v>
      </c>
      <c r="S50" s="1048">
        <v>6630</v>
      </c>
      <c r="T50" s="1048">
        <v>6630</v>
      </c>
      <c r="U50" s="1048">
        <v>6630</v>
      </c>
      <c r="V50" s="1048">
        <v>5406</v>
      </c>
      <c r="W50" s="1048">
        <v>5406</v>
      </c>
      <c r="X50" s="1048">
        <v>5406</v>
      </c>
      <c r="Y50" s="1048">
        <v>5406</v>
      </c>
      <c r="Z50" s="1048">
        <v>5406</v>
      </c>
      <c r="AA50" s="1048">
        <v>6732</v>
      </c>
      <c r="AB50" s="1048">
        <v>4590</v>
      </c>
      <c r="AC50" s="1048">
        <v>4590</v>
      </c>
      <c r="AD50" s="1048">
        <v>4590</v>
      </c>
      <c r="AE50" s="1048">
        <v>4590</v>
      </c>
      <c r="AF50" s="1048">
        <v>6732</v>
      </c>
      <c r="AG50" s="1048">
        <v>4794</v>
      </c>
      <c r="AH50" s="1048">
        <v>4998</v>
      </c>
      <c r="AI50" s="1048">
        <v>5202</v>
      </c>
      <c r="AJ50" s="1048">
        <v>2727.3742445963435</v>
      </c>
    </row>
    <row r="51" spans="1:36" s="1054" customFormat="1">
      <c r="A51" s="1063"/>
      <c r="B51" s="1714"/>
      <c r="C51" s="1084">
        <v>6114</v>
      </c>
      <c r="D51" s="1710"/>
      <c r="E51" s="1066"/>
      <c r="F51" s="1067">
        <v>623628</v>
      </c>
      <c r="G51" s="1048">
        <v>22756.965280754393</v>
      </c>
      <c r="H51" s="1048">
        <v>16192.304509722799</v>
      </c>
      <c r="I51" s="1048">
        <v>14525.355964926393</v>
      </c>
      <c r="J51" s="1048">
        <v>416466</v>
      </c>
      <c r="K51" s="1048">
        <v>7548</v>
      </c>
      <c r="L51" s="1048">
        <v>7752</v>
      </c>
      <c r="M51" s="1048">
        <v>6936</v>
      </c>
      <c r="N51" s="1048">
        <v>6936</v>
      </c>
      <c r="O51" s="1048">
        <v>6936</v>
      </c>
      <c r="P51" s="1048">
        <v>7344</v>
      </c>
      <c r="Q51" s="1048">
        <v>7140</v>
      </c>
      <c r="R51" s="1048">
        <v>6630</v>
      </c>
      <c r="S51" s="1048">
        <v>6630</v>
      </c>
      <c r="T51" s="1048">
        <v>6630</v>
      </c>
      <c r="U51" s="1048">
        <v>6630</v>
      </c>
      <c r="V51" s="1048">
        <v>5406</v>
      </c>
      <c r="W51" s="1048">
        <v>5406</v>
      </c>
      <c r="X51" s="1048">
        <v>5406</v>
      </c>
      <c r="Y51" s="1048">
        <v>5406</v>
      </c>
      <c r="Z51" s="1048">
        <v>5406</v>
      </c>
      <c r="AA51" s="1048">
        <v>6732</v>
      </c>
      <c r="AB51" s="1048">
        <v>4590</v>
      </c>
      <c r="AC51" s="1048">
        <v>4590</v>
      </c>
      <c r="AD51" s="1048">
        <v>4590</v>
      </c>
      <c r="AE51" s="1048">
        <v>4590</v>
      </c>
      <c r="AF51" s="1048">
        <v>6732</v>
      </c>
      <c r="AG51" s="1048">
        <v>4794</v>
      </c>
      <c r="AH51" s="1048">
        <v>4998</v>
      </c>
      <c r="AI51" s="1048">
        <v>5202</v>
      </c>
      <c r="AJ51" s="1048">
        <v>2727.3742445963435</v>
      </c>
    </row>
    <row r="52" spans="1:36" s="1049" customFormat="1" ht="23.25" customHeight="1">
      <c r="A52" s="1063"/>
      <c r="B52" s="1705" t="s">
        <v>555</v>
      </c>
      <c r="C52" s="1707">
        <v>1</v>
      </c>
      <c r="D52" s="1709" t="s">
        <v>142</v>
      </c>
      <c r="E52" s="1064">
        <v>261631.90338495115</v>
      </c>
      <c r="F52" s="1065">
        <v>261631.9</v>
      </c>
      <c r="G52" s="1048">
        <v>0</v>
      </c>
      <c r="H52" s="1048">
        <v>0</v>
      </c>
      <c r="I52" s="1048">
        <v>0</v>
      </c>
      <c r="J52" s="1147">
        <v>261631.9</v>
      </c>
      <c r="K52" s="1048">
        <v>0</v>
      </c>
      <c r="L52" s="1048">
        <v>0</v>
      </c>
      <c r="M52" s="1048">
        <v>0</v>
      </c>
      <c r="N52" s="1048">
        <v>0</v>
      </c>
      <c r="O52" s="1048">
        <v>0</v>
      </c>
      <c r="P52" s="1048">
        <v>0</v>
      </c>
      <c r="Q52" s="1048">
        <v>0</v>
      </c>
      <c r="R52" s="1048">
        <v>0</v>
      </c>
      <c r="S52" s="1048">
        <v>0</v>
      </c>
      <c r="T52" s="1048">
        <v>0</v>
      </c>
      <c r="U52" s="1048">
        <v>0</v>
      </c>
      <c r="V52" s="1048">
        <v>0</v>
      </c>
      <c r="W52" s="1048">
        <v>0</v>
      </c>
      <c r="X52" s="1048">
        <v>0</v>
      </c>
      <c r="Y52" s="1048">
        <v>0</v>
      </c>
      <c r="Z52" s="1048">
        <v>0</v>
      </c>
      <c r="AA52" s="1048">
        <v>0</v>
      </c>
      <c r="AB52" s="1048">
        <v>0</v>
      </c>
      <c r="AC52" s="1048">
        <v>0</v>
      </c>
      <c r="AD52" s="1048">
        <v>0</v>
      </c>
      <c r="AE52" s="1048">
        <v>0</v>
      </c>
      <c r="AF52" s="1048">
        <v>0</v>
      </c>
      <c r="AG52" s="1048">
        <v>0</v>
      </c>
      <c r="AH52" s="1048">
        <v>0</v>
      </c>
      <c r="AI52" s="1048">
        <v>0</v>
      </c>
      <c r="AJ52" s="1048">
        <v>0</v>
      </c>
    </row>
    <row r="53" spans="1:36" s="1054" customFormat="1">
      <c r="A53" s="1063"/>
      <c r="B53" s="1706"/>
      <c r="C53" s="1708"/>
      <c r="D53" s="1710"/>
      <c r="E53" s="1066"/>
      <c r="F53" s="1067">
        <v>0</v>
      </c>
      <c r="G53" s="1048">
        <v>0</v>
      </c>
      <c r="H53" s="1048">
        <v>0</v>
      </c>
      <c r="I53" s="1048">
        <v>0</v>
      </c>
      <c r="J53" s="1048">
        <v>0</v>
      </c>
      <c r="K53" s="1048">
        <v>0</v>
      </c>
      <c r="L53" s="1048">
        <v>0</v>
      </c>
      <c r="M53" s="1048">
        <v>0</v>
      </c>
      <c r="N53" s="1048">
        <v>0</v>
      </c>
      <c r="O53" s="1048">
        <v>0</v>
      </c>
      <c r="P53" s="1048">
        <v>0</v>
      </c>
      <c r="Q53" s="1048">
        <v>0</v>
      </c>
      <c r="R53" s="1048">
        <v>0</v>
      </c>
      <c r="S53" s="1048">
        <v>0</v>
      </c>
      <c r="T53" s="1048">
        <v>0</v>
      </c>
      <c r="U53" s="1048">
        <v>0</v>
      </c>
      <c r="V53" s="1048">
        <v>0</v>
      </c>
      <c r="W53" s="1048">
        <v>0</v>
      </c>
      <c r="X53" s="1048">
        <v>0</v>
      </c>
      <c r="Y53" s="1048">
        <v>0</v>
      </c>
      <c r="Z53" s="1048">
        <v>0</v>
      </c>
      <c r="AA53" s="1048">
        <v>0</v>
      </c>
      <c r="AB53" s="1048">
        <v>0</v>
      </c>
      <c r="AC53" s="1048">
        <v>0</v>
      </c>
      <c r="AD53" s="1048">
        <v>0</v>
      </c>
      <c r="AE53" s="1048">
        <v>0</v>
      </c>
      <c r="AF53" s="1048">
        <v>0</v>
      </c>
      <c r="AG53" s="1048">
        <v>0</v>
      </c>
      <c r="AH53" s="1048">
        <v>0</v>
      </c>
      <c r="AI53" s="1048">
        <v>0</v>
      </c>
      <c r="AJ53" s="1048">
        <v>0</v>
      </c>
    </row>
    <row r="54" spans="1:36" s="1049" customFormat="1">
      <c r="A54" s="1063"/>
      <c r="B54" s="1705" t="s">
        <v>585</v>
      </c>
      <c r="C54" s="1707">
        <v>1</v>
      </c>
      <c r="D54" s="1709" t="s">
        <v>142</v>
      </c>
      <c r="E54" s="1064">
        <v>0</v>
      </c>
      <c r="F54" s="1065">
        <v>0</v>
      </c>
      <c r="G54" s="1048">
        <v>0</v>
      </c>
      <c r="H54" s="1048">
        <v>0</v>
      </c>
      <c r="I54" s="1048">
        <v>0</v>
      </c>
      <c r="J54" s="1048">
        <v>0</v>
      </c>
      <c r="K54" s="1048">
        <v>0</v>
      </c>
      <c r="L54" s="1048">
        <v>0</v>
      </c>
      <c r="M54" s="1048">
        <v>0</v>
      </c>
      <c r="N54" s="1048">
        <v>0</v>
      </c>
      <c r="O54" s="1048">
        <v>0</v>
      </c>
      <c r="P54" s="1048">
        <v>0</v>
      </c>
      <c r="Q54" s="1048">
        <v>0</v>
      </c>
      <c r="R54" s="1048">
        <v>0</v>
      </c>
      <c r="S54" s="1048">
        <v>0</v>
      </c>
      <c r="T54" s="1048">
        <v>0</v>
      </c>
      <c r="U54" s="1048">
        <v>0</v>
      </c>
      <c r="V54" s="1048">
        <v>0</v>
      </c>
      <c r="W54" s="1048">
        <v>0</v>
      </c>
      <c r="X54" s="1048">
        <v>0</v>
      </c>
      <c r="Y54" s="1048">
        <v>0</v>
      </c>
      <c r="Z54" s="1048">
        <v>0</v>
      </c>
      <c r="AA54" s="1048">
        <v>0</v>
      </c>
      <c r="AB54" s="1048">
        <v>0</v>
      </c>
      <c r="AC54" s="1048">
        <v>0</v>
      </c>
      <c r="AD54" s="1048">
        <v>0</v>
      </c>
      <c r="AE54" s="1048">
        <v>0</v>
      </c>
      <c r="AF54" s="1048">
        <v>0</v>
      </c>
      <c r="AG54" s="1048">
        <v>0</v>
      </c>
      <c r="AH54" s="1048">
        <v>0</v>
      </c>
      <c r="AI54" s="1048">
        <v>0</v>
      </c>
      <c r="AJ54" s="1048">
        <v>0</v>
      </c>
    </row>
    <row r="55" spans="1:36" s="1054" customFormat="1">
      <c r="A55" s="1063"/>
      <c r="B55" s="1706"/>
      <c r="C55" s="1708"/>
      <c r="D55" s="1710"/>
      <c r="E55" s="1067">
        <v>83680.73</v>
      </c>
      <c r="F55" s="1067">
        <v>83680.73</v>
      </c>
      <c r="G55" s="1048">
        <v>0</v>
      </c>
      <c r="H55" s="1048">
        <v>0</v>
      </c>
      <c r="I55" s="1048">
        <v>0</v>
      </c>
      <c r="J55" s="1048">
        <v>0</v>
      </c>
      <c r="K55" s="1048">
        <v>0</v>
      </c>
      <c r="L55" s="1147">
        <v>83680.73</v>
      </c>
      <c r="M55" s="1048">
        <v>0</v>
      </c>
      <c r="N55" s="1048">
        <v>0</v>
      </c>
      <c r="O55" s="1048">
        <v>0</v>
      </c>
      <c r="P55" s="1048">
        <v>0</v>
      </c>
      <c r="Q55" s="1048">
        <v>0</v>
      </c>
      <c r="R55" s="1048">
        <v>0</v>
      </c>
      <c r="S55" s="1048">
        <v>0</v>
      </c>
      <c r="T55" s="1048">
        <v>0</v>
      </c>
      <c r="U55" s="1048">
        <v>0</v>
      </c>
      <c r="V55" s="1048">
        <v>0</v>
      </c>
      <c r="W55" s="1048">
        <v>0</v>
      </c>
      <c r="X55" s="1048">
        <v>0</v>
      </c>
      <c r="Y55" s="1048">
        <v>0</v>
      </c>
      <c r="Z55" s="1048">
        <v>0</v>
      </c>
      <c r="AA55" s="1048">
        <v>0</v>
      </c>
      <c r="AB55" s="1048">
        <v>0</v>
      </c>
      <c r="AC55" s="1048">
        <v>0</v>
      </c>
      <c r="AD55" s="1048">
        <v>0</v>
      </c>
      <c r="AE55" s="1048">
        <v>0</v>
      </c>
      <c r="AF55" s="1048">
        <v>0</v>
      </c>
      <c r="AG55" s="1048">
        <v>0</v>
      </c>
      <c r="AH55" s="1048">
        <v>0</v>
      </c>
      <c r="AI55" s="1048">
        <v>0</v>
      </c>
      <c r="AJ55" s="1048">
        <v>0</v>
      </c>
    </row>
    <row r="56" spans="1:36" s="1049" customFormat="1">
      <c r="A56" s="1063"/>
      <c r="B56" s="1705" t="s">
        <v>586</v>
      </c>
      <c r="C56" s="1707">
        <v>1</v>
      </c>
      <c r="D56" s="1709" t="s">
        <v>142</v>
      </c>
      <c r="E56" s="1064">
        <v>0</v>
      </c>
      <c r="F56" s="1065">
        <v>0</v>
      </c>
      <c r="G56" s="1048">
        <v>0</v>
      </c>
      <c r="H56" s="1048">
        <v>0</v>
      </c>
      <c r="I56" s="1048">
        <v>0</v>
      </c>
      <c r="J56" s="1048">
        <v>0</v>
      </c>
      <c r="K56" s="1048">
        <v>0</v>
      </c>
      <c r="L56" s="1048">
        <v>0</v>
      </c>
      <c r="M56" s="1048">
        <v>0</v>
      </c>
      <c r="N56" s="1048">
        <v>0</v>
      </c>
      <c r="O56" s="1048">
        <v>0</v>
      </c>
      <c r="P56" s="1048">
        <v>0</v>
      </c>
      <c r="Q56" s="1048">
        <v>0</v>
      </c>
      <c r="R56" s="1048">
        <v>0</v>
      </c>
      <c r="S56" s="1048">
        <v>0</v>
      </c>
      <c r="T56" s="1048">
        <v>0</v>
      </c>
      <c r="U56" s="1048">
        <v>0</v>
      </c>
      <c r="V56" s="1048">
        <v>0</v>
      </c>
      <c r="W56" s="1048">
        <v>0</v>
      </c>
      <c r="X56" s="1048">
        <v>0</v>
      </c>
      <c r="Y56" s="1048">
        <v>0</v>
      </c>
      <c r="Z56" s="1048">
        <v>0</v>
      </c>
      <c r="AA56" s="1048">
        <v>0</v>
      </c>
      <c r="AB56" s="1048">
        <v>0</v>
      </c>
      <c r="AC56" s="1048">
        <v>0</v>
      </c>
      <c r="AD56" s="1048">
        <v>0</v>
      </c>
      <c r="AE56" s="1048">
        <v>0</v>
      </c>
      <c r="AF56" s="1048">
        <v>0</v>
      </c>
      <c r="AG56" s="1048">
        <v>0</v>
      </c>
      <c r="AH56" s="1048">
        <v>0</v>
      </c>
      <c r="AI56" s="1048">
        <v>0</v>
      </c>
      <c r="AJ56" s="1048">
        <v>0</v>
      </c>
    </row>
    <row r="57" spans="1:36" s="1054" customFormat="1">
      <c r="A57" s="1063"/>
      <c r="B57" s="1706"/>
      <c r="C57" s="1708"/>
      <c r="D57" s="1710"/>
      <c r="E57" s="1067">
        <v>316289.11</v>
      </c>
      <c r="F57" s="1067">
        <v>316289.11</v>
      </c>
      <c r="G57" s="1048">
        <v>0</v>
      </c>
      <c r="H57" s="1048">
        <v>0</v>
      </c>
      <c r="I57" s="1048">
        <v>0</v>
      </c>
      <c r="J57" s="1048">
        <v>0</v>
      </c>
      <c r="K57" s="1147">
        <v>316289.11</v>
      </c>
      <c r="L57" s="1048">
        <v>0</v>
      </c>
      <c r="M57" s="1048">
        <v>0</v>
      </c>
      <c r="N57" s="1048">
        <v>0</v>
      </c>
      <c r="O57" s="1048">
        <v>0</v>
      </c>
      <c r="P57" s="1048">
        <v>0</v>
      </c>
      <c r="Q57" s="1048">
        <v>0</v>
      </c>
      <c r="R57" s="1048">
        <v>0</v>
      </c>
      <c r="S57" s="1048">
        <v>0</v>
      </c>
      <c r="T57" s="1048">
        <v>0</v>
      </c>
      <c r="U57" s="1048">
        <v>0</v>
      </c>
      <c r="V57" s="1048">
        <v>0</v>
      </c>
      <c r="W57" s="1048">
        <v>0</v>
      </c>
      <c r="X57" s="1048">
        <v>0</v>
      </c>
      <c r="Y57" s="1048">
        <v>0</v>
      </c>
      <c r="Z57" s="1048">
        <v>0</v>
      </c>
      <c r="AA57" s="1048">
        <v>0</v>
      </c>
      <c r="AB57" s="1048">
        <v>0</v>
      </c>
      <c r="AC57" s="1048">
        <v>0</v>
      </c>
      <c r="AD57" s="1048">
        <v>0</v>
      </c>
      <c r="AE57" s="1048">
        <v>0</v>
      </c>
      <c r="AF57" s="1048">
        <v>0</v>
      </c>
      <c r="AG57" s="1048">
        <v>0</v>
      </c>
      <c r="AH57" s="1048">
        <v>0</v>
      </c>
      <c r="AI57" s="1048">
        <v>0</v>
      </c>
      <c r="AJ57" s="1048">
        <v>0</v>
      </c>
    </row>
    <row r="58" spans="1:36" s="1049" customFormat="1">
      <c r="A58" s="1063"/>
      <c r="B58" s="1705" t="s">
        <v>587</v>
      </c>
      <c r="C58" s="1707">
        <v>1</v>
      </c>
      <c r="D58" s="1709" t="s">
        <v>142</v>
      </c>
      <c r="E58" s="1064">
        <v>0</v>
      </c>
      <c r="F58" s="1065">
        <v>0</v>
      </c>
      <c r="G58" s="1048">
        <v>0</v>
      </c>
      <c r="H58" s="1048">
        <v>0</v>
      </c>
      <c r="I58" s="1048">
        <v>0</v>
      </c>
      <c r="J58" s="1048">
        <v>0</v>
      </c>
      <c r="K58" s="1048">
        <v>0</v>
      </c>
      <c r="L58" s="1048">
        <v>0</v>
      </c>
      <c r="M58" s="1048">
        <v>0</v>
      </c>
      <c r="N58" s="1048">
        <v>0</v>
      </c>
      <c r="O58" s="1048">
        <v>0</v>
      </c>
      <c r="P58" s="1048">
        <v>0</v>
      </c>
      <c r="Q58" s="1048">
        <v>0</v>
      </c>
      <c r="R58" s="1048">
        <v>0</v>
      </c>
      <c r="S58" s="1048">
        <v>0</v>
      </c>
      <c r="T58" s="1048">
        <v>0</v>
      </c>
      <c r="U58" s="1048">
        <v>0</v>
      </c>
      <c r="V58" s="1048">
        <v>0</v>
      </c>
      <c r="W58" s="1048">
        <v>0</v>
      </c>
      <c r="X58" s="1048">
        <v>0</v>
      </c>
      <c r="Y58" s="1048">
        <v>0</v>
      </c>
      <c r="Z58" s="1048">
        <v>0</v>
      </c>
      <c r="AA58" s="1048">
        <v>0</v>
      </c>
      <c r="AB58" s="1048">
        <v>0</v>
      </c>
      <c r="AC58" s="1048">
        <v>0</v>
      </c>
      <c r="AD58" s="1048">
        <v>0</v>
      </c>
      <c r="AE58" s="1048">
        <v>0</v>
      </c>
      <c r="AF58" s="1048">
        <v>0</v>
      </c>
      <c r="AG58" s="1048">
        <v>0</v>
      </c>
      <c r="AH58" s="1048">
        <v>0</v>
      </c>
      <c r="AI58" s="1048">
        <v>0</v>
      </c>
      <c r="AJ58" s="1048">
        <v>0</v>
      </c>
    </row>
    <row r="59" spans="1:36" s="1054" customFormat="1">
      <c r="A59" s="1063"/>
      <c r="B59" s="1706"/>
      <c r="C59" s="1708"/>
      <c r="D59" s="1710"/>
      <c r="E59" s="1067">
        <v>91679.08</v>
      </c>
      <c r="F59" s="1067">
        <v>91679.08</v>
      </c>
      <c r="G59" s="1048">
        <v>0</v>
      </c>
      <c r="H59" s="1048">
        <v>0</v>
      </c>
      <c r="I59" s="1048">
        <v>0</v>
      </c>
      <c r="J59" s="1048">
        <v>0</v>
      </c>
      <c r="K59" s="1147">
        <v>91679.08</v>
      </c>
      <c r="L59" s="1048">
        <v>0</v>
      </c>
      <c r="M59" s="1048">
        <v>0</v>
      </c>
      <c r="N59" s="1048">
        <v>0</v>
      </c>
      <c r="O59" s="1048">
        <v>0</v>
      </c>
      <c r="P59" s="1048">
        <v>0</v>
      </c>
      <c r="Q59" s="1048">
        <v>0</v>
      </c>
      <c r="R59" s="1048">
        <v>0</v>
      </c>
      <c r="S59" s="1048">
        <v>0</v>
      </c>
      <c r="T59" s="1048">
        <v>0</v>
      </c>
      <c r="U59" s="1048">
        <v>0</v>
      </c>
      <c r="V59" s="1048">
        <v>0</v>
      </c>
      <c r="W59" s="1048">
        <v>0</v>
      </c>
      <c r="X59" s="1048">
        <v>0</v>
      </c>
      <c r="Y59" s="1048">
        <v>0</v>
      </c>
      <c r="Z59" s="1048">
        <v>0</v>
      </c>
      <c r="AA59" s="1048">
        <v>0</v>
      </c>
      <c r="AB59" s="1048">
        <v>0</v>
      </c>
      <c r="AC59" s="1048">
        <v>0</v>
      </c>
      <c r="AD59" s="1048">
        <v>0</v>
      </c>
      <c r="AE59" s="1048">
        <v>0</v>
      </c>
      <c r="AF59" s="1048">
        <v>0</v>
      </c>
      <c r="AG59" s="1048">
        <v>0</v>
      </c>
      <c r="AH59" s="1048">
        <v>0</v>
      </c>
      <c r="AI59" s="1048">
        <v>0</v>
      </c>
      <c r="AJ59" s="1048">
        <v>0</v>
      </c>
    </row>
    <row r="60" spans="1:36" ht="8.25" customHeight="1">
      <c r="B60" s="1085"/>
      <c r="D60" s="275"/>
      <c r="E60" s="511"/>
      <c r="F60" s="511"/>
      <c r="G60" s="1048"/>
      <c r="H60" s="1048"/>
      <c r="I60" s="1048"/>
      <c r="J60" s="1048"/>
      <c r="K60" s="1048"/>
      <c r="L60" s="1048"/>
      <c r="M60" s="1048"/>
      <c r="N60" s="1048"/>
      <c r="O60" s="1048"/>
      <c r="P60" s="1048"/>
      <c r="Q60" s="1048"/>
      <c r="R60" s="1048"/>
      <c r="S60" s="1048"/>
      <c r="T60" s="1048"/>
      <c r="U60" s="1048"/>
      <c r="V60" s="1048"/>
      <c r="W60" s="1048"/>
      <c r="X60" s="1048"/>
      <c r="Y60" s="1048"/>
      <c r="Z60" s="1048"/>
      <c r="AA60" s="1048"/>
      <c r="AB60" s="1048"/>
      <c r="AC60" s="1048"/>
      <c r="AD60" s="1048"/>
      <c r="AE60" s="1048"/>
      <c r="AF60" s="1048"/>
      <c r="AG60" s="1048"/>
      <c r="AH60" s="1048"/>
      <c r="AI60" s="1048"/>
      <c r="AJ60" s="1048"/>
    </row>
    <row r="61" spans="1:36" s="1049" customFormat="1">
      <c r="A61" s="1703" t="s">
        <v>156</v>
      </c>
      <c r="B61" s="1701" t="s">
        <v>157</v>
      </c>
      <c r="C61" s="1055"/>
      <c r="D61" s="1068"/>
      <c r="E61" s="1069"/>
      <c r="F61" s="1069">
        <v>16095669.330179021</v>
      </c>
      <c r="G61" s="1048">
        <v>37879.125589369905</v>
      </c>
      <c r="H61" s="1048">
        <v>571.94869673148537</v>
      </c>
      <c r="I61" s="1048">
        <v>116006.07352586275</v>
      </c>
      <c r="J61" s="1048">
        <v>3671187.1619710769</v>
      </c>
      <c r="K61" s="1048">
        <v>976509.74878814025</v>
      </c>
      <c r="L61" s="1048">
        <v>430533.64756711625</v>
      </c>
      <c r="M61" s="1048">
        <v>1665461.7728142848</v>
      </c>
      <c r="N61" s="1048">
        <v>1144098.0717231876</v>
      </c>
      <c r="O61" s="1048">
        <v>1876480.6750870352</v>
      </c>
      <c r="P61" s="1048">
        <v>951526.31680762395</v>
      </c>
      <c r="Q61" s="1048">
        <v>2605657.7258695289</v>
      </c>
      <c r="R61" s="1048">
        <v>2305672.4517390579</v>
      </c>
      <c r="S61" s="1048">
        <v>21049</v>
      </c>
      <c r="T61" s="1048">
        <v>21049</v>
      </c>
      <c r="U61" s="1048">
        <v>21049</v>
      </c>
      <c r="V61" s="1048">
        <v>17185</v>
      </c>
      <c r="W61" s="1048">
        <v>17185</v>
      </c>
      <c r="X61" s="1048">
        <v>17185</v>
      </c>
      <c r="Y61" s="1048">
        <v>17185</v>
      </c>
      <c r="Z61" s="1048">
        <v>17185</v>
      </c>
      <c r="AA61" s="1048">
        <v>21354</v>
      </c>
      <c r="AB61" s="1048">
        <v>14541</v>
      </c>
      <c r="AC61" s="1048">
        <v>14541</v>
      </c>
      <c r="AD61" s="1048">
        <v>14541</v>
      </c>
      <c r="AE61" s="1048">
        <v>14541</v>
      </c>
      <c r="AF61" s="1048">
        <v>21354</v>
      </c>
      <c r="AG61" s="1048">
        <v>15151</v>
      </c>
      <c r="AH61" s="1048">
        <v>15761</v>
      </c>
      <c r="AI61" s="1048">
        <v>16575</v>
      </c>
      <c r="AJ61" s="1048">
        <v>16599</v>
      </c>
    </row>
    <row r="62" spans="1:36" s="1054" customFormat="1">
      <c r="A62" s="1704"/>
      <c r="B62" s="1702"/>
      <c r="C62" s="1059"/>
      <c r="D62" s="1070"/>
      <c r="E62" s="1071"/>
      <c r="F62" s="1071">
        <v>16260693.53017902</v>
      </c>
      <c r="G62" s="1048">
        <v>37879.125589369905</v>
      </c>
      <c r="H62" s="1048">
        <v>571.94869673148537</v>
      </c>
      <c r="I62" s="1048">
        <v>9420.8028316306008</v>
      </c>
      <c r="J62" s="1048">
        <v>816</v>
      </c>
      <c r="K62" s="1048">
        <v>4753466.1814534497</v>
      </c>
      <c r="L62" s="1048">
        <v>595557.84756711626</v>
      </c>
      <c r="M62" s="1048">
        <v>1665461.7728142848</v>
      </c>
      <c r="N62" s="1048">
        <v>1144098.0717231876</v>
      </c>
      <c r="O62" s="1048">
        <v>1876522.1650870387</v>
      </c>
      <c r="P62" s="1048">
        <v>951526.31680762395</v>
      </c>
      <c r="Q62" s="1048">
        <v>2605657.7258695289</v>
      </c>
      <c r="R62" s="1048">
        <v>2305672.4517390579</v>
      </c>
      <c r="S62" s="1048">
        <v>21049</v>
      </c>
      <c r="T62" s="1048">
        <v>21049</v>
      </c>
      <c r="U62" s="1048">
        <v>21049</v>
      </c>
      <c r="V62" s="1048">
        <v>17185</v>
      </c>
      <c r="W62" s="1048">
        <v>17185</v>
      </c>
      <c r="X62" s="1048">
        <v>17185</v>
      </c>
      <c r="Y62" s="1048">
        <v>17185</v>
      </c>
      <c r="Z62" s="1048">
        <v>17185</v>
      </c>
      <c r="AA62" s="1048">
        <v>21354</v>
      </c>
      <c r="AB62" s="1048">
        <v>14541</v>
      </c>
      <c r="AC62" s="1048">
        <v>14541</v>
      </c>
      <c r="AD62" s="1048">
        <v>14541</v>
      </c>
      <c r="AE62" s="1048">
        <v>14541</v>
      </c>
      <c r="AF62" s="1048">
        <v>21354</v>
      </c>
      <c r="AG62" s="1048">
        <v>15151</v>
      </c>
      <c r="AH62" s="1048">
        <v>15761</v>
      </c>
      <c r="AI62" s="1048">
        <v>16575</v>
      </c>
      <c r="AJ62" s="1048">
        <v>16612.120000000003</v>
      </c>
    </row>
    <row r="63" spans="1:36" s="1049" customFormat="1">
      <c r="A63" s="1063"/>
      <c r="B63" s="1705" t="s">
        <v>556</v>
      </c>
      <c r="C63" s="1707">
        <v>1987</v>
      </c>
      <c r="D63" s="1709" t="s">
        <v>142</v>
      </c>
      <c r="E63" s="1064">
        <v>204</v>
      </c>
      <c r="F63" s="1065">
        <v>398820</v>
      </c>
      <c r="G63" s="1048">
        <v>0</v>
      </c>
      <c r="H63" s="1048">
        <v>0</v>
      </c>
      <c r="I63" s="1048">
        <v>0</v>
      </c>
      <c r="J63" s="1048">
        <v>816</v>
      </c>
      <c r="K63" s="1048">
        <v>816</v>
      </c>
      <c r="L63" s="1048">
        <v>17748</v>
      </c>
      <c r="M63" s="1048">
        <v>85272</v>
      </c>
      <c r="N63" s="1048">
        <v>34680</v>
      </c>
      <c r="O63" s="1048">
        <v>26316</v>
      </c>
      <c r="P63" s="1048">
        <v>34884</v>
      </c>
      <c r="Q63" s="1048">
        <v>68952</v>
      </c>
      <c r="R63" s="1048">
        <v>103836</v>
      </c>
      <c r="S63" s="1048">
        <v>1224</v>
      </c>
      <c r="T63" s="1048">
        <v>1224</v>
      </c>
      <c r="U63" s="1048">
        <v>1224</v>
      </c>
      <c r="V63" s="1048">
        <v>1020</v>
      </c>
      <c r="W63" s="1048">
        <v>1020</v>
      </c>
      <c r="X63" s="1048">
        <v>1020</v>
      </c>
      <c r="Y63" s="1048">
        <v>1020</v>
      </c>
      <c r="Z63" s="1048">
        <v>1020</v>
      </c>
      <c r="AA63" s="1048">
        <v>1224</v>
      </c>
      <c r="AB63" s="1048">
        <v>816</v>
      </c>
      <c r="AC63" s="1048">
        <v>816</v>
      </c>
      <c r="AD63" s="1048">
        <v>816</v>
      </c>
      <c r="AE63" s="1048">
        <v>816</v>
      </c>
      <c r="AF63" s="1048">
        <v>1224</v>
      </c>
      <c r="AG63" s="1048">
        <v>816</v>
      </c>
      <c r="AH63" s="1048">
        <v>816</v>
      </c>
      <c r="AI63" s="1048">
        <v>1020</v>
      </c>
      <c r="AJ63" s="1048">
        <v>8364</v>
      </c>
    </row>
    <row r="64" spans="1:36" s="1054" customFormat="1">
      <c r="A64" s="1063"/>
      <c r="B64" s="1706"/>
      <c r="C64" s="1708"/>
      <c r="D64" s="1710"/>
      <c r="E64" s="1066"/>
      <c r="F64" s="1067">
        <v>398820</v>
      </c>
      <c r="G64" s="1048">
        <v>0</v>
      </c>
      <c r="H64" s="1048">
        <v>0</v>
      </c>
      <c r="I64" s="1048">
        <v>0</v>
      </c>
      <c r="J64" s="1048">
        <v>816</v>
      </c>
      <c r="K64" s="1048">
        <v>816</v>
      </c>
      <c r="L64" s="1048">
        <v>17748</v>
      </c>
      <c r="M64" s="1048">
        <v>85272</v>
      </c>
      <c r="N64" s="1048">
        <v>34680</v>
      </c>
      <c r="O64" s="1048">
        <v>26316</v>
      </c>
      <c r="P64" s="1048">
        <v>34884</v>
      </c>
      <c r="Q64" s="1048">
        <v>68952</v>
      </c>
      <c r="R64" s="1048">
        <v>103836</v>
      </c>
      <c r="S64" s="1048">
        <v>1224</v>
      </c>
      <c r="T64" s="1048">
        <v>1224</v>
      </c>
      <c r="U64" s="1048">
        <v>1224</v>
      </c>
      <c r="V64" s="1048">
        <v>1020</v>
      </c>
      <c r="W64" s="1048">
        <v>1020</v>
      </c>
      <c r="X64" s="1048">
        <v>1020</v>
      </c>
      <c r="Y64" s="1048">
        <v>1020</v>
      </c>
      <c r="Z64" s="1048">
        <v>1020</v>
      </c>
      <c r="AA64" s="1048">
        <v>1224</v>
      </c>
      <c r="AB64" s="1048">
        <v>816</v>
      </c>
      <c r="AC64" s="1048">
        <v>816</v>
      </c>
      <c r="AD64" s="1048">
        <v>816</v>
      </c>
      <c r="AE64" s="1048">
        <v>816</v>
      </c>
      <c r="AF64" s="1048">
        <v>1224</v>
      </c>
      <c r="AG64" s="1048">
        <v>816</v>
      </c>
      <c r="AH64" s="1048">
        <v>816</v>
      </c>
      <c r="AI64" s="1048">
        <v>1020</v>
      </c>
      <c r="AJ64" s="1048">
        <v>8364</v>
      </c>
    </row>
    <row r="65" spans="1:36" s="1049" customFormat="1" ht="22.5" customHeight="1">
      <c r="A65" s="1063"/>
      <c r="B65" s="1705" t="s">
        <v>557</v>
      </c>
      <c r="C65" s="1707">
        <v>19943</v>
      </c>
      <c r="D65" s="1709" t="s">
        <v>254</v>
      </c>
      <c r="E65" s="1064">
        <v>305</v>
      </c>
      <c r="F65" s="1065">
        <v>6082614.9971177327</v>
      </c>
      <c r="G65" s="1048">
        <v>37879.125589369905</v>
      </c>
      <c r="H65" s="1048">
        <v>571.94869673148537</v>
      </c>
      <c r="I65" s="1048">
        <v>9420.8028316306008</v>
      </c>
      <c r="J65" s="1048">
        <v>0</v>
      </c>
      <c r="K65" s="1048">
        <v>0</v>
      </c>
      <c r="L65" s="1048">
        <v>0</v>
      </c>
      <c r="M65" s="1048">
        <v>1211155</v>
      </c>
      <c r="N65" s="1048">
        <v>158905</v>
      </c>
      <c r="O65" s="1048">
        <v>43310</v>
      </c>
      <c r="P65" s="1048">
        <v>493795</v>
      </c>
      <c r="Q65" s="1048">
        <v>2236870</v>
      </c>
      <c r="R65" s="1048">
        <v>1602165</v>
      </c>
      <c r="S65" s="1048">
        <v>19825</v>
      </c>
      <c r="T65" s="1048">
        <v>19825</v>
      </c>
      <c r="U65" s="1048">
        <v>19825</v>
      </c>
      <c r="V65" s="1048">
        <v>16165</v>
      </c>
      <c r="W65" s="1048">
        <v>16165</v>
      </c>
      <c r="X65" s="1048">
        <v>16165</v>
      </c>
      <c r="Y65" s="1048">
        <v>16165</v>
      </c>
      <c r="Z65" s="1048">
        <v>16165</v>
      </c>
      <c r="AA65" s="1048">
        <v>20130</v>
      </c>
      <c r="AB65" s="1048">
        <v>13725</v>
      </c>
      <c r="AC65" s="1048">
        <v>13725</v>
      </c>
      <c r="AD65" s="1048">
        <v>13725</v>
      </c>
      <c r="AE65" s="1048">
        <v>13725</v>
      </c>
      <c r="AF65" s="1048">
        <v>20130</v>
      </c>
      <c r="AG65" s="1048">
        <v>14335</v>
      </c>
      <c r="AH65" s="1048">
        <v>14945</v>
      </c>
      <c r="AI65" s="1048">
        <v>15555</v>
      </c>
      <c r="AJ65" s="1048">
        <v>8248.1200000000008</v>
      </c>
    </row>
    <row r="66" spans="1:36" s="1054" customFormat="1">
      <c r="A66" s="1063"/>
      <c r="B66" s="1706"/>
      <c r="C66" s="1708"/>
      <c r="D66" s="1710"/>
      <c r="E66" s="1066"/>
      <c r="F66" s="1067">
        <v>6247639.1971177319</v>
      </c>
      <c r="G66" s="1048">
        <v>37879.125589369905</v>
      </c>
      <c r="H66" s="1048">
        <v>571.94869673148537</v>
      </c>
      <c r="I66" s="1048">
        <v>9420.8028316306008</v>
      </c>
      <c r="J66" s="1048">
        <v>0</v>
      </c>
      <c r="K66" s="1048">
        <v>0</v>
      </c>
      <c r="L66" s="1147">
        <v>165024.20000000001</v>
      </c>
      <c r="M66" s="1048">
        <v>1211155</v>
      </c>
      <c r="N66" s="1048">
        <v>158905</v>
      </c>
      <c r="O66" s="1048">
        <v>43310</v>
      </c>
      <c r="P66" s="1048">
        <v>493795</v>
      </c>
      <c r="Q66" s="1048">
        <v>2236870</v>
      </c>
      <c r="R66" s="1048">
        <v>1602165</v>
      </c>
      <c r="S66" s="1048">
        <v>19825</v>
      </c>
      <c r="T66" s="1048">
        <v>19825</v>
      </c>
      <c r="U66" s="1048">
        <v>19825</v>
      </c>
      <c r="V66" s="1048">
        <v>16165</v>
      </c>
      <c r="W66" s="1048">
        <v>16165</v>
      </c>
      <c r="X66" s="1048">
        <v>16165</v>
      </c>
      <c r="Y66" s="1048">
        <v>16165</v>
      </c>
      <c r="Z66" s="1048">
        <v>16165</v>
      </c>
      <c r="AA66" s="1048">
        <v>20130</v>
      </c>
      <c r="AB66" s="1048">
        <v>13725</v>
      </c>
      <c r="AC66" s="1048">
        <v>13725</v>
      </c>
      <c r="AD66" s="1048">
        <v>13725</v>
      </c>
      <c r="AE66" s="1048">
        <v>13725</v>
      </c>
      <c r="AF66" s="1048">
        <v>20130</v>
      </c>
      <c r="AG66" s="1048">
        <v>14335</v>
      </c>
      <c r="AH66" s="1048">
        <v>14945</v>
      </c>
      <c r="AI66" s="1048">
        <v>15555</v>
      </c>
      <c r="AJ66" s="1048">
        <v>8248.1200000000008</v>
      </c>
    </row>
    <row r="67" spans="1:36" s="1049" customFormat="1">
      <c r="A67" s="1063"/>
      <c r="B67" s="1705" t="s">
        <v>407</v>
      </c>
      <c r="C67" s="1707">
        <v>9491</v>
      </c>
      <c r="D67" s="1709" t="s">
        <v>254</v>
      </c>
      <c r="E67" s="1064">
        <v>357.69986790911287</v>
      </c>
      <c r="F67" s="1065">
        <v>3394929.4533945983</v>
      </c>
      <c r="G67" s="1048">
        <v>0</v>
      </c>
      <c r="H67" s="1048">
        <v>0</v>
      </c>
      <c r="I67" s="1147">
        <v>106585.27069423215</v>
      </c>
      <c r="J67" s="1147">
        <v>303372.4119710768</v>
      </c>
      <c r="K67" s="1048">
        <v>606658.97597385547</v>
      </c>
      <c r="L67" s="1048">
        <v>412785.64756711625</v>
      </c>
      <c r="M67" s="1048">
        <v>0</v>
      </c>
      <c r="N67" s="1048">
        <v>704489.8898469978</v>
      </c>
      <c r="O67" s="1048">
        <v>1261037.2573413199</v>
      </c>
      <c r="P67" s="1048">
        <v>0</v>
      </c>
      <c r="Q67" s="1048">
        <v>0</v>
      </c>
      <c r="R67" s="1048">
        <v>0</v>
      </c>
      <c r="S67" s="1048">
        <v>0</v>
      </c>
      <c r="T67" s="1048">
        <v>0</v>
      </c>
      <c r="U67" s="1048">
        <v>0</v>
      </c>
      <c r="V67" s="1048">
        <v>0</v>
      </c>
      <c r="W67" s="1048">
        <v>0</v>
      </c>
      <c r="X67" s="1048">
        <v>0</v>
      </c>
      <c r="Y67" s="1048">
        <v>0</v>
      </c>
      <c r="Z67" s="1048">
        <v>0</v>
      </c>
      <c r="AA67" s="1048">
        <v>0</v>
      </c>
      <c r="AB67" s="1048">
        <v>0</v>
      </c>
      <c r="AC67" s="1048">
        <v>0</v>
      </c>
      <c r="AD67" s="1048">
        <v>0</v>
      </c>
      <c r="AE67" s="1048">
        <v>0</v>
      </c>
      <c r="AF67" s="1048">
        <v>0</v>
      </c>
      <c r="AG67" s="1048">
        <v>0</v>
      </c>
      <c r="AH67" s="1048">
        <v>0</v>
      </c>
      <c r="AI67" s="1048">
        <v>0</v>
      </c>
      <c r="AJ67" s="1048">
        <v>0</v>
      </c>
    </row>
    <row r="68" spans="1:36" s="1054" customFormat="1">
      <c r="A68" s="1063"/>
      <c r="B68" s="1706"/>
      <c r="C68" s="1708"/>
      <c r="D68" s="1710"/>
      <c r="E68" s="1066"/>
      <c r="F68" s="1067">
        <v>3394929.4533945983</v>
      </c>
      <c r="G68" s="1048">
        <v>0</v>
      </c>
      <c r="H68" s="1048">
        <v>0</v>
      </c>
      <c r="I68" s="1048"/>
      <c r="J68" s="1048"/>
      <c r="K68" s="1147">
        <v>1016616.6586391644</v>
      </c>
      <c r="L68" s="1048">
        <v>412785.64756711625</v>
      </c>
      <c r="M68" s="1048">
        <v>0</v>
      </c>
      <c r="N68" s="1048">
        <v>704489.8898469978</v>
      </c>
      <c r="O68" s="1048">
        <v>1261037.2573413199</v>
      </c>
      <c r="P68" s="1048">
        <v>0</v>
      </c>
      <c r="Q68" s="1048">
        <v>0</v>
      </c>
      <c r="R68" s="1048">
        <v>0</v>
      </c>
      <c r="S68" s="1048">
        <v>0</v>
      </c>
      <c r="T68" s="1048">
        <v>0</v>
      </c>
      <c r="U68" s="1048">
        <v>0</v>
      </c>
      <c r="V68" s="1048">
        <v>0</v>
      </c>
      <c r="W68" s="1048">
        <v>0</v>
      </c>
      <c r="X68" s="1048">
        <v>0</v>
      </c>
      <c r="Y68" s="1048">
        <v>0</v>
      </c>
      <c r="Z68" s="1048">
        <v>0</v>
      </c>
      <c r="AA68" s="1048">
        <v>0</v>
      </c>
      <c r="AB68" s="1048">
        <v>0</v>
      </c>
      <c r="AC68" s="1048">
        <v>0</v>
      </c>
      <c r="AD68" s="1048">
        <v>0</v>
      </c>
      <c r="AE68" s="1048">
        <v>0</v>
      </c>
      <c r="AF68" s="1048">
        <v>0</v>
      </c>
      <c r="AG68" s="1048">
        <v>0</v>
      </c>
      <c r="AH68" s="1048">
        <v>0</v>
      </c>
      <c r="AI68" s="1048">
        <v>0</v>
      </c>
      <c r="AJ68" s="1048">
        <v>0</v>
      </c>
    </row>
    <row r="69" spans="1:36" s="1049" customFormat="1" ht="33.75" customHeight="1">
      <c r="A69" s="1063"/>
      <c r="B69" s="1705" t="s">
        <v>558</v>
      </c>
      <c r="C69" s="1707">
        <v>1</v>
      </c>
      <c r="D69" s="1709" t="s">
        <v>249</v>
      </c>
      <c r="E69" s="1064">
        <v>1353127.5003190441</v>
      </c>
      <c r="F69" s="1065">
        <v>1353127.5003190441</v>
      </c>
      <c r="G69" s="1048">
        <v>0</v>
      </c>
      <c r="H69" s="1048">
        <v>0</v>
      </c>
      <c r="I69" s="1048">
        <v>0</v>
      </c>
      <c r="J69" s="1048">
        <v>0</v>
      </c>
      <c r="K69" s="1048">
        <v>369034.77281428478</v>
      </c>
      <c r="L69" s="1048">
        <v>0</v>
      </c>
      <c r="M69" s="1048">
        <v>369034.77281428478</v>
      </c>
      <c r="N69" s="1048">
        <v>246023.18187618983</v>
      </c>
      <c r="O69" s="1048">
        <v>246023.18187618983</v>
      </c>
      <c r="P69" s="1048">
        <v>123011.59093809492</v>
      </c>
      <c r="Q69" s="1048">
        <v>0</v>
      </c>
      <c r="R69" s="1048">
        <v>0</v>
      </c>
      <c r="S69" s="1048">
        <v>0</v>
      </c>
      <c r="T69" s="1048">
        <v>0</v>
      </c>
      <c r="U69" s="1048">
        <v>0</v>
      </c>
      <c r="V69" s="1048">
        <v>0</v>
      </c>
      <c r="W69" s="1048">
        <v>0</v>
      </c>
      <c r="X69" s="1048">
        <v>0</v>
      </c>
      <c r="Y69" s="1048">
        <v>0</v>
      </c>
      <c r="Z69" s="1048">
        <v>0</v>
      </c>
      <c r="AA69" s="1048">
        <v>0</v>
      </c>
      <c r="AB69" s="1048">
        <v>0</v>
      </c>
      <c r="AC69" s="1048">
        <v>0</v>
      </c>
      <c r="AD69" s="1048">
        <v>0</v>
      </c>
      <c r="AE69" s="1048">
        <v>0</v>
      </c>
      <c r="AF69" s="1048">
        <v>0</v>
      </c>
      <c r="AG69" s="1048">
        <v>0</v>
      </c>
      <c r="AH69" s="1048">
        <v>0</v>
      </c>
      <c r="AI69" s="1048">
        <v>0</v>
      </c>
      <c r="AJ69" s="1048">
        <v>0</v>
      </c>
    </row>
    <row r="70" spans="1:36" s="1054" customFormat="1">
      <c r="A70" s="1063"/>
      <c r="B70" s="1706"/>
      <c r="C70" s="1708"/>
      <c r="D70" s="1710"/>
      <c r="E70" s="1066"/>
      <c r="F70" s="1067">
        <v>1353127.5003190441</v>
      </c>
      <c r="G70" s="1048">
        <v>0</v>
      </c>
      <c r="H70" s="1048">
        <v>0</v>
      </c>
      <c r="I70" s="1048">
        <v>0</v>
      </c>
      <c r="J70" s="1048">
        <v>0</v>
      </c>
      <c r="K70" s="1048">
        <v>369034.77281428478</v>
      </c>
      <c r="L70" s="1048">
        <v>0</v>
      </c>
      <c r="M70" s="1048">
        <v>369034.77281428478</v>
      </c>
      <c r="N70" s="1048">
        <v>246023.18187618983</v>
      </c>
      <c r="O70" s="1048">
        <v>246023.18187618983</v>
      </c>
      <c r="P70" s="1048">
        <v>123011.59093809492</v>
      </c>
      <c r="Q70" s="1048">
        <v>0</v>
      </c>
      <c r="R70" s="1048">
        <v>0</v>
      </c>
      <c r="S70" s="1048">
        <v>0</v>
      </c>
      <c r="T70" s="1048">
        <v>0</v>
      </c>
      <c r="U70" s="1048">
        <v>0</v>
      </c>
      <c r="V70" s="1048">
        <v>0</v>
      </c>
      <c r="W70" s="1048">
        <v>0</v>
      </c>
      <c r="X70" s="1048">
        <v>0</v>
      </c>
      <c r="Y70" s="1048">
        <v>0</v>
      </c>
      <c r="Z70" s="1048">
        <v>0</v>
      </c>
      <c r="AA70" s="1048">
        <v>0</v>
      </c>
      <c r="AB70" s="1048">
        <v>0</v>
      </c>
      <c r="AC70" s="1048">
        <v>0</v>
      </c>
      <c r="AD70" s="1048">
        <v>0</v>
      </c>
      <c r="AE70" s="1048">
        <v>0</v>
      </c>
      <c r="AF70" s="1048">
        <v>0</v>
      </c>
      <c r="AG70" s="1048">
        <v>0</v>
      </c>
      <c r="AH70" s="1048">
        <v>0</v>
      </c>
      <c r="AI70" s="1048">
        <v>0</v>
      </c>
      <c r="AJ70" s="1048">
        <v>0</v>
      </c>
    </row>
    <row r="71" spans="1:36" s="1049" customFormat="1" ht="33.75" customHeight="1">
      <c r="A71" s="1063"/>
      <c r="B71" s="1705" t="s">
        <v>408</v>
      </c>
      <c r="C71" s="1707">
        <v>1</v>
      </c>
      <c r="D71" s="1709" t="s">
        <v>249</v>
      </c>
      <c r="E71" s="1064">
        <v>3366998.7545716399</v>
      </c>
      <c r="F71" s="1065">
        <v>3366998.75</v>
      </c>
      <c r="G71" s="1048">
        <v>0</v>
      </c>
      <c r="H71" s="1048">
        <v>0</v>
      </c>
      <c r="I71" s="1048">
        <v>0</v>
      </c>
      <c r="J71" s="1147">
        <v>3366998.75</v>
      </c>
      <c r="K71" s="1048">
        <v>0</v>
      </c>
      <c r="L71" s="1048">
        <v>0</v>
      </c>
      <c r="M71" s="1048">
        <v>0</v>
      </c>
      <c r="N71" s="1048">
        <v>0</v>
      </c>
      <c r="O71" s="1048">
        <v>0</v>
      </c>
      <c r="P71" s="1048">
        <v>0</v>
      </c>
      <c r="Q71" s="1048">
        <v>0</v>
      </c>
      <c r="R71" s="1048">
        <v>0</v>
      </c>
      <c r="S71" s="1048">
        <v>0</v>
      </c>
      <c r="T71" s="1048">
        <v>0</v>
      </c>
      <c r="U71" s="1048">
        <v>0</v>
      </c>
      <c r="V71" s="1048">
        <v>0</v>
      </c>
      <c r="W71" s="1048">
        <v>0</v>
      </c>
      <c r="X71" s="1048">
        <v>0</v>
      </c>
      <c r="Y71" s="1048">
        <v>0</v>
      </c>
      <c r="Z71" s="1048">
        <v>0</v>
      </c>
      <c r="AA71" s="1048">
        <v>0</v>
      </c>
      <c r="AB71" s="1048">
        <v>0</v>
      </c>
      <c r="AC71" s="1048">
        <v>0</v>
      </c>
      <c r="AD71" s="1048">
        <v>0</v>
      </c>
      <c r="AE71" s="1048">
        <v>0</v>
      </c>
      <c r="AF71" s="1048">
        <v>0</v>
      </c>
      <c r="AG71" s="1048">
        <v>0</v>
      </c>
      <c r="AH71" s="1048">
        <v>0</v>
      </c>
      <c r="AI71" s="1048">
        <v>0</v>
      </c>
      <c r="AJ71" s="1048">
        <v>0</v>
      </c>
    </row>
    <row r="72" spans="1:36" s="1054" customFormat="1">
      <c r="A72" s="1063"/>
      <c r="B72" s="1706"/>
      <c r="C72" s="1708"/>
      <c r="D72" s="1710"/>
      <c r="E72" s="1066"/>
      <c r="F72" s="1067">
        <v>3366998.75</v>
      </c>
      <c r="G72" s="1048">
        <v>0</v>
      </c>
      <c r="H72" s="1048">
        <v>0</v>
      </c>
      <c r="I72" s="1048">
        <v>0</v>
      </c>
      <c r="J72" s="1048">
        <v>0</v>
      </c>
      <c r="K72" s="1147">
        <v>3366998.75</v>
      </c>
      <c r="L72" s="1048">
        <v>0</v>
      </c>
      <c r="M72" s="1048">
        <v>0</v>
      </c>
      <c r="N72" s="1048">
        <v>0</v>
      </c>
      <c r="O72" s="1048">
        <v>0</v>
      </c>
      <c r="P72" s="1048">
        <v>0</v>
      </c>
      <c r="Q72" s="1048">
        <v>0</v>
      </c>
      <c r="R72" s="1048">
        <v>0</v>
      </c>
      <c r="S72" s="1048">
        <v>0</v>
      </c>
      <c r="T72" s="1048">
        <v>0</v>
      </c>
      <c r="U72" s="1048">
        <v>0</v>
      </c>
      <c r="V72" s="1048">
        <v>0</v>
      </c>
      <c r="W72" s="1048">
        <v>0</v>
      </c>
      <c r="X72" s="1048">
        <v>0</v>
      </c>
      <c r="Y72" s="1048">
        <v>0</v>
      </c>
      <c r="Z72" s="1048">
        <v>0</v>
      </c>
      <c r="AA72" s="1048">
        <v>0</v>
      </c>
      <c r="AB72" s="1048">
        <v>0</v>
      </c>
      <c r="AC72" s="1048">
        <v>0</v>
      </c>
      <c r="AD72" s="1048">
        <v>0</v>
      </c>
      <c r="AE72" s="1048">
        <v>0</v>
      </c>
      <c r="AF72" s="1048">
        <v>0</v>
      </c>
      <c r="AG72" s="1048">
        <v>0</v>
      </c>
      <c r="AH72" s="1048">
        <v>0</v>
      </c>
      <c r="AI72" s="1048">
        <v>0</v>
      </c>
      <c r="AJ72" s="1048">
        <v>0</v>
      </c>
    </row>
    <row r="73" spans="1:36" s="1049" customFormat="1" ht="34.5" customHeight="1">
      <c r="A73" s="1063"/>
      <c r="B73" s="1705" t="s">
        <v>559</v>
      </c>
      <c r="C73" s="1707">
        <v>6</v>
      </c>
      <c r="D73" s="1711" t="s">
        <v>142</v>
      </c>
      <c r="E73" s="1064">
        <v>299835.72586952901</v>
      </c>
      <c r="F73" s="1065">
        <v>1499178.6293476452</v>
      </c>
      <c r="G73" s="1048">
        <v>0</v>
      </c>
      <c r="H73" s="1048">
        <v>0</v>
      </c>
      <c r="I73" s="1048">
        <v>0</v>
      </c>
      <c r="J73" s="1048">
        <v>0</v>
      </c>
      <c r="K73" s="1048">
        <v>0</v>
      </c>
      <c r="L73" s="1048">
        <v>0</v>
      </c>
      <c r="M73" s="1048">
        <v>0</v>
      </c>
      <c r="N73" s="1048">
        <v>0</v>
      </c>
      <c r="O73" s="1048">
        <v>299835.72586952901</v>
      </c>
      <c r="P73" s="1048">
        <v>299835.72586952901</v>
      </c>
      <c r="Q73" s="1048">
        <v>299835.72586952901</v>
      </c>
      <c r="R73" s="1048">
        <v>599671.45173905801</v>
      </c>
      <c r="S73" s="1048">
        <v>0</v>
      </c>
      <c r="T73" s="1048">
        <v>0</v>
      </c>
      <c r="U73" s="1048">
        <v>0</v>
      </c>
      <c r="V73" s="1048">
        <v>0</v>
      </c>
      <c r="W73" s="1048">
        <v>0</v>
      </c>
      <c r="X73" s="1048">
        <v>0</v>
      </c>
      <c r="Y73" s="1048">
        <v>0</v>
      </c>
      <c r="Z73" s="1048">
        <v>0</v>
      </c>
      <c r="AA73" s="1048">
        <v>0</v>
      </c>
      <c r="AB73" s="1048">
        <v>0</v>
      </c>
      <c r="AC73" s="1048">
        <v>0</v>
      </c>
      <c r="AD73" s="1048">
        <v>0</v>
      </c>
      <c r="AE73" s="1048">
        <v>0</v>
      </c>
      <c r="AF73" s="1048">
        <v>0</v>
      </c>
      <c r="AG73" s="1048">
        <v>0</v>
      </c>
      <c r="AH73" s="1048">
        <v>0</v>
      </c>
      <c r="AI73" s="1048">
        <v>0</v>
      </c>
      <c r="AJ73" s="1048">
        <v>0</v>
      </c>
    </row>
    <row r="74" spans="1:36" s="1054" customFormat="1">
      <c r="A74" s="1063"/>
      <c r="B74" s="1706"/>
      <c r="C74" s="1708"/>
      <c r="D74" s="1712"/>
      <c r="E74" s="1066"/>
      <c r="F74" s="1067">
        <v>1499178.6293476452</v>
      </c>
      <c r="G74" s="1048">
        <v>0</v>
      </c>
      <c r="H74" s="1048">
        <v>0</v>
      </c>
      <c r="I74" s="1048">
        <v>0</v>
      </c>
      <c r="J74" s="1048">
        <v>0</v>
      </c>
      <c r="K74" s="1048">
        <v>0</v>
      </c>
      <c r="L74" s="1048">
        <v>0</v>
      </c>
      <c r="M74" s="1048">
        <v>0</v>
      </c>
      <c r="N74" s="1048">
        <v>0</v>
      </c>
      <c r="O74" s="1048">
        <v>299835.72586952901</v>
      </c>
      <c r="P74" s="1048">
        <v>299835.72586952901</v>
      </c>
      <c r="Q74" s="1048">
        <v>299835.72586952901</v>
      </c>
      <c r="R74" s="1048">
        <v>599671.45173905801</v>
      </c>
      <c r="S74" s="1048">
        <v>0</v>
      </c>
      <c r="T74" s="1048">
        <v>0</v>
      </c>
      <c r="U74" s="1048">
        <v>0</v>
      </c>
      <c r="V74" s="1048">
        <v>0</v>
      </c>
      <c r="W74" s="1048">
        <v>0</v>
      </c>
      <c r="X74" s="1048">
        <v>0</v>
      </c>
      <c r="Y74" s="1048">
        <v>0</v>
      </c>
      <c r="Z74" s="1048">
        <v>0</v>
      </c>
      <c r="AA74" s="1048">
        <v>0</v>
      </c>
      <c r="AB74" s="1048">
        <v>0</v>
      </c>
      <c r="AC74" s="1048">
        <v>0</v>
      </c>
      <c r="AD74" s="1048">
        <v>0</v>
      </c>
      <c r="AE74" s="1048">
        <v>0</v>
      </c>
      <c r="AF74" s="1048">
        <v>0</v>
      </c>
      <c r="AG74" s="1048">
        <v>0</v>
      </c>
      <c r="AH74" s="1048">
        <v>0</v>
      </c>
      <c r="AI74" s="1048">
        <v>0</v>
      </c>
      <c r="AJ74" s="1048">
        <v>0</v>
      </c>
    </row>
    <row r="75" spans="1:36" hidden="1">
      <c r="D75" s="275"/>
      <c r="E75" s="511"/>
      <c r="F75" s="511"/>
      <c r="G75" s="1048"/>
      <c r="H75" s="1048"/>
      <c r="I75" s="1048"/>
      <c r="J75" s="1048"/>
      <c r="K75" s="1048"/>
      <c r="L75" s="1048"/>
      <c r="M75" s="1048"/>
      <c r="N75" s="1048"/>
      <c r="O75" s="1048"/>
      <c r="P75" s="1048"/>
      <c r="Q75" s="1048"/>
      <c r="R75" s="1048"/>
      <c r="S75" s="1048"/>
      <c r="T75" s="1048"/>
      <c r="U75" s="1048"/>
      <c r="V75" s="1048"/>
      <c r="W75" s="1048"/>
      <c r="X75" s="1048"/>
      <c r="Y75" s="1048"/>
      <c r="Z75" s="1048"/>
      <c r="AA75" s="1048"/>
      <c r="AB75" s="1048"/>
      <c r="AC75" s="1048"/>
      <c r="AD75" s="1048"/>
      <c r="AE75" s="1048"/>
      <c r="AF75" s="1048"/>
      <c r="AG75" s="1048"/>
      <c r="AH75" s="1048"/>
      <c r="AI75" s="1048"/>
      <c r="AJ75" s="1048"/>
    </row>
    <row r="76" spans="1:36" s="1049" customFormat="1">
      <c r="A76" s="1699">
        <v>3</v>
      </c>
      <c r="B76" s="1701" t="s">
        <v>391</v>
      </c>
      <c r="C76" s="1045"/>
      <c r="D76" s="1078"/>
      <c r="E76" s="1079"/>
      <c r="F76" s="1086">
        <v>862632.65953346319</v>
      </c>
      <c r="G76" s="1048">
        <v>87023.583369052707</v>
      </c>
      <c r="H76" s="1048">
        <v>43673.537443111301</v>
      </c>
      <c r="I76" s="1048">
        <v>85663.1968465932</v>
      </c>
      <c r="J76" s="1048">
        <v>396112.22884797322</v>
      </c>
      <c r="K76" s="1048">
        <v>6445.8877800595983</v>
      </c>
      <c r="L76" s="1048">
        <v>6445.8877800595983</v>
      </c>
      <c r="M76" s="1048">
        <v>6445.8877800595983</v>
      </c>
      <c r="N76" s="1048">
        <v>6445.8877800595983</v>
      </c>
      <c r="O76" s="1048">
        <v>6445.8877800595983</v>
      </c>
      <c r="P76" s="1048">
        <v>6445.8877800595983</v>
      </c>
      <c r="Q76" s="1048">
        <v>6445.8877800595983</v>
      </c>
      <c r="R76" s="1048">
        <v>6445.8877800595983</v>
      </c>
      <c r="S76" s="1048">
        <v>6445.8877800595983</v>
      </c>
      <c r="T76" s="1048">
        <v>6445.8877800595983</v>
      </c>
      <c r="U76" s="1048">
        <v>6445.8877800595983</v>
      </c>
      <c r="V76" s="1048">
        <v>6445.8877800595983</v>
      </c>
      <c r="W76" s="1048">
        <v>6445.8877800595983</v>
      </c>
      <c r="X76" s="1048">
        <v>6445.8877800595983</v>
      </c>
      <c r="Y76" s="1048">
        <v>6445.8877800595983</v>
      </c>
      <c r="Z76" s="1048">
        <v>6445.8877800595983</v>
      </c>
      <c r="AA76" s="1048">
        <v>6445.8877800595983</v>
      </c>
      <c r="AB76" s="1048">
        <v>6445.8877800595983</v>
      </c>
      <c r="AC76" s="1048">
        <v>6445.8877800595983</v>
      </c>
      <c r="AD76" s="1048">
        <v>6445.8877800595983</v>
      </c>
      <c r="AE76" s="1048">
        <v>6445.8877800595983</v>
      </c>
      <c r="AF76" s="1048">
        <v>6445.8877800595983</v>
      </c>
      <c r="AG76" s="1048">
        <v>6445.8877800595983</v>
      </c>
      <c r="AH76" s="1048">
        <v>6445.8877800595983</v>
      </c>
      <c r="AI76" s="1048">
        <v>6445.8877800595983</v>
      </c>
      <c r="AJ76" s="1048">
        <v>6445.8877800595983</v>
      </c>
    </row>
    <row r="77" spans="1:36" s="1054" customFormat="1">
      <c r="A77" s="1700"/>
      <c r="B77" s="1702"/>
      <c r="C77" s="1050"/>
      <c r="D77" s="1081"/>
      <c r="E77" s="1082"/>
      <c r="F77" s="1087">
        <v>862632.65953346319</v>
      </c>
      <c r="G77" s="1048">
        <v>87023.583369052707</v>
      </c>
      <c r="H77" s="1048">
        <v>43673.537443111301</v>
      </c>
      <c r="I77" s="1048">
        <v>85663.1968465932</v>
      </c>
      <c r="J77" s="1048">
        <v>478679.25959315657</v>
      </c>
      <c r="K77" s="1048">
        <v>6445.8877800595983</v>
      </c>
      <c r="L77" s="1048">
        <v>6445.8877800595983</v>
      </c>
      <c r="M77" s="1048">
        <v>6445.8877800595983</v>
      </c>
      <c r="N77" s="1048">
        <v>6445.8877800595983</v>
      </c>
      <c r="O77" s="1048">
        <v>6445.8877800595983</v>
      </c>
      <c r="P77" s="1048">
        <v>6445.8877800595983</v>
      </c>
      <c r="Q77" s="1048">
        <v>6445.8877800595983</v>
      </c>
      <c r="R77" s="1048">
        <v>6445.8877800595983</v>
      </c>
      <c r="S77" s="1048">
        <v>6445.8877800595983</v>
      </c>
      <c r="T77" s="1048">
        <v>6445.8877800595983</v>
      </c>
      <c r="U77" s="1048">
        <v>6445.8877800595983</v>
      </c>
      <c r="V77" s="1048">
        <v>6445.8877800595983</v>
      </c>
      <c r="W77" s="1048">
        <v>6445.8877800595983</v>
      </c>
      <c r="X77" s="1048">
        <v>6445.8877800595983</v>
      </c>
      <c r="Y77" s="1048">
        <v>6445.8877800595983</v>
      </c>
      <c r="Z77" s="1048">
        <v>6445.8877800595983</v>
      </c>
      <c r="AA77" s="1048">
        <v>6445.8877800595983</v>
      </c>
      <c r="AB77" s="1048">
        <v>6445.8877800595983</v>
      </c>
      <c r="AC77" s="1048">
        <v>6445.8877800595983</v>
      </c>
      <c r="AD77" s="1048">
        <v>6445.8877800595983</v>
      </c>
      <c r="AE77" s="1048">
        <v>6445.8877800595983</v>
      </c>
      <c r="AF77" s="1048">
        <v>6445.8877800595983</v>
      </c>
      <c r="AG77" s="1048">
        <v>6445.8877800595983</v>
      </c>
      <c r="AH77" s="1048">
        <v>6445.8877800595983</v>
      </c>
      <c r="AI77" s="1048">
        <v>6445.8877800595983</v>
      </c>
      <c r="AJ77" s="1048">
        <v>6445.8877800595983</v>
      </c>
    </row>
    <row r="78" spans="1:36" s="1088" customFormat="1" ht="15">
      <c r="A78" s="1703" t="s">
        <v>158</v>
      </c>
      <c r="B78" s="1701" t="s">
        <v>159</v>
      </c>
      <c r="C78" s="1055"/>
      <c r="D78" s="1068"/>
      <c r="E78" s="1069"/>
      <c r="F78" s="1086">
        <v>862632.65953346319</v>
      </c>
      <c r="G78" s="1048">
        <v>87023.583369052707</v>
      </c>
      <c r="H78" s="1048">
        <v>43673.537443111301</v>
      </c>
      <c r="I78" s="1048">
        <v>85663.1968465932</v>
      </c>
      <c r="J78" s="1048">
        <v>478679.25959315657</v>
      </c>
      <c r="K78" s="1048">
        <v>6445.8877800595983</v>
      </c>
      <c r="L78" s="1048">
        <v>6445.8877800595983</v>
      </c>
      <c r="M78" s="1048">
        <v>6445.8877800595983</v>
      </c>
      <c r="N78" s="1048">
        <v>6445.8877800595983</v>
      </c>
      <c r="O78" s="1048">
        <v>6445.8877800595983</v>
      </c>
      <c r="P78" s="1048">
        <v>6445.8877800595983</v>
      </c>
      <c r="Q78" s="1048">
        <v>6445.8877800595983</v>
      </c>
      <c r="R78" s="1048">
        <v>6445.8877800595983</v>
      </c>
      <c r="S78" s="1048">
        <v>6445.8877800595983</v>
      </c>
      <c r="T78" s="1048">
        <v>6445.8877800595983</v>
      </c>
      <c r="U78" s="1048">
        <v>6445.8877800595983</v>
      </c>
      <c r="V78" s="1048">
        <v>6445.8877800595983</v>
      </c>
      <c r="W78" s="1048">
        <v>6445.8877800595983</v>
      </c>
      <c r="X78" s="1048">
        <v>6445.8877800595983</v>
      </c>
      <c r="Y78" s="1048">
        <v>6445.8877800595983</v>
      </c>
      <c r="Z78" s="1048">
        <v>6445.8877800595983</v>
      </c>
      <c r="AA78" s="1048">
        <v>6445.8877800595983</v>
      </c>
      <c r="AB78" s="1048">
        <v>6445.8877800595983</v>
      </c>
      <c r="AC78" s="1048">
        <v>6445.8877800595983</v>
      </c>
      <c r="AD78" s="1048">
        <v>6445.8877800595983</v>
      </c>
      <c r="AE78" s="1048">
        <v>6445.8877800595983</v>
      </c>
      <c r="AF78" s="1048">
        <v>6445.8877800595983</v>
      </c>
      <c r="AG78" s="1048">
        <v>6445.8877800595983</v>
      </c>
      <c r="AH78" s="1048">
        <v>6445.8877800595983</v>
      </c>
      <c r="AI78" s="1048">
        <v>6445.8877800595983</v>
      </c>
      <c r="AJ78" s="1048">
        <v>6445.8877800595983</v>
      </c>
    </row>
    <row r="79" spans="1:36" s="1089" customFormat="1" ht="15">
      <c r="A79" s="1704"/>
      <c r="B79" s="1702"/>
      <c r="C79" s="1059"/>
      <c r="D79" s="1070"/>
      <c r="E79" s="1071"/>
      <c r="F79" s="1087">
        <v>862632.65953346319</v>
      </c>
      <c r="G79" s="1048">
        <v>87023.583369052707</v>
      </c>
      <c r="H79" s="1048">
        <v>43673.537443111301</v>
      </c>
      <c r="I79" s="1048">
        <v>85663.1968465932</v>
      </c>
      <c r="J79" s="1048">
        <v>478679.25959315657</v>
      </c>
      <c r="K79" s="1048">
        <v>6445.8877800595983</v>
      </c>
      <c r="L79" s="1048">
        <v>6445.8877800595983</v>
      </c>
      <c r="M79" s="1048">
        <v>6445.8877800595983</v>
      </c>
      <c r="N79" s="1048">
        <v>6445.8877800595983</v>
      </c>
      <c r="O79" s="1048">
        <v>6445.8877800595983</v>
      </c>
      <c r="P79" s="1048">
        <v>6445.8877800595983</v>
      </c>
      <c r="Q79" s="1048">
        <v>6445.8877800595983</v>
      </c>
      <c r="R79" s="1048">
        <v>6445.8877800595983</v>
      </c>
      <c r="S79" s="1048">
        <v>6445.8877800595983</v>
      </c>
      <c r="T79" s="1048">
        <v>6445.8877800595983</v>
      </c>
      <c r="U79" s="1048">
        <v>6445.8877800595983</v>
      </c>
      <c r="V79" s="1048">
        <v>6445.8877800595983</v>
      </c>
      <c r="W79" s="1048">
        <v>6445.8877800595983</v>
      </c>
      <c r="X79" s="1048">
        <v>6445.8877800595983</v>
      </c>
      <c r="Y79" s="1048">
        <v>6445.8877800595983</v>
      </c>
      <c r="Z79" s="1048">
        <v>6445.8877800595983</v>
      </c>
      <c r="AA79" s="1048">
        <v>6445.8877800595983</v>
      </c>
      <c r="AB79" s="1048">
        <v>6445.8877800595983</v>
      </c>
      <c r="AC79" s="1048">
        <v>6445.8877800595983</v>
      </c>
      <c r="AD79" s="1048">
        <v>6445.8877800595983</v>
      </c>
      <c r="AE79" s="1048">
        <v>6445.8877800595983</v>
      </c>
      <c r="AF79" s="1048">
        <v>6445.8877800595983</v>
      </c>
      <c r="AG79" s="1048">
        <v>6445.8877800595983</v>
      </c>
      <c r="AH79" s="1048">
        <v>6445.8877800595983</v>
      </c>
      <c r="AI79" s="1048">
        <v>6445.8877800595983</v>
      </c>
      <c r="AJ79" s="1048">
        <v>6445.8877800595983</v>
      </c>
    </row>
    <row r="80" spans="1:36" s="1049" customFormat="1">
      <c r="A80" s="1063"/>
      <c r="B80" s="1705" t="s">
        <v>270</v>
      </c>
      <c r="C80" s="1707">
        <v>6200</v>
      </c>
      <c r="D80" s="1709" t="s">
        <v>142</v>
      </c>
      <c r="E80" s="1064">
        <v>60.954164350464545</v>
      </c>
      <c r="F80" s="1065">
        <v>377915.81897288014</v>
      </c>
      <c r="G80" s="1048">
        <v>87023.583369052707</v>
      </c>
      <c r="H80" s="1048">
        <v>43673.537443111301</v>
      </c>
      <c r="I80" s="1048">
        <v>73179.728099107073</v>
      </c>
      <c r="J80" s="1048">
        <v>6445.8877800595983</v>
      </c>
      <c r="K80" s="1048">
        <v>6445.8877800595983</v>
      </c>
      <c r="L80" s="1048">
        <v>6445.8877800595983</v>
      </c>
      <c r="M80" s="1048">
        <v>6445.8877800595983</v>
      </c>
      <c r="N80" s="1048">
        <v>6445.8877800595983</v>
      </c>
      <c r="O80" s="1048">
        <v>6445.8877800595983</v>
      </c>
      <c r="P80" s="1048">
        <v>6445.8877800595983</v>
      </c>
      <c r="Q80" s="1048">
        <v>6445.8877800595983</v>
      </c>
      <c r="R80" s="1048">
        <v>6445.8877800595983</v>
      </c>
      <c r="S80" s="1048">
        <v>6445.8877800595983</v>
      </c>
      <c r="T80" s="1048">
        <v>6445.8877800595983</v>
      </c>
      <c r="U80" s="1048">
        <v>6445.8877800595983</v>
      </c>
      <c r="V80" s="1048">
        <v>6445.8877800595983</v>
      </c>
      <c r="W80" s="1048">
        <v>6445.8877800595983</v>
      </c>
      <c r="X80" s="1048">
        <v>6445.8877800595983</v>
      </c>
      <c r="Y80" s="1048">
        <v>6445.8877800595983</v>
      </c>
      <c r="Z80" s="1048">
        <v>6445.8877800595983</v>
      </c>
      <c r="AA80" s="1048">
        <v>6445.8877800595983</v>
      </c>
      <c r="AB80" s="1048">
        <v>6445.8877800595983</v>
      </c>
      <c r="AC80" s="1048">
        <v>6445.8877800595983</v>
      </c>
      <c r="AD80" s="1048">
        <v>6445.8877800595983</v>
      </c>
      <c r="AE80" s="1048">
        <v>6445.8877800595983</v>
      </c>
      <c r="AF80" s="1048">
        <v>6445.8877800595983</v>
      </c>
      <c r="AG80" s="1048">
        <v>6445.8877800595983</v>
      </c>
      <c r="AH80" s="1048">
        <v>6445.8877800595983</v>
      </c>
      <c r="AI80" s="1048">
        <v>6445.8877800595983</v>
      </c>
      <c r="AJ80" s="1048">
        <v>6445.8877800595983</v>
      </c>
    </row>
    <row r="81" spans="1:36" s="1054" customFormat="1">
      <c r="A81" s="1063"/>
      <c r="B81" s="1706"/>
      <c r="C81" s="1708"/>
      <c r="D81" s="1710"/>
      <c r="E81" s="1066"/>
      <c r="F81" s="1067">
        <v>377915.81897288014</v>
      </c>
      <c r="G81" s="1048">
        <v>87023.583369052707</v>
      </c>
      <c r="H81" s="1048">
        <v>43673.537443111301</v>
      </c>
      <c r="I81" s="1048">
        <v>73179.728099107073</v>
      </c>
      <c r="J81" s="1048">
        <v>6445.8877800595983</v>
      </c>
      <c r="K81" s="1048">
        <v>6445.8877800595983</v>
      </c>
      <c r="L81" s="1048">
        <v>6445.8877800595983</v>
      </c>
      <c r="M81" s="1048">
        <v>6445.8877800595983</v>
      </c>
      <c r="N81" s="1048">
        <v>6445.8877800595983</v>
      </c>
      <c r="O81" s="1048">
        <v>6445.8877800595983</v>
      </c>
      <c r="P81" s="1048">
        <v>6445.8877800595983</v>
      </c>
      <c r="Q81" s="1048">
        <v>6445.8877800595983</v>
      </c>
      <c r="R81" s="1048">
        <v>6445.8877800595983</v>
      </c>
      <c r="S81" s="1048">
        <v>6445.8877800595983</v>
      </c>
      <c r="T81" s="1048">
        <v>6445.8877800595983</v>
      </c>
      <c r="U81" s="1048">
        <v>6445.8877800595983</v>
      </c>
      <c r="V81" s="1048">
        <v>6445.8877800595983</v>
      </c>
      <c r="W81" s="1048">
        <v>6445.8877800595983</v>
      </c>
      <c r="X81" s="1048">
        <v>6445.8877800595983</v>
      </c>
      <c r="Y81" s="1048">
        <v>6445.8877800595983</v>
      </c>
      <c r="Z81" s="1048">
        <v>6445.8877800595983</v>
      </c>
      <c r="AA81" s="1048">
        <v>6445.8877800595983</v>
      </c>
      <c r="AB81" s="1048">
        <v>6445.8877800595983</v>
      </c>
      <c r="AC81" s="1048">
        <v>6445.8877800595983</v>
      </c>
      <c r="AD81" s="1048">
        <v>6445.8877800595983</v>
      </c>
      <c r="AE81" s="1048">
        <v>6445.8877800595983</v>
      </c>
      <c r="AF81" s="1048">
        <v>6445.8877800595983</v>
      </c>
      <c r="AG81" s="1048">
        <v>6445.8877800595983</v>
      </c>
      <c r="AH81" s="1048">
        <v>6445.8877800595983</v>
      </c>
      <c r="AI81" s="1048">
        <v>6445.8877800595983</v>
      </c>
      <c r="AJ81" s="1048">
        <v>6445.8877800595983</v>
      </c>
    </row>
    <row r="82" spans="1:36" s="1049" customFormat="1">
      <c r="A82" s="1063"/>
      <c r="B82" s="1705" t="s">
        <v>255</v>
      </c>
      <c r="C82" s="1084">
        <v>3952</v>
      </c>
      <c r="D82" s="1709" t="s">
        <v>254</v>
      </c>
      <c r="E82" s="1064">
        <v>101.76713007780455</v>
      </c>
      <c r="F82" s="1065">
        <v>484716.84056058311</v>
      </c>
      <c r="G82" s="1048">
        <v>0</v>
      </c>
      <c r="H82" s="1048">
        <v>0</v>
      </c>
      <c r="I82" s="1048">
        <v>12483.468747486124</v>
      </c>
      <c r="J82" s="1048">
        <v>472233.37181309698</v>
      </c>
      <c r="K82" s="1048">
        <v>0</v>
      </c>
      <c r="L82" s="1048">
        <v>0</v>
      </c>
      <c r="M82" s="1048">
        <v>0</v>
      </c>
      <c r="N82" s="1048">
        <v>0</v>
      </c>
      <c r="O82" s="1048">
        <v>0</v>
      </c>
      <c r="P82" s="1048">
        <v>0</v>
      </c>
      <c r="Q82" s="1048">
        <v>0</v>
      </c>
      <c r="R82" s="1048">
        <v>0</v>
      </c>
      <c r="S82" s="1048">
        <v>0</v>
      </c>
      <c r="T82" s="1048">
        <v>0</v>
      </c>
      <c r="U82" s="1048">
        <v>0</v>
      </c>
      <c r="V82" s="1048">
        <v>0</v>
      </c>
      <c r="W82" s="1048">
        <v>0</v>
      </c>
      <c r="X82" s="1048">
        <v>0</v>
      </c>
      <c r="Y82" s="1048">
        <v>0</v>
      </c>
      <c r="Z82" s="1048">
        <v>0</v>
      </c>
      <c r="AA82" s="1048">
        <v>0</v>
      </c>
      <c r="AB82" s="1048">
        <v>0</v>
      </c>
      <c r="AC82" s="1048">
        <v>0</v>
      </c>
      <c r="AD82" s="1048">
        <v>0</v>
      </c>
      <c r="AE82" s="1048">
        <v>0</v>
      </c>
      <c r="AF82" s="1048">
        <v>0</v>
      </c>
      <c r="AG82" s="1048">
        <v>0</v>
      </c>
      <c r="AH82" s="1048">
        <v>0</v>
      </c>
      <c r="AI82" s="1048">
        <v>0</v>
      </c>
      <c r="AJ82" s="1048">
        <v>0</v>
      </c>
    </row>
    <row r="83" spans="1:36" s="1054" customFormat="1">
      <c r="A83" s="1063"/>
      <c r="B83" s="1706"/>
      <c r="C83" s="1084">
        <v>4763</v>
      </c>
      <c r="D83" s="1710"/>
      <c r="E83" s="1066"/>
      <c r="F83" s="1067">
        <v>484716.84056058311</v>
      </c>
      <c r="G83" s="1048">
        <v>0</v>
      </c>
      <c r="H83" s="1048">
        <v>0</v>
      </c>
      <c r="I83" s="1048">
        <v>12483.468747486124</v>
      </c>
      <c r="J83" s="1048">
        <v>472233.37181309698</v>
      </c>
      <c r="K83" s="1048">
        <v>0</v>
      </c>
      <c r="L83" s="1048">
        <v>0</v>
      </c>
      <c r="M83" s="1048">
        <v>0</v>
      </c>
      <c r="N83" s="1048">
        <v>0</v>
      </c>
      <c r="O83" s="1048">
        <v>0</v>
      </c>
      <c r="P83" s="1048">
        <v>0</v>
      </c>
      <c r="Q83" s="1048">
        <v>0</v>
      </c>
      <c r="R83" s="1048">
        <v>0</v>
      </c>
      <c r="S83" s="1048">
        <v>0</v>
      </c>
      <c r="T83" s="1048">
        <v>0</v>
      </c>
      <c r="U83" s="1048">
        <v>0</v>
      </c>
      <c r="V83" s="1048">
        <v>0</v>
      </c>
      <c r="W83" s="1048">
        <v>0</v>
      </c>
      <c r="X83" s="1048">
        <v>0</v>
      </c>
      <c r="Y83" s="1048">
        <v>0</v>
      </c>
      <c r="Z83" s="1048">
        <v>0</v>
      </c>
      <c r="AA83" s="1048">
        <v>0</v>
      </c>
      <c r="AB83" s="1048">
        <v>0</v>
      </c>
      <c r="AC83" s="1048">
        <v>0</v>
      </c>
      <c r="AD83" s="1048">
        <v>0</v>
      </c>
      <c r="AE83" s="1048">
        <v>0</v>
      </c>
      <c r="AF83" s="1048">
        <v>0</v>
      </c>
      <c r="AG83" s="1048">
        <v>0</v>
      </c>
      <c r="AH83" s="1048">
        <v>0</v>
      </c>
      <c r="AI83" s="1048">
        <v>0</v>
      </c>
      <c r="AJ83" s="1048">
        <v>0</v>
      </c>
    </row>
    <row r="84" spans="1:36" hidden="1">
      <c r="D84" s="275"/>
      <c r="E84" s="486"/>
      <c r="F84" s="511"/>
      <c r="G84" s="1048"/>
      <c r="H84" s="1048"/>
      <c r="I84" s="1048"/>
      <c r="J84" s="1048"/>
      <c r="K84" s="1048"/>
      <c r="L84" s="1048"/>
      <c r="M84" s="1048"/>
      <c r="N84" s="1048"/>
      <c r="O84" s="1048"/>
      <c r="P84" s="1048"/>
      <c r="Q84" s="1048"/>
      <c r="R84" s="1048"/>
      <c r="S84" s="1048"/>
      <c r="T84" s="1048"/>
      <c r="U84" s="1048"/>
      <c r="V84" s="1048"/>
      <c r="W84" s="1048"/>
      <c r="X84" s="1048"/>
      <c r="Y84" s="1048"/>
      <c r="Z84" s="1048"/>
      <c r="AA84" s="1048"/>
      <c r="AB84" s="1048"/>
      <c r="AC84" s="1048"/>
      <c r="AD84" s="1048"/>
      <c r="AE84" s="1048"/>
      <c r="AF84" s="1048"/>
      <c r="AG84" s="1048"/>
      <c r="AH84" s="1048"/>
      <c r="AI84" s="1048"/>
      <c r="AJ84" s="1048"/>
    </row>
    <row r="85" spans="1:36" s="1049" customFormat="1" hidden="1">
      <c r="A85" s="1703" t="s">
        <v>160</v>
      </c>
      <c r="B85" s="1701" t="s">
        <v>161</v>
      </c>
      <c r="C85" s="1055"/>
      <c r="D85" s="1068"/>
      <c r="E85" s="1090"/>
      <c r="F85" s="1091">
        <v>0</v>
      </c>
      <c r="G85" s="1048">
        <v>0</v>
      </c>
      <c r="H85" s="1048">
        <v>0</v>
      </c>
      <c r="I85" s="1048">
        <v>0</v>
      </c>
      <c r="J85" s="1048">
        <v>0</v>
      </c>
      <c r="K85" s="1048">
        <v>0</v>
      </c>
      <c r="L85" s="1048">
        <v>0</v>
      </c>
      <c r="M85" s="1048">
        <v>0</v>
      </c>
      <c r="N85" s="1048">
        <v>0</v>
      </c>
      <c r="O85" s="1048">
        <v>0</v>
      </c>
      <c r="P85" s="1048">
        <v>0</v>
      </c>
      <c r="Q85" s="1048">
        <v>0</v>
      </c>
      <c r="R85" s="1048">
        <v>0</v>
      </c>
      <c r="S85" s="1048">
        <v>0</v>
      </c>
      <c r="T85" s="1048">
        <v>0</v>
      </c>
      <c r="U85" s="1048">
        <v>0</v>
      </c>
      <c r="V85" s="1048">
        <v>0</v>
      </c>
      <c r="W85" s="1048">
        <v>0</v>
      </c>
      <c r="X85" s="1048">
        <v>0</v>
      </c>
      <c r="Y85" s="1048">
        <v>0</v>
      </c>
      <c r="Z85" s="1048">
        <v>0</v>
      </c>
      <c r="AA85" s="1048">
        <v>0</v>
      </c>
      <c r="AB85" s="1048">
        <v>0</v>
      </c>
      <c r="AC85" s="1048">
        <v>0</v>
      </c>
      <c r="AD85" s="1048">
        <v>0</v>
      </c>
      <c r="AE85" s="1048">
        <v>0</v>
      </c>
      <c r="AF85" s="1048">
        <v>0</v>
      </c>
      <c r="AG85" s="1048">
        <v>0</v>
      </c>
      <c r="AH85" s="1048">
        <v>0</v>
      </c>
      <c r="AI85" s="1048">
        <v>0</v>
      </c>
      <c r="AJ85" s="1048">
        <v>0</v>
      </c>
    </row>
    <row r="86" spans="1:36" s="1054" customFormat="1" hidden="1">
      <c r="A86" s="1704"/>
      <c r="B86" s="1702"/>
      <c r="C86" s="1074"/>
      <c r="D86" s="1053"/>
      <c r="E86" s="1092"/>
      <c r="F86" s="1093"/>
      <c r="G86" s="1048">
        <v>0</v>
      </c>
      <c r="H86" s="1048">
        <v>0</v>
      </c>
      <c r="I86" s="1048">
        <v>0</v>
      </c>
      <c r="J86" s="1048">
        <v>0</v>
      </c>
      <c r="K86" s="1048">
        <v>0</v>
      </c>
      <c r="L86" s="1048">
        <v>0</v>
      </c>
      <c r="M86" s="1048">
        <v>0</v>
      </c>
      <c r="N86" s="1048">
        <v>0</v>
      </c>
      <c r="O86" s="1048">
        <v>0</v>
      </c>
      <c r="P86" s="1048">
        <v>0</v>
      </c>
      <c r="Q86" s="1048">
        <v>0</v>
      </c>
      <c r="R86" s="1048">
        <v>0</v>
      </c>
      <c r="S86" s="1048">
        <v>0</v>
      </c>
      <c r="T86" s="1048">
        <v>0</v>
      </c>
      <c r="U86" s="1048">
        <v>0</v>
      </c>
      <c r="V86" s="1048">
        <v>0</v>
      </c>
      <c r="W86" s="1048">
        <v>0</v>
      </c>
      <c r="X86" s="1048">
        <v>0</v>
      </c>
      <c r="Y86" s="1048">
        <v>0</v>
      </c>
      <c r="Z86" s="1048">
        <v>0</v>
      </c>
      <c r="AA86" s="1048">
        <v>0</v>
      </c>
      <c r="AB86" s="1048">
        <v>0</v>
      </c>
      <c r="AC86" s="1048">
        <v>0</v>
      </c>
      <c r="AD86" s="1048">
        <v>0</v>
      </c>
      <c r="AE86" s="1048">
        <v>0</v>
      </c>
      <c r="AF86" s="1048">
        <v>0</v>
      </c>
      <c r="AG86" s="1048">
        <v>0</v>
      </c>
      <c r="AH86" s="1048">
        <v>0</v>
      </c>
      <c r="AI86" s="1048">
        <v>0</v>
      </c>
      <c r="AJ86" s="1048">
        <v>0</v>
      </c>
    </row>
    <row r="87" spans="1:36" hidden="1">
      <c r="C87" s="200"/>
      <c r="D87" s="1094"/>
      <c r="E87" s="1095"/>
      <c r="F87" s="1096"/>
      <c r="G87" s="1048"/>
      <c r="H87" s="1048"/>
      <c r="I87" s="1048"/>
      <c r="J87" s="1048"/>
      <c r="K87" s="1048"/>
      <c r="L87" s="1048"/>
      <c r="M87" s="1048"/>
      <c r="N87" s="1048"/>
      <c r="O87" s="1048"/>
      <c r="P87" s="1048"/>
      <c r="Q87" s="1048"/>
      <c r="R87" s="1048"/>
      <c r="S87" s="1048"/>
      <c r="T87" s="1048"/>
      <c r="U87" s="1048"/>
      <c r="V87" s="1048"/>
      <c r="W87" s="1048"/>
      <c r="X87" s="1048"/>
      <c r="Y87" s="1048"/>
      <c r="Z87" s="1048"/>
      <c r="AA87" s="1048"/>
      <c r="AB87" s="1048"/>
      <c r="AC87" s="1048"/>
      <c r="AD87" s="1048"/>
      <c r="AE87" s="1048"/>
      <c r="AF87" s="1048"/>
      <c r="AG87" s="1048"/>
      <c r="AH87" s="1048"/>
      <c r="AI87" s="1048"/>
      <c r="AJ87" s="1048"/>
    </row>
    <row r="88" spans="1:36" s="1049" customFormat="1" hidden="1">
      <c r="A88" s="1703" t="s">
        <v>162</v>
      </c>
      <c r="B88" s="1701" t="s">
        <v>163</v>
      </c>
      <c r="C88" s="1055"/>
      <c r="D88" s="1068"/>
      <c r="E88" s="1090"/>
      <c r="F88" s="1091">
        <v>0</v>
      </c>
      <c r="G88" s="1048">
        <v>0</v>
      </c>
      <c r="H88" s="1048">
        <v>0</v>
      </c>
      <c r="I88" s="1048">
        <v>0</v>
      </c>
      <c r="J88" s="1048">
        <v>0</v>
      </c>
      <c r="K88" s="1048">
        <v>0</v>
      </c>
      <c r="L88" s="1048">
        <v>0</v>
      </c>
      <c r="M88" s="1048">
        <v>0</v>
      </c>
      <c r="N88" s="1048">
        <v>0</v>
      </c>
      <c r="O88" s="1048">
        <v>0</v>
      </c>
      <c r="P88" s="1048">
        <v>0</v>
      </c>
      <c r="Q88" s="1048">
        <v>0</v>
      </c>
      <c r="R88" s="1048">
        <v>0</v>
      </c>
      <c r="S88" s="1048">
        <v>0</v>
      </c>
      <c r="T88" s="1048">
        <v>0</v>
      </c>
      <c r="U88" s="1048">
        <v>0</v>
      </c>
      <c r="V88" s="1048">
        <v>0</v>
      </c>
      <c r="W88" s="1048">
        <v>0</v>
      </c>
      <c r="X88" s="1048">
        <v>0</v>
      </c>
      <c r="Y88" s="1048">
        <v>0</v>
      </c>
      <c r="Z88" s="1048">
        <v>0</v>
      </c>
      <c r="AA88" s="1048">
        <v>0</v>
      </c>
      <c r="AB88" s="1048">
        <v>0</v>
      </c>
      <c r="AC88" s="1048">
        <v>0</v>
      </c>
      <c r="AD88" s="1048">
        <v>0</v>
      </c>
      <c r="AE88" s="1048">
        <v>0</v>
      </c>
      <c r="AF88" s="1048">
        <v>0</v>
      </c>
      <c r="AG88" s="1048">
        <v>0</v>
      </c>
      <c r="AH88" s="1048">
        <v>0</v>
      </c>
      <c r="AI88" s="1048">
        <v>0</v>
      </c>
      <c r="AJ88" s="1048">
        <v>0</v>
      </c>
    </row>
    <row r="89" spans="1:36" s="1054" customFormat="1" hidden="1">
      <c r="A89" s="1704"/>
      <c r="B89" s="1702"/>
      <c r="C89" s="1074"/>
      <c r="D89" s="1075"/>
      <c r="E89" s="1092"/>
      <c r="F89" s="1093"/>
      <c r="G89" s="1048">
        <v>0</v>
      </c>
      <c r="H89" s="1048">
        <v>0</v>
      </c>
      <c r="I89" s="1048">
        <v>0</v>
      </c>
      <c r="J89" s="1048">
        <v>0</v>
      </c>
      <c r="K89" s="1048">
        <v>0</v>
      </c>
      <c r="L89" s="1048">
        <v>0</v>
      </c>
      <c r="M89" s="1048">
        <v>0</v>
      </c>
      <c r="N89" s="1048">
        <v>0</v>
      </c>
      <c r="O89" s="1048">
        <v>0</v>
      </c>
      <c r="P89" s="1048">
        <v>0</v>
      </c>
      <c r="Q89" s="1048">
        <v>0</v>
      </c>
      <c r="R89" s="1048">
        <v>0</v>
      </c>
      <c r="S89" s="1048">
        <v>0</v>
      </c>
      <c r="T89" s="1048">
        <v>0</v>
      </c>
      <c r="U89" s="1048">
        <v>0</v>
      </c>
      <c r="V89" s="1048">
        <v>0</v>
      </c>
      <c r="W89" s="1048">
        <v>0</v>
      </c>
      <c r="X89" s="1048">
        <v>0</v>
      </c>
      <c r="Y89" s="1048">
        <v>0</v>
      </c>
      <c r="Z89" s="1048">
        <v>0</v>
      </c>
      <c r="AA89" s="1048">
        <v>0</v>
      </c>
      <c r="AB89" s="1048">
        <v>0</v>
      </c>
      <c r="AC89" s="1048">
        <v>0</v>
      </c>
      <c r="AD89" s="1048">
        <v>0</v>
      </c>
      <c r="AE89" s="1048">
        <v>0</v>
      </c>
      <c r="AF89" s="1048">
        <v>0</v>
      </c>
      <c r="AG89" s="1048">
        <v>0</v>
      </c>
      <c r="AH89" s="1048">
        <v>0</v>
      </c>
      <c r="AI89" s="1048">
        <v>0</v>
      </c>
      <c r="AJ89" s="1048">
        <v>0</v>
      </c>
    </row>
    <row r="90" spans="1:36" hidden="1">
      <c r="C90" s="200"/>
      <c r="D90" s="1094"/>
      <c r="E90" s="1095"/>
      <c r="F90" s="1096"/>
      <c r="G90" s="1048"/>
      <c r="H90" s="1048"/>
      <c r="I90" s="1048"/>
      <c r="J90" s="1048"/>
      <c r="K90" s="1048"/>
      <c r="L90" s="1048"/>
      <c r="M90" s="1048"/>
      <c r="N90" s="1048"/>
      <c r="O90" s="1048"/>
      <c r="P90" s="1048"/>
      <c r="Q90" s="1048"/>
      <c r="R90" s="1048"/>
      <c r="S90" s="1048"/>
      <c r="T90" s="1048"/>
      <c r="U90" s="1048"/>
      <c r="V90" s="1048"/>
      <c r="W90" s="1048"/>
      <c r="X90" s="1048"/>
      <c r="Y90" s="1048"/>
      <c r="Z90" s="1048"/>
      <c r="AA90" s="1048"/>
      <c r="AB90" s="1048"/>
      <c r="AC90" s="1048"/>
      <c r="AD90" s="1048"/>
      <c r="AE90" s="1048"/>
      <c r="AF90" s="1048"/>
      <c r="AG90" s="1048"/>
      <c r="AH90" s="1048"/>
      <c r="AI90" s="1048"/>
      <c r="AJ90" s="1048"/>
    </row>
    <row r="91" spans="1:36" s="1049" customFormat="1" hidden="1">
      <c r="A91" s="1703" t="s">
        <v>164</v>
      </c>
      <c r="B91" s="1703" t="s">
        <v>165</v>
      </c>
      <c r="C91" s="1045"/>
      <c r="D91" s="1078"/>
      <c r="E91" s="1097"/>
      <c r="F91" s="1091">
        <v>0</v>
      </c>
      <c r="G91" s="1048">
        <v>0</v>
      </c>
      <c r="H91" s="1048">
        <v>0</v>
      </c>
      <c r="I91" s="1048">
        <v>0</v>
      </c>
      <c r="J91" s="1048">
        <v>0</v>
      </c>
      <c r="K91" s="1048">
        <v>0</v>
      </c>
      <c r="L91" s="1048">
        <v>0</v>
      </c>
      <c r="M91" s="1048">
        <v>0</v>
      </c>
      <c r="N91" s="1048">
        <v>0</v>
      </c>
      <c r="O91" s="1048">
        <v>0</v>
      </c>
      <c r="P91" s="1048">
        <v>0</v>
      </c>
      <c r="Q91" s="1048">
        <v>0</v>
      </c>
      <c r="R91" s="1048">
        <v>0</v>
      </c>
      <c r="S91" s="1048">
        <v>0</v>
      </c>
      <c r="T91" s="1048">
        <v>0</v>
      </c>
      <c r="U91" s="1048">
        <v>0</v>
      </c>
      <c r="V91" s="1048">
        <v>0</v>
      </c>
      <c r="W91" s="1048">
        <v>0</v>
      </c>
      <c r="X91" s="1048">
        <v>0</v>
      </c>
      <c r="Y91" s="1048">
        <v>0</v>
      </c>
      <c r="Z91" s="1048">
        <v>0</v>
      </c>
      <c r="AA91" s="1048">
        <v>0</v>
      </c>
      <c r="AB91" s="1048">
        <v>0</v>
      </c>
      <c r="AC91" s="1048">
        <v>0</v>
      </c>
      <c r="AD91" s="1048">
        <v>0</v>
      </c>
      <c r="AE91" s="1048">
        <v>0</v>
      </c>
      <c r="AF91" s="1048">
        <v>0</v>
      </c>
      <c r="AG91" s="1048">
        <v>0</v>
      </c>
      <c r="AH91" s="1048">
        <v>0</v>
      </c>
      <c r="AI91" s="1048">
        <v>0</v>
      </c>
      <c r="AJ91" s="1048">
        <v>0</v>
      </c>
    </row>
    <row r="92" spans="1:36" s="1054" customFormat="1" hidden="1">
      <c r="A92" s="1704"/>
      <c r="B92" s="1704"/>
      <c r="C92" s="1074"/>
      <c r="D92" s="1075"/>
      <c r="E92" s="1092"/>
      <c r="F92" s="1066"/>
      <c r="G92" s="1048">
        <v>0</v>
      </c>
      <c r="H92" s="1048">
        <v>0</v>
      </c>
      <c r="I92" s="1048">
        <v>0</v>
      </c>
      <c r="J92" s="1048">
        <v>0</v>
      </c>
      <c r="K92" s="1048">
        <v>0</v>
      </c>
      <c r="L92" s="1048">
        <v>0</v>
      </c>
      <c r="M92" s="1048">
        <v>0</v>
      </c>
      <c r="N92" s="1048">
        <v>0</v>
      </c>
      <c r="O92" s="1048">
        <v>0</v>
      </c>
      <c r="P92" s="1048">
        <v>0</v>
      </c>
      <c r="Q92" s="1048">
        <v>0</v>
      </c>
      <c r="R92" s="1048">
        <v>0</v>
      </c>
      <c r="S92" s="1048">
        <v>0</v>
      </c>
      <c r="T92" s="1048">
        <v>0</v>
      </c>
      <c r="U92" s="1048">
        <v>0</v>
      </c>
      <c r="V92" s="1048">
        <v>0</v>
      </c>
      <c r="W92" s="1048">
        <v>0</v>
      </c>
      <c r="X92" s="1048">
        <v>0</v>
      </c>
      <c r="Y92" s="1048">
        <v>0</v>
      </c>
      <c r="Z92" s="1048">
        <v>0</v>
      </c>
      <c r="AA92" s="1048">
        <v>0</v>
      </c>
      <c r="AB92" s="1048">
        <v>0</v>
      </c>
      <c r="AC92" s="1048">
        <v>0</v>
      </c>
      <c r="AD92" s="1048">
        <v>0</v>
      </c>
      <c r="AE92" s="1048">
        <v>0</v>
      </c>
      <c r="AF92" s="1048">
        <v>0</v>
      </c>
      <c r="AG92" s="1048">
        <v>0</v>
      </c>
      <c r="AH92" s="1048">
        <v>0</v>
      </c>
      <c r="AI92" s="1048">
        <v>0</v>
      </c>
      <c r="AJ92" s="1048">
        <v>0</v>
      </c>
    </row>
    <row r="93" spans="1:36" hidden="1">
      <c r="C93" s="200"/>
      <c r="D93" s="1094"/>
      <c r="E93" s="1095"/>
      <c r="F93" s="1098"/>
      <c r="G93" s="1048"/>
      <c r="H93" s="1048"/>
      <c r="I93" s="1048"/>
      <c r="J93" s="1048"/>
      <c r="K93" s="1048"/>
      <c r="L93" s="1048"/>
      <c r="M93" s="1048"/>
      <c r="N93" s="1048"/>
      <c r="O93" s="1048"/>
      <c r="P93" s="1048"/>
      <c r="Q93" s="1048"/>
      <c r="R93" s="1048"/>
      <c r="S93" s="1048"/>
      <c r="T93" s="1048"/>
      <c r="U93" s="1048"/>
      <c r="V93" s="1048"/>
      <c r="W93" s="1048"/>
      <c r="X93" s="1048"/>
      <c r="Y93" s="1048"/>
      <c r="Z93" s="1048"/>
      <c r="AA93" s="1048"/>
      <c r="AB93" s="1048"/>
      <c r="AC93" s="1048"/>
      <c r="AD93" s="1048"/>
      <c r="AE93" s="1048"/>
      <c r="AF93" s="1048"/>
      <c r="AG93" s="1048"/>
      <c r="AH93" s="1048"/>
      <c r="AI93" s="1048"/>
      <c r="AJ93" s="1048"/>
    </row>
    <row r="94" spans="1:36" s="1049" customFormat="1">
      <c r="A94" s="1699"/>
      <c r="B94" s="1703" t="s">
        <v>166</v>
      </c>
      <c r="C94" s="1045"/>
      <c r="D94" s="1046"/>
      <c r="E94" s="1097"/>
      <c r="F94" s="1080">
        <v>20611134.373714816</v>
      </c>
      <c r="G94" s="1048">
        <v>563316.99957136728</v>
      </c>
      <c r="H94" s="1048">
        <v>345639.16425320646</v>
      </c>
      <c r="I94" s="1048">
        <v>408922.78175528918</v>
      </c>
      <c r="J94" s="1048">
        <v>5706358.9751920104</v>
      </c>
      <c r="K94" s="1048">
        <v>1024965.5025402769</v>
      </c>
      <c r="L94" s="1048">
        <v>479193.40131925279</v>
      </c>
      <c r="M94" s="1048">
        <v>1713105.5265664214</v>
      </c>
      <c r="N94" s="1048">
        <v>1191741.8254753242</v>
      </c>
      <c r="O94" s="1048">
        <v>1924124.4288391718</v>
      </c>
      <c r="P94" s="1048">
        <v>999778.07055976056</v>
      </c>
      <c r="Q94" s="1048">
        <v>2653505.4796216656</v>
      </c>
      <c r="R94" s="1048">
        <v>2353010.2054911945</v>
      </c>
      <c r="S94" s="1048">
        <v>68386.753752136574</v>
      </c>
      <c r="T94" s="1048">
        <v>68386.753752136574</v>
      </c>
      <c r="U94" s="1048">
        <v>68386.753752136574</v>
      </c>
      <c r="V94" s="1048">
        <v>63098.753752136574</v>
      </c>
      <c r="W94" s="1048">
        <v>63098.753752136574</v>
      </c>
      <c r="X94" s="1048">
        <v>63098.753752136574</v>
      </c>
      <c r="Y94" s="1048">
        <v>63098.753752136574</v>
      </c>
      <c r="Z94" s="1048">
        <v>63098.753752136574</v>
      </c>
      <c r="AA94" s="1048">
        <v>68793.753752136574</v>
      </c>
      <c r="AB94" s="1048">
        <v>59438.753752136574</v>
      </c>
      <c r="AC94" s="1048">
        <v>59438.753752136574</v>
      </c>
      <c r="AD94" s="1048">
        <v>59438.753752136574</v>
      </c>
      <c r="AE94" s="1048">
        <v>59438.753752136574</v>
      </c>
      <c r="AF94" s="1048">
        <v>68793.753752136574</v>
      </c>
      <c r="AG94" s="1048">
        <v>60252.753752136574</v>
      </c>
      <c r="AH94" s="1048">
        <v>61066.753752136574</v>
      </c>
      <c r="AI94" s="1048">
        <v>62284.753752136574</v>
      </c>
      <c r="AJ94" s="1048">
        <v>59460.753752136574</v>
      </c>
    </row>
    <row r="95" spans="1:36" s="1054" customFormat="1">
      <c r="A95" s="1700"/>
      <c r="B95" s="1704"/>
      <c r="C95" s="1050"/>
      <c r="D95" s="1099"/>
      <c r="E95" s="1051"/>
      <c r="F95" s="1083">
        <v>20517119.663628098</v>
      </c>
      <c r="G95" s="1048">
        <v>563262.22957299976</v>
      </c>
      <c r="H95" s="1048">
        <v>345639.16425320646</v>
      </c>
      <c r="I95" s="1048">
        <v>302337.51106105704</v>
      </c>
      <c r="J95" s="1048">
        <v>1393737.2138793976</v>
      </c>
      <c r="K95" s="1048">
        <v>5209890.1252055867</v>
      </c>
      <c r="L95" s="1048">
        <v>727898.33131925284</v>
      </c>
      <c r="M95" s="1048">
        <v>1713105.5265664214</v>
      </c>
      <c r="N95" s="1048">
        <v>1191741.8254753242</v>
      </c>
      <c r="O95" s="1048">
        <v>1924165.9188391753</v>
      </c>
      <c r="P95" s="1048">
        <v>999778.07055976056</v>
      </c>
      <c r="Q95" s="1048">
        <v>2653505.4796216656</v>
      </c>
      <c r="R95" s="1048">
        <v>2353010.2054911945</v>
      </c>
      <c r="S95" s="1048">
        <v>68386.753752136574</v>
      </c>
      <c r="T95" s="1048">
        <v>68386.753752136574</v>
      </c>
      <c r="U95" s="1048">
        <v>68386.753752136574</v>
      </c>
      <c r="V95" s="1048">
        <v>63098.753752136574</v>
      </c>
      <c r="W95" s="1048">
        <v>63098.753752136574</v>
      </c>
      <c r="X95" s="1048">
        <v>63098.753752136574</v>
      </c>
      <c r="Y95" s="1048">
        <v>63098.753752136574</v>
      </c>
      <c r="Z95" s="1048">
        <v>63098.753752136574</v>
      </c>
      <c r="AA95" s="1048">
        <v>68793.753752136574</v>
      </c>
      <c r="AB95" s="1048">
        <v>59438.753752136574</v>
      </c>
      <c r="AC95" s="1048">
        <v>59438.753752136574</v>
      </c>
      <c r="AD95" s="1048">
        <v>59438.753752136574</v>
      </c>
      <c r="AE95" s="1048">
        <v>59438.753752136574</v>
      </c>
      <c r="AF95" s="1048">
        <v>68793.753752136574</v>
      </c>
      <c r="AG95" s="1048">
        <v>60252.753752136574</v>
      </c>
      <c r="AH95" s="1048">
        <v>61066.753752136574</v>
      </c>
      <c r="AI95" s="1048">
        <v>62284.753752136574</v>
      </c>
      <c r="AJ95" s="1048">
        <v>59447.247996732927</v>
      </c>
    </row>
    <row r="96" spans="1:36" hidden="1">
      <c r="G96" s="1048"/>
      <c r="H96" s="1048"/>
      <c r="I96" s="1048"/>
      <c r="J96" s="1048"/>
      <c r="K96" s="1048"/>
      <c r="L96" s="1048"/>
      <c r="M96" s="1048"/>
      <c r="N96" s="1048"/>
      <c r="O96" s="1048"/>
      <c r="P96" s="1048"/>
      <c r="Q96" s="1048"/>
      <c r="R96" s="1048"/>
      <c r="S96" s="1048"/>
      <c r="T96" s="1048"/>
      <c r="U96" s="1048"/>
      <c r="V96" s="1048"/>
      <c r="W96" s="1048"/>
      <c r="X96" s="1048"/>
      <c r="Y96" s="1048"/>
      <c r="Z96" s="1048"/>
      <c r="AA96" s="1048"/>
      <c r="AB96" s="1048"/>
      <c r="AC96" s="1048"/>
      <c r="AD96" s="1048"/>
      <c r="AE96" s="1048"/>
      <c r="AF96" s="1048"/>
      <c r="AG96" s="1048"/>
      <c r="AH96" s="1048"/>
      <c r="AI96" s="1048"/>
      <c r="AJ96" s="1048"/>
    </row>
    <row r="97" spans="1:36" s="1049" customFormat="1">
      <c r="A97" s="1100"/>
      <c r="B97" s="1100"/>
      <c r="C97" s="1101"/>
      <c r="D97" s="1102"/>
      <c r="E97" s="1057" t="s">
        <v>26</v>
      </c>
      <c r="F97" s="1103">
        <v>3424241.3387894165</v>
      </c>
      <c r="G97" s="1048">
        <v>166207.52634893998</v>
      </c>
      <c r="H97" s="1048">
        <v>779407.29990741925</v>
      </c>
      <c r="I97" s="1048">
        <v>41523.572392049231</v>
      </c>
      <c r="J97" s="1048">
        <v>33653.575411269507</v>
      </c>
      <c r="K97" s="1048">
        <v>32939.575411269507</v>
      </c>
      <c r="L97" s="1048">
        <v>30705.408837250929</v>
      </c>
      <c r="M97" s="1048">
        <v>29689.408837250929</v>
      </c>
      <c r="N97" s="1048">
        <v>29689.408837250929</v>
      </c>
      <c r="O97" s="1048">
        <v>29689.408837250929</v>
      </c>
      <c r="P97" s="1048">
        <v>30297.408837250929</v>
      </c>
      <c r="Q97" s="1048">
        <v>20530.832870092909</v>
      </c>
      <c r="R97" s="1048">
        <v>20020.832870092909</v>
      </c>
      <c r="S97" s="1048">
        <v>20020.832870092909</v>
      </c>
      <c r="T97" s="1048">
        <v>20020.832870092909</v>
      </c>
      <c r="U97" s="1048">
        <v>20020.832870092909</v>
      </c>
      <c r="V97" s="1048">
        <v>18596.832870092909</v>
      </c>
      <c r="W97" s="1048">
        <v>18596.832870092909</v>
      </c>
      <c r="X97" s="1048">
        <v>18596.832870092909</v>
      </c>
      <c r="Y97" s="1048">
        <v>18596.832870092909</v>
      </c>
      <c r="Z97" s="1048">
        <v>18596.832870092909</v>
      </c>
      <c r="AA97" s="1048">
        <v>20122.832870092909</v>
      </c>
      <c r="AB97" s="1048">
        <v>17580.832870092909</v>
      </c>
      <c r="AC97" s="1048">
        <v>17580.832870092909</v>
      </c>
      <c r="AD97" s="1048">
        <v>17580.832870092909</v>
      </c>
      <c r="AE97" s="1048">
        <v>17580.832870092909</v>
      </c>
      <c r="AF97" s="1048">
        <v>20122.832870092909</v>
      </c>
      <c r="AG97" s="1048">
        <v>17784.832870092909</v>
      </c>
      <c r="AH97" s="1048">
        <v>17988.832870092909</v>
      </c>
      <c r="AI97" s="1048">
        <v>18392.832870092909</v>
      </c>
      <c r="AJ97" s="1048">
        <v>15544.832870092909</v>
      </c>
    </row>
    <row r="98" spans="1:36" s="1054" customFormat="1">
      <c r="A98" s="1104"/>
      <c r="B98" s="1104"/>
      <c r="C98" s="1105"/>
      <c r="D98" s="1106"/>
      <c r="E98" s="1061"/>
      <c r="F98" s="1107">
        <v>3165202.4287026967</v>
      </c>
      <c r="G98" s="1048">
        <v>408428.3754822117</v>
      </c>
      <c r="H98" s="1048">
        <v>329783.01199834509</v>
      </c>
      <c r="I98" s="1048">
        <v>226602.31678867346</v>
      </c>
      <c r="J98" s="1048">
        <v>1359859.3479073208</v>
      </c>
      <c r="K98" s="1048">
        <v>423362.0777800596</v>
      </c>
      <c r="L98" s="1048">
        <v>99278.617780059591</v>
      </c>
      <c r="M98" s="1048">
        <v>14581.887780059598</v>
      </c>
      <c r="N98" s="1048">
        <v>14581.887780059598</v>
      </c>
      <c r="O98" s="1048">
        <v>14581.887780059598</v>
      </c>
      <c r="P98" s="1048">
        <v>15189.887780059598</v>
      </c>
      <c r="Q98" s="1048">
        <v>14785.887780059598</v>
      </c>
      <c r="R98" s="1048">
        <v>14275.887780059598</v>
      </c>
      <c r="S98" s="1048">
        <v>14275.887780059598</v>
      </c>
      <c r="T98" s="1048">
        <v>14275.887780059598</v>
      </c>
      <c r="U98" s="1048">
        <v>14275.887780059598</v>
      </c>
      <c r="V98" s="1048">
        <v>12851.887780059598</v>
      </c>
      <c r="W98" s="1048">
        <v>12851.887780059598</v>
      </c>
      <c r="X98" s="1048">
        <v>12851.887780059598</v>
      </c>
      <c r="Y98" s="1048">
        <v>12851.887780059598</v>
      </c>
      <c r="Z98" s="1048">
        <v>12851.887780059598</v>
      </c>
      <c r="AA98" s="1048">
        <v>14377.887780059598</v>
      </c>
      <c r="AB98" s="1048">
        <v>11835.887780059598</v>
      </c>
      <c r="AC98" s="1048">
        <v>11835.887780059598</v>
      </c>
      <c r="AD98" s="1048">
        <v>11835.887780059598</v>
      </c>
      <c r="AE98" s="1048">
        <v>11835.887780059598</v>
      </c>
      <c r="AF98" s="1048">
        <v>14377.887780059598</v>
      </c>
      <c r="AG98" s="1048">
        <v>12039.887780059598</v>
      </c>
      <c r="AH98" s="1048">
        <v>12243.887780059598</v>
      </c>
      <c r="AI98" s="1048">
        <v>12647.887780059598</v>
      </c>
      <c r="AJ98" s="1048">
        <v>9773.2620246559418</v>
      </c>
    </row>
    <row r="99" spans="1:36" s="1049" customFormat="1">
      <c r="A99" s="1100"/>
      <c r="B99" s="1100"/>
      <c r="C99" s="1101"/>
      <c r="D99" s="1102"/>
      <c r="E99" s="1057" t="s">
        <v>88</v>
      </c>
      <c r="F99" s="1103">
        <v>16095669.330179021</v>
      </c>
      <c r="G99" s="1048">
        <v>816</v>
      </c>
      <c r="H99" s="1048">
        <v>118124</v>
      </c>
      <c r="I99" s="1048">
        <v>125880</v>
      </c>
      <c r="J99" s="1048">
        <v>6072356.7925725793</v>
      </c>
      <c r="K99" s="1048">
        <v>231126</v>
      </c>
      <c r="L99" s="1048">
        <v>661333</v>
      </c>
      <c r="M99" s="1048">
        <v>1228573.4517390579</v>
      </c>
      <c r="N99" s="1048">
        <v>1240949.4517390579</v>
      </c>
      <c r="O99" s="1048">
        <v>621635.45173905801</v>
      </c>
      <c r="P99" s="1048">
        <v>23388</v>
      </c>
      <c r="Q99" s="1048">
        <v>22574</v>
      </c>
      <c r="R99" s="1048">
        <v>21049</v>
      </c>
      <c r="S99" s="1048">
        <v>21049</v>
      </c>
      <c r="T99" s="1048">
        <v>21049</v>
      </c>
      <c r="U99" s="1048">
        <v>21049</v>
      </c>
      <c r="V99" s="1048">
        <v>17185</v>
      </c>
      <c r="W99" s="1048">
        <v>17185</v>
      </c>
      <c r="X99" s="1048">
        <v>17185</v>
      </c>
      <c r="Y99" s="1048">
        <v>17185</v>
      </c>
      <c r="Z99" s="1048">
        <v>17185</v>
      </c>
      <c r="AA99" s="1048">
        <v>21354</v>
      </c>
      <c r="AB99" s="1048">
        <v>14541</v>
      </c>
      <c r="AC99" s="1048">
        <v>14541</v>
      </c>
      <c r="AD99" s="1048">
        <v>14541</v>
      </c>
      <c r="AE99" s="1048">
        <v>14541</v>
      </c>
      <c r="AF99" s="1048">
        <v>21354</v>
      </c>
      <c r="AG99" s="1048">
        <v>15151</v>
      </c>
      <c r="AH99" s="1048">
        <v>15761</v>
      </c>
      <c r="AI99" s="1048">
        <v>16575</v>
      </c>
      <c r="AJ99" s="1048">
        <v>8847</v>
      </c>
    </row>
    <row r="100" spans="1:36" s="1054" customFormat="1">
      <c r="A100" s="1104"/>
      <c r="B100" s="1104"/>
      <c r="C100" s="1105"/>
      <c r="D100" s="1106"/>
      <c r="E100" s="1061"/>
      <c r="F100" s="1107">
        <v>16260693.530179018</v>
      </c>
      <c r="G100" s="1048">
        <v>37879.125589369905</v>
      </c>
      <c r="H100" s="1048">
        <v>571.94869673148537</v>
      </c>
      <c r="I100" s="1048">
        <v>9420.8028316306008</v>
      </c>
      <c r="J100" s="1048">
        <v>816</v>
      </c>
      <c r="K100" s="1048">
        <v>4753466.1814534497</v>
      </c>
      <c r="L100" s="1048">
        <v>595557.84756711626</v>
      </c>
      <c r="M100" s="1048">
        <v>1665461.7728142848</v>
      </c>
      <c r="N100" s="1048">
        <v>1144098.0717231876</v>
      </c>
      <c r="O100" s="1048">
        <v>1876522.1650870387</v>
      </c>
      <c r="P100" s="1048">
        <v>951526.31680762395</v>
      </c>
      <c r="Q100" s="1048">
        <v>2605657.7258695289</v>
      </c>
      <c r="R100" s="1048">
        <v>2305672.4517390579</v>
      </c>
      <c r="S100" s="1048">
        <v>21049</v>
      </c>
      <c r="T100" s="1048">
        <v>21049</v>
      </c>
      <c r="U100" s="1048">
        <v>21049</v>
      </c>
      <c r="V100" s="1048">
        <v>17185</v>
      </c>
      <c r="W100" s="1048">
        <v>17185</v>
      </c>
      <c r="X100" s="1048">
        <v>17185</v>
      </c>
      <c r="Y100" s="1048">
        <v>17185</v>
      </c>
      <c r="Z100" s="1048">
        <v>17185</v>
      </c>
      <c r="AA100" s="1048">
        <v>21354</v>
      </c>
      <c r="AB100" s="1048">
        <v>14541</v>
      </c>
      <c r="AC100" s="1048">
        <v>14541</v>
      </c>
      <c r="AD100" s="1048">
        <v>14541</v>
      </c>
      <c r="AE100" s="1048">
        <v>14541</v>
      </c>
      <c r="AF100" s="1048">
        <v>21354</v>
      </c>
      <c r="AG100" s="1048">
        <v>15151</v>
      </c>
      <c r="AH100" s="1048">
        <v>15761</v>
      </c>
      <c r="AI100" s="1048">
        <v>16575</v>
      </c>
      <c r="AJ100" s="1048">
        <v>16612.120000000003</v>
      </c>
    </row>
    <row r="101" spans="1:36" s="1049" customFormat="1">
      <c r="A101" s="1100"/>
      <c r="B101" s="1100"/>
      <c r="C101" s="1101"/>
      <c r="D101" s="1102"/>
      <c r="E101" s="1057" t="s">
        <v>171</v>
      </c>
      <c r="F101" s="1103">
        <v>1091223.70474638</v>
      </c>
      <c r="G101" s="1048">
        <v>103861.73364609001</v>
      </c>
      <c r="H101" s="1048">
        <v>110919.47531407463</v>
      </c>
      <c r="I101" s="1048">
        <v>90097.25500327388</v>
      </c>
      <c r="J101" s="1048">
        <v>90097.25500327388</v>
      </c>
      <c r="K101" s="1048">
        <v>30650.551400054428</v>
      </c>
      <c r="L101" s="1048">
        <v>30650.551400054428</v>
      </c>
      <c r="M101" s="1048">
        <v>26054.346923076922</v>
      </c>
      <c r="N101" s="1048">
        <v>26054.346923076922</v>
      </c>
      <c r="O101" s="1048">
        <v>26054.346923076922</v>
      </c>
      <c r="P101" s="1048">
        <v>26054.346923076922</v>
      </c>
      <c r="Q101" s="1048">
        <v>26054.346923076922</v>
      </c>
      <c r="R101" s="1048">
        <v>26054.346923076922</v>
      </c>
      <c r="S101" s="1048">
        <v>26054.346923076922</v>
      </c>
      <c r="T101" s="1048">
        <v>26054.346923076922</v>
      </c>
      <c r="U101" s="1048">
        <v>26054.346923076922</v>
      </c>
      <c r="V101" s="1048">
        <v>26054.346923076922</v>
      </c>
      <c r="W101" s="1048">
        <v>26054.346923076922</v>
      </c>
      <c r="X101" s="1048">
        <v>26054.346923076922</v>
      </c>
      <c r="Y101" s="1048">
        <v>26054.346923076922</v>
      </c>
      <c r="Z101" s="1048">
        <v>26054.346923076922</v>
      </c>
      <c r="AA101" s="1048">
        <v>26054.346923076922</v>
      </c>
      <c r="AB101" s="1048">
        <v>26054.346923076922</v>
      </c>
      <c r="AC101" s="1048">
        <v>26054.346923076922</v>
      </c>
      <c r="AD101" s="1048">
        <v>26054.346923076922</v>
      </c>
      <c r="AE101" s="1048">
        <v>26054.346923076922</v>
      </c>
      <c r="AF101" s="1048">
        <v>26054.346923076922</v>
      </c>
      <c r="AG101" s="1048">
        <v>26054.346923076922</v>
      </c>
      <c r="AH101" s="1048">
        <v>26054.346923076922</v>
      </c>
      <c r="AI101" s="1048">
        <v>26054.346923076922</v>
      </c>
      <c r="AJ101" s="1048">
        <v>26054.346923076922</v>
      </c>
    </row>
    <row r="102" spans="1:36" s="1054" customFormat="1">
      <c r="A102" s="1104"/>
      <c r="B102" s="1104"/>
      <c r="C102" s="1105"/>
      <c r="D102" s="1106"/>
      <c r="E102" s="1061"/>
      <c r="F102" s="1107">
        <v>1091223.70474638</v>
      </c>
      <c r="G102" s="1048">
        <v>116954.72850141811</v>
      </c>
      <c r="H102" s="1048">
        <v>15284.203558129915</v>
      </c>
      <c r="I102" s="1048">
        <v>66314.391440752952</v>
      </c>
      <c r="J102" s="1048">
        <v>33061.865972076979</v>
      </c>
      <c r="K102" s="1048">
        <v>33061.865972076979</v>
      </c>
      <c r="L102" s="1048">
        <v>33061.865972076979</v>
      </c>
      <c r="M102" s="1048">
        <v>33061.865972076979</v>
      </c>
      <c r="N102" s="1048">
        <v>33061.865972076979</v>
      </c>
      <c r="O102" s="1048">
        <v>33061.865972076979</v>
      </c>
      <c r="P102" s="1048">
        <v>33061.865972076979</v>
      </c>
      <c r="Q102" s="1048">
        <v>33061.865972076979</v>
      </c>
      <c r="R102" s="1048">
        <v>33061.865972076979</v>
      </c>
      <c r="S102" s="1048">
        <v>33061.865972076979</v>
      </c>
      <c r="T102" s="1048">
        <v>33061.865972076979</v>
      </c>
      <c r="U102" s="1048">
        <v>33061.865972076979</v>
      </c>
      <c r="V102" s="1048">
        <v>33061.865972076979</v>
      </c>
      <c r="W102" s="1048">
        <v>33061.865972076979</v>
      </c>
      <c r="X102" s="1048">
        <v>33061.865972076979</v>
      </c>
      <c r="Y102" s="1048">
        <v>33061.865972076979</v>
      </c>
      <c r="Z102" s="1048">
        <v>33061.865972076979</v>
      </c>
      <c r="AA102" s="1048">
        <v>33061.865972076979</v>
      </c>
      <c r="AB102" s="1048">
        <v>33061.865972076979</v>
      </c>
      <c r="AC102" s="1048">
        <v>33061.865972076979</v>
      </c>
      <c r="AD102" s="1048">
        <v>33061.865972076979</v>
      </c>
      <c r="AE102" s="1048">
        <v>33061.865972076979</v>
      </c>
      <c r="AF102" s="1048">
        <v>33061.865972076979</v>
      </c>
      <c r="AG102" s="1048">
        <v>33061.865972076979</v>
      </c>
      <c r="AH102" s="1048">
        <v>33061.865972076979</v>
      </c>
      <c r="AI102" s="1048">
        <v>33061.865972076979</v>
      </c>
      <c r="AJ102" s="1048">
        <v>33061.865972076979</v>
      </c>
    </row>
    <row r="103" spans="1:36" s="1049" customFormat="1">
      <c r="A103" s="1100"/>
      <c r="B103" s="1100"/>
      <c r="C103" s="1101"/>
      <c r="D103" s="1102"/>
      <c r="E103" s="1057" t="s">
        <v>166</v>
      </c>
      <c r="F103" s="1103">
        <v>20611134.37371482</v>
      </c>
      <c r="G103" s="1048">
        <v>270885.25999503001</v>
      </c>
      <c r="H103" s="1048">
        <v>1008450.7752214939</v>
      </c>
      <c r="I103" s="1048">
        <v>257500.82739532314</v>
      </c>
      <c r="J103" s="1048">
        <v>6196107.6229871223</v>
      </c>
      <c r="K103" s="1048">
        <v>294716.12681132392</v>
      </c>
      <c r="L103" s="1048">
        <v>722688.96023730538</v>
      </c>
      <c r="M103" s="1048">
        <v>1284317.2074993858</v>
      </c>
      <c r="N103" s="1048">
        <v>1296693.2074993858</v>
      </c>
      <c r="O103" s="1048">
        <v>677379.20749938581</v>
      </c>
      <c r="P103" s="1048">
        <v>79739.755760327855</v>
      </c>
      <c r="Q103" s="1048">
        <v>69159.179793169838</v>
      </c>
      <c r="R103" s="1048">
        <v>67124.179793169838</v>
      </c>
      <c r="S103" s="1048">
        <v>67124.179793169838</v>
      </c>
      <c r="T103" s="1048">
        <v>67124.179793169838</v>
      </c>
      <c r="U103" s="1048">
        <v>67124.179793169838</v>
      </c>
      <c r="V103" s="1048">
        <v>61836.179793169838</v>
      </c>
      <c r="W103" s="1048">
        <v>61836.179793169838</v>
      </c>
      <c r="X103" s="1048">
        <v>61836.179793169838</v>
      </c>
      <c r="Y103" s="1048">
        <v>61836.179793169838</v>
      </c>
      <c r="Z103" s="1048">
        <v>61836.179793169838</v>
      </c>
      <c r="AA103" s="1048">
        <v>67531.179793169838</v>
      </c>
      <c r="AB103" s="1048">
        <v>58176.179793169831</v>
      </c>
      <c r="AC103" s="1048">
        <v>58176.179793169831</v>
      </c>
      <c r="AD103" s="1048">
        <v>58176.179793169831</v>
      </c>
      <c r="AE103" s="1048">
        <v>58176.179793169831</v>
      </c>
      <c r="AF103" s="1048">
        <v>67531.179793169838</v>
      </c>
      <c r="AG103" s="1048">
        <v>58990.179793169838</v>
      </c>
      <c r="AH103" s="1048">
        <v>59804.179793169838</v>
      </c>
      <c r="AI103" s="1048">
        <v>61022.179793169838</v>
      </c>
      <c r="AJ103" s="1048">
        <v>50446.179793169831</v>
      </c>
    </row>
    <row r="104" spans="1:36" s="1054" customFormat="1">
      <c r="A104" s="1104"/>
      <c r="B104" s="1104"/>
      <c r="C104" s="1105"/>
      <c r="D104" s="1106"/>
      <c r="E104" s="1051"/>
      <c r="F104" s="1107">
        <v>20517119.663628064</v>
      </c>
      <c r="G104" s="1048">
        <v>563262.22957299976</v>
      </c>
      <c r="H104" s="1048">
        <v>345639.16425320646</v>
      </c>
      <c r="I104" s="1048">
        <v>302337.51106105698</v>
      </c>
      <c r="J104" s="1048">
        <v>1393737.2138793978</v>
      </c>
      <c r="K104" s="1048">
        <v>5209890.1252055857</v>
      </c>
      <c r="L104" s="1048">
        <v>727898.33131925284</v>
      </c>
      <c r="M104" s="1048">
        <v>1713105.5265664214</v>
      </c>
      <c r="N104" s="1048">
        <v>1191741.8254753242</v>
      </c>
      <c r="O104" s="1048">
        <v>1924165.9188391753</v>
      </c>
      <c r="P104" s="1048">
        <v>999778.07055976056</v>
      </c>
      <c r="Q104" s="1048">
        <v>2653505.4796216656</v>
      </c>
      <c r="R104" s="1048">
        <v>2353010.2054911945</v>
      </c>
      <c r="S104" s="1048">
        <v>68386.753752136574</v>
      </c>
      <c r="T104" s="1048">
        <v>68386.753752136574</v>
      </c>
      <c r="U104" s="1048">
        <v>68386.753752136574</v>
      </c>
      <c r="V104" s="1048">
        <v>63098.753752136574</v>
      </c>
      <c r="W104" s="1048">
        <v>63098.753752136574</v>
      </c>
      <c r="X104" s="1048">
        <v>63098.753752136574</v>
      </c>
      <c r="Y104" s="1048">
        <v>63098.753752136574</v>
      </c>
      <c r="Z104" s="1048">
        <v>63098.753752136574</v>
      </c>
      <c r="AA104" s="1048">
        <v>68793.753752136574</v>
      </c>
      <c r="AB104" s="1048">
        <v>59438.753752136574</v>
      </c>
      <c r="AC104" s="1048">
        <v>59438.753752136574</v>
      </c>
      <c r="AD104" s="1048">
        <v>59438.753752136574</v>
      </c>
      <c r="AE104" s="1048">
        <v>59438.753752136574</v>
      </c>
      <c r="AF104" s="1048">
        <v>68793.753752136574</v>
      </c>
      <c r="AG104" s="1048">
        <v>60252.753752136574</v>
      </c>
      <c r="AH104" s="1048">
        <v>61066.753752136574</v>
      </c>
      <c r="AI104" s="1048">
        <v>62284.753752136574</v>
      </c>
      <c r="AJ104" s="1048">
        <v>59447.247996732927</v>
      </c>
    </row>
    <row r="105" spans="1:36">
      <c r="F105" s="1170">
        <f>F103-F104</f>
        <v>94014.710086755455</v>
      </c>
    </row>
    <row r="106" spans="1:36">
      <c r="B106" s="1148" t="s">
        <v>588</v>
      </c>
    </row>
    <row r="107" spans="1:36" ht="15">
      <c r="F107" s="1149">
        <v>13333345.710000001</v>
      </c>
      <c r="G107">
        <f>F104/F107</f>
        <v>1.538782546397206</v>
      </c>
    </row>
    <row r="108" spans="1:36" ht="13.5" thickBot="1"/>
    <row r="109" spans="1:36" ht="15.75" thickBot="1">
      <c r="B109" s="1171">
        <v>3971</v>
      </c>
      <c r="F109" s="1150">
        <f>F104-F107</f>
        <v>7183773.9536280632</v>
      </c>
    </row>
    <row r="110" spans="1:36" ht="15.75" thickBot="1">
      <c r="B110" s="1172">
        <v>520.82000000000005</v>
      </c>
    </row>
    <row r="111" spans="1:36" ht="15.75" thickBot="1">
      <c r="B111" s="1173">
        <v>142</v>
      </c>
    </row>
    <row r="112" spans="1:36" ht="15.75" thickBot="1">
      <c r="B112" s="1174">
        <v>1619</v>
      </c>
    </row>
    <row r="113" spans="2:4" ht="15.75" thickBot="1">
      <c r="B113" s="1175">
        <v>7334</v>
      </c>
      <c r="D113" s="1177">
        <v>24904955.52</v>
      </c>
    </row>
    <row r="114" spans="2:4" ht="15.75" thickBot="1">
      <c r="B114" s="1174">
        <v>3729</v>
      </c>
      <c r="D114" s="1178">
        <v>12074899.16</v>
      </c>
    </row>
    <row r="115" spans="2:4" ht="15.75" thickBot="1">
      <c r="B115" s="1175">
        <v>1524</v>
      </c>
      <c r="D115" s="1179">
        <v>20611134.370000001</v>
      </c>
    </row>
    <row r="116" spans="2:4" ht="15.75" thickBot="1">
      <c r="B116" s="1176">
        <v>654</v>
      </c>
    </row>
    <row r="117" spans="2:4" ht="15.75" thickBot="1">
      <c r="B117" s="1176">
        <f>SUM(B109:B116)</f>
        <v>19493.82</v>
      </c>
    </row>
    <row r="120" spans="2:4" ht="13.5" thickBot="1"/>
    <row r="121" spans="2:4" ht="15.75" thickBot="1">
      <c r="B121" s="1177">
        <v>22974264.289999999</v>
      </c>
    </row>
    <row r="122" spans="2:4" ht="15.75" thickBot="1">
      <c r="B122" s="1178">
        <v>9622284</v>
      </c>
    </row>
    <row r="123" spans="2:4" ht="15.75" thickBot="1">
      <c r="B123" s="1179">
        <v>20517119.66</v>
      </c>
    </row>
    <row r="124" spans="2:4" ht="15.75" thickBot="1">
      <c r="B124" s="1178">
        <v>4372356.78</v>
      </c>
    </row>
    <row r="125" spans="2:4" ht="15.75" thickBot="1">
      <c r="B125" s="1178">
        <f>SUM(B121:B124)</f>
        <v>57486024.730000004</v>
      </c>
    </row>
  </sheetData>
  <mergeCells count="103">
    <mergeCell ref="D8:D9"/>
    <mergeCell ref="B10:B11"/>
    <mergeCell ref="C10:C11"/>
    <mergeCell ref="D10:D11"/>
    <mergeCell ref="B12:B13"/>
    <mergeCell ref="C12:C13"/>
    <mergeCell ref="D12:D13"/>
    <mergeCell ref="C8:C9"/>
    <mergeCell ref="A4:A5"/>
    <mergeCell ref="B4:B5"/>
    <mergeCell ref="A6:A7"/>
    <mergeCell ref="B6:B7"/>
    <mergeCell ref="B8:B9"/>
    <mergeCell ref="B18:B19"/>
    <mergeCell ref="C18:C19"/>
    <mergeCell ref="D18:D19"/>
    <mergeCell ref="B20:B21"/>
    <mergeCell ref="C20:C21"/>
    <mergeCell ref="D20:D21"/>
    <mergeCell ref="B14:B15"/>
    <mergeCell ref="C14:C15"/>
    <mergeCell ref="D14:D15"/>
    <mergeCell ref="B16:B17"/>
    <mergeCell ref="C16:C17"/>
    <mergeCell ref="D16:D17"/>
    <mergeCell ref="D30:D31"/>
    <mergeCell ref="B32:B33"/>
    <mergeCell ref="C32:C33"/>
    <mergeCell ref="D32:D33"/>
    <mergeCell ref="A35:A36"/>
    <mergeCell ref="B35:B36"/>
    <mergeCell ref="C30:C31"/>
    <mergeCell ref="A23:A24"/>
    <mergeCell ref="B23:B24"/>
    <mergeCell ref="A28:A29"/>
    <mergeCell ref="B28:B29"/>
    <mergeCell ref="B30:B31"/>
    <mergeCell ref="B41:B42"/>
    <mergeCell ref="C41:C42"/>
    <mergeCell ref="D41:D42"/>
    <mergeCell ref="B44:B45"/>
    <mergeCell ref="A46:A47"/>
    <mergeCell ref="B46:B47"/>
    <mergeCell ref="B37:B38"/>
    <mergeCell ref="C37:C38"/>
    <mergeCell ref="D37:D38"/>
    <mergeCell ref="B39:B40"/>
    <mergeCell ref="C39:C40"/>
    <mergeCell ref="D39:D40"/>
    <mergeCell ref="B48:B49"/>
    <mergeCell ref="C48:C49"/>
    <mergeCell ref="D48:D49"/>
    <mergeCell ref="B50:B51"/>
    <mergeCell ref="D50:D51"/>
    <mergeCell ref="B52:B53"/>
    <mergeCell ref="C52:C53"/>
    <mergeCell ref="D52:D53"/>
    <mergeCell ref="B65:B66"/>
    <mergeCell ref="B54:B55"/>
    <mergeCell ref="C54:C55"/>
    <mergeCell ref="D54:D55"/>
    <mergeCell ref="B56:B57"/>
    <mergeCell ref="C56:C57"/>
    <mergeCell ref="D56:D57"/>
    <mergeCell ref="B58:B59"/>
    <mergeCell ref="C58:C59"/>
    <mergeCell ref="D58:D59"/>
    <mergeCell ref="C67:C68"/>
    <mergeCell ref="D67:D68"/>
    <mergeCell ref="C69:C70"/>
    <mergeCell ref="D69:D70"/>
    <mergeCell ref="B67:B68"/>
    <mergeCell ref="B69:B70"/>
    <mergeCell ref="A61:A62"/>
    <mergeCell ref="B61:B62"/>
    <mergeCell ref="B63:B64"/>
    <mergeCell ref="C63:C64"/>
    <mergeCell ref="D63:D64"/>
    <mergeCell ref="C65:C66"/>
    <mergeCell ref="D65:D66"/>
    <mergeCell ref="A91:A92"/>
    <mergeCell ref="B91:B92"/>
    <mergeCell ref="A94:A95"/>
    <mergeCell ref="B94:B95"/>
    <mergeCell ref="D80:D81"/>
    <mergeCell ref="B82:B83"/>
    <mergeCell ref="D82:D83"/>
    <mergeCell ref="A85:A86"/>
    <mergeCell ref="B85:B86"/>
    <mergeCell ref="A88:A89"/>
    <mergeCell ref="B88:B89"/>
    <mergeCell ref="C80:C81"/>
    <mergeCell ref="A76:A77"/>
    <mergeCell ref="B76:B77"/>
    <mergeCell ref="A78:A79"/>
    <mergeCell ref="B78:B79"/>
    <mergeCell ref="B80:B81"/>
    <mergeCell ref="C71:C72"/>
    <mergeCell ref="D71:D72"/>
    <mergeCell ref="C73:C74"/>
    <mergeCell ref="D73:D74"/>
    <mergeCell ref="B71:B72"/>
    <mergeCell ref="B73:B74"/>
  </mergeCells>
  <conditionalFormatting sqref="G2:P3 Q3:AJ3">
    <cfRule type="cellIs" dxfId="4" priority="1" stopIfTrue="1" operator="equal">
      <formula>"N"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</sheetPr>
  <dimension ref="A1:CI76"/>
  <sheetViews>
    <sheetView showGridLines="0" topLeftCell="A11" zoomScale="80" zoomScaleNormal="80" workbookViewId="0">
      <selection activeCell="R27" sqref="R27"/>
    </sheetView>
  </sheetViews>
  <sheetFormatPr defaultRowHeight="12.75"/>
  <cols>
    <col min="1" max="1" width="2.7109375" style="203" customWidth="1"/>
    <col min="2" max="2" width="5.140625" style="172" customWidth="1"/>
    <col min="3" max="3" width="53.85546875" style="172" customWidth="1"/>
    <col min="4" max="4" width="10.5703125" style="201" customWidth="1"/>
    <col min="5" max="5" width="9.140625" style="777" customWidth="1"/>
    <col min="6" max="6" width="16.5703125" style="172" customWidth="1"/>
    <col min="7" max="7" width="19.85546875" style="172" bestFit="1" customWidth="1"/>
    <col min="8" max="8" width="1.5703125" style="172" customWidth="1"/>
    <col min="9" max="9" width="16.7109375" style="171" customWidth="1"/>
    <col min="10" max="10" width="16.85546875" style="171" customWidth="1"/>
    <col min="11" max="11" width="18.28515625" style="171" customWidth="1"/>
    <col min="12" max="12" width="18.42578125" style="171" bestFit="1" customWidth="1"/>
    <col min="13" max="13" width="16" style="171" customWidth="1"/>
    <col min="14" max="14" width="14.140625" style="171" customWidth="1"/>
    <col min="15" max="15" width="17.42578125" style="171" bestFit="1" customWidth="1"/>
    <col min="16" max="16" width="14.140625" style="171" customWidth="1"/>
    <col min="17" max="17" width="17.28515625" style="171" bestFit="1" customWidth="1"/>
    <col min="18" max="18" width="17" style="171" customWidth="1"/>
    <col min="19" max="19" width="14.140625" style="171" customWidth="1"/>
    <col min="20" max="20" width="16.42578125" style="171" customWidth="1"/>
    <col min="21" max="38" width="14.140625" style="171" customWidth="1"/>
    <col min="39" max="39" width="2.7109375" style="172" customWidth="1"/>
    <col min="40" max="40" width="18.5703125" style="486" bestFit="1" customWidth="1"/>
    <col min="41" max="87" width="9.140625" style="172"/>
    <col min="88" max="256" width="9.140625" style="157"/>
    <col min="257" max="257" width="9.140625" style="157" customWidth="1"/>
    <col min="258" max="258" width="8" style="157" customWidth="1"/>
    <col min="259" max="259" width="34" style="157" customWidth="1"/>
    <col min="260" max="260" width="10.5703125" style="157" customWidth="1"/>
    <col min="261" max="261" width="9.140625" style="157"/>
    <col min="262" max="263" width="12.42578125" style="157" customWidth="1"/>
    <col min="264" max="264" width="1.42578125" style="157" customWidth="1"/>
    <col min="265" max="265" width="12" style="157" customWidth="1"/>
    <col min="266" max="266" width="12.42578125" style="157" customWidth="1"/>
    <col min="267" max="267" width="12.28515625" style="157" customWidth="1"/>
    <col min="268" max="293" width="9.140625" style="157" customWidth="1"/>
    <col min="294" max="294" width="13.28515625" style="157" customWidth="1"/>
    <col min="295" max="512" width="9.140625" style="157"/>
    <col min="513" max="513" width="9.140625" style="157" customWidth="1"/>
    <col min="514" max="514" width="8" style="157" customWidth="1"/>
    <col min="515" max="515" width="34" style="157" customWidth="1"/>
    <col min="516" max="516" width="10.5703125" style="157" customWidth="1"/>
    <col min="517" max="517" width="9.140625" style="157"/>
    <col min="518" max="519" width="12.42578125" style="157" customWidth="1"/>
    <col min="520" max="520" width="1.42578125" style="157" customWidth="1"/>
    <col min="521" max="521" width="12" style="157" customWidth="1"/>
    <col min="522" max="522" width="12.42578125" style="157" customWidth="1"/>
    <col min="523" max="523" width="12.28515625" style="157" customWidth="1"/>
    <col min="524" max="549" width="9.140625" style="157" customWidth="1"/>
    <col min="550" max="550" width="13.28515625" style="157" customWidth="1"/>
    <col min="551" max="768" width="9.140625" style="157"/>
    <col min="769" max="769" width="9.140625" style="157" customWidth="1"/>
    <col min="770" max="770" width="8" style="157" customWidth="1"/>
    <col min="771" max="771" width="34" style="157" customWidth="1"/>
    <col min="772" max="772" width="10.5703125" style="157" customWidth="1"/>
    <col min="773" max="773" width="9.140625" style="157"/>
    <col min="774" max="775" width="12.42578125" style="157" customWidth="1"/>
    <col min="776" max="776" width="1.42578125" style="157" customWidth="1"/>
    <col min="777" max="777" width="12" style="157" customWidth="1"/>
    <col min="778" max="778" width="12.42578125" style="157" customWidth="1"/>
    <col min="779" max="779" width="12.28515625" style="157" customWidth="1"/>
    <col min="780" max="805" width="9.140625" style="157" customWidth="1"/>
    <col min="806" max="806" width="13.28515625" style="157" customWidth="1"/>
    <col min="807" max="1024" width="9.140625" style="157"/>
    <col min="1025" max="1025" width="9.140625" style="157" customWidth="1"/>
    <col min="1026" max="1026" width="8" style="157" customWidth="1"/>
    <col min="1027" max="1027" width="34" style="157" customWidth="1"/>
    <col min="1028" max="1028" width="10.5703125" style="157" customWidth="1"/>
    <col min="1029" max="1029" width="9.140625" style="157"/>
    <col min="1030" max="1031" width="12.42578125" style="157" customWidth="1"/>
    <col min="1032" max="1032" width="1.42578125" style="157" customWidth="1"/>
    <col min="1033" max="1033" width="12" style="157" customWidth="1"/>
    <col min="1034" max="1034" width="12.42578125" style="157" customWidth="1"/>
    <col min="1035" max="1035" width="12.28515625" style="157" customWidth="1"/>
    <col min="1036" max="1061" width="9.140625" style="157" customWidth="1"/>
    <col min="1062" max="1062" width="13.28515625" style="157" customWidth="1"/>
    <col min="1063" max="1280" width="9.140625" style="157"/>
    <col min="1281" max="1281" width="9.140625" style="157" customWidth="1"/>
    <col min="1282" max="1282" width="8" style="157" customWidth="1"/>
    <col min="1283" max="1283" width="34" style="157" customWidth="1"/>
    <col min="1284" max="1284" width="10.5703125" style="157" customWidth="1"/>
    <col min="1285" max="1285" width="9.140625" style="157"/>
    <col min="1286" max="1287" width="12.42578125" style="157" customWidth="1"/>
    <col min="1288" max="1288" width="1.42578125" style="157" customWidth="1"/>
    <col min="1289" max="1289" width="12" style="157" customWidth="1"/>
    <col min="1290" max="1290" width="12.42578125" style="157" customWidth="1"/>
    <col min="1291" max="1291" width="12.28515625" style="157" customWidth="1"/>
    <col min="1292" max="1317" width="9.140625" style="157" customWidth="1"/>
    <col min="1318" max="1318" width="13.28515625" style="157" customWidth="1"/>
    <col min="1319" max="1536" width="9.140625" style="157"/>
    <col min="1537" max="1537" width="9.140625" style="157" customWidth="1"/>
    <col min="1538" max="1538" width="8" style="157" customWidth="1"/>
    <col min="1539" max="1539" width="34" style="157" customWidth="1"/>
    <col min="1540" max="1540" width="10.5703125" style="157" customWidth="1"/>
    <col min="1541" max="1541" width="9.140625" style="157"/>
    <col min="1542" max="1543" width="12.42578125" style="157" customWidth="1"/>
    <col min="1544" max="1544" width="1.42578125" style="157" customWidth="1"/>
    <col min="1545" max="1545" width="12" style="157" customWidth="1"/>
    <col min="1546" max="1546" width="12.42578125" style="157" customWidth="1"/>
    <col min="1547" max="1547" width="12.28515625" style="157" customWidth="1"/>
    <col min="1548" max="1573" width="9.140625" style="157" customWidth="1"/>
    <col min="1574" max="1574" width="13.28515625" style="157" customWidth="1"/>
    <col min="1575" max="1792" width="9.140625" style="157"/>
    <col min="1793" max="1793" width="9.140625" style="157" customWidth="1"/>
    <col min="1794" max="1794" width="8" style="157" customWidth="1"/>
    <col min="1795" max="1795" width="34" style="157" customWidth="1"/>
    <col min="1796" max="1796" width="10.5703125" style="157" customWidth="1"/>
    <col min="1797" max="1797" width="9.140625" style="157"/>
    <col min="1798" max="1799" width="12.42578125" style="157" customWidth="1"/>
    <col min="1800" max="1800" width="1.42578125" style="157" customWidth="1"/>
    <col min="1801" max="1801" width="12" style="157" customWidth="1"/>
    <col min="1802" max="1802" width="12.42578125" style="157" customWidth="1"/>
    <col min="1803" max="1803" width="12.28515625" style="157" customWidth="1"/>
    <col min="1804" max="1829" width="9.140625" style="157" customWidth="1"/>
    <col min="1830" max="1830" width="13.28515625" style="157" customWidth="1"/>
    <col min="1831" max="2048" width="9.140625" style="157"/>
    <col min="2049" max="2049" width="9.140625" style="157" customWidth="1"/>
    <col min="2050" max="2050" width="8" style="157" customWidth="1"/>
    <col min="2051" max="2051" width="34" style="157" customWidth="1"/>
    <col min="2052" max="2052" width="10.5703125" style="157" customWidth="1"/>
    <col min="2053" max="2053" width="9.140625" style="157"/>
    <col min="2054" max="2055" width="12.42578125" style="157" customWidth="1"/>
    <col min="2056" max="2056" width="1.42578125" style="157" customWidth="1"/>
    <col min="2057" max="2057" width="12" style="157" customWidth="1"/>
    <col min="2058" max="2058" width="12.42578125" style="157" customWidth="1"/>
    <col min="2059" max="2059" width="12.28515625" style="157" customWidth="1"/>
    <col min="2060" max="2085" width="9.140625" style="157" customWidth="1"/>
    <col min="2086" max="2086" width="13.28515625" style="157" customWidth="1"/>
    <col min="2087" max="2304" width="9.140625" style="157"/>
    <col min="2305" max="2305" width="9.140625" style="157" customWidth="1"/>
    <col min="2306" max="2306" width="8" style="157" customWidth="1"/>
    <col min="2307" max="2307" width="34" style="157" customWidth="1"/>
    <col min="2308" max="2308" width="10.5703125" style="157" customWidth="1"/>
    <col min="2309" max="2309" width="9.140625" style="157"/>
    <col min="2310" max="2311" width="12.42578125" style="157" customWidth="1"/>
    <col min="2312" max="2312" width="1.42578125" style="157" customWidth="1"/>
    <col min="2313" max="2313" width="12" style="157" customWidth="1"/>
    <col min="2314" max="2314" width="12.42578125" style="157" customWidth="1"/>
    <col min="2315" max="2315" width="12.28515625" style="157" customWidth="1"/>
    <col min="2316" max="2341" width="9.140625" style="157" customWidth="1"/>
    <col min="2342" max="2342" width="13.28515625" style="157" customWidth="1"/>
    <col min="2343" max="2560" width="9.140625" style="157"/>
    <col min="2561" max="2561" width="9.140625" style="157" customWidth="1"/>
    <col min="2562" max="2562" width="8" style="157" customWidth="1"/>
    <col min="2563" max="2563" width="34" style="157" customWidth="1"/>
    <col min="2564" max="2564" width="10.5703125" style="157" customWidth="1"/>
    <col min="2565" max="2565" width="9.140625" style="157"/>
    <col min="2566" max="2567" width="12.42578125" style="157" customWidth="1"/>
    <col min="2568" max="2568" width="1.42578125" style="157" customWidth="1"/>
    <col min="2569" max="2569" width="12" style="157" customWidth="1"/>
    <col min="2570" max="2570" width="12.42578125" style="157" customWidth="1"/>
    <col min="2571" max="2571" width="12.28515625" style="157" customWidth="1"/>
    <col min="2572" max="2597" width="9.140625" style="157" customWidth="1"/>
    <col min="2598" max="2598" width="13.28515625" style="157" customWidth="1"/>
    <col min="2599" max="2816" width="9.140625" style="157"/>
    <col min="2817" max="2817" width="9.140625" style="157" customWidth="1"/>
    <col min="2818" max="2818" width="8" style="157" customWidth="1"/>
    <col min="2819" max="2819" width="34" style="157" customWidth="1"/>
    <col min="2820" max="2820" width="10.5703125" style="157" customWidth="1"/>
    <col min="2821" max="2821" width="9.140625" style="157"/>
    <col min="2822" max="2823" width="12.42578125" style="157" customWidth="1"/>
    <col min="2824" max="2824" width="1.42578125" style="157" customWidth="1"/>
    <col min="2825" max="2825" width="12" style="157" customWidth="1"/>
    <col min="2826" max="2826" width="12.42578125" style="157" customWidth="1"/>
    <col min="2827" max="2827" width="12.28515625" style="157" customWidth="1"/>
    <col min="2828" max="2853" width="9.140625" style="157" customWidth="1"/>
    <col min="2854" max="2854" width="13.28515625" style="157" customWidth="1"/>
    <col min="2855" max="3072" width="9.140625" style="157"/>
    <col min="3073" max="3073" width="9.140625" style="157" customWidth="1"/>
    <col min="3074" max="3074" width="8" style="157" customWidth="1"/>
    <col min="3075" max="3075" width="34" style="157" customWidth="1"/>
    <col min="3076" max="3076" width="10.5703125" style="157" customWidth="1"/>
    <col min="3077" max="3077" width="9.140625" style="157"/>
    <col min="3078" max="3079" width="12.42578125" style="157" customWidth="1"/>
    <col min="3080" max="3080" width="1.42578125" style="157" customWidth="1"/>
    <col min="3081" max="3081" width="12" style="157" customWidth="1"/>
    <col min="3082" max="3082" width="12.42578125" style="157" customWidth="1"/>
    <col min="3083" max="3083" width="12.28515625" style="157" customWidth="1"/>
    <col min="3084" max="3109" width="9.140625" style="157" customWidth="1"/>
    <col min="3110" max="3110" width="13.28515625" style="157" customWidth="1"/>
    <col min="3111" max="3328" width="9.140625" style="157"/>
    <col min="3329" max="3329" width="9.140625" style="157" customWidth="1"/>
    <col min="3330" max="3330" width="8" style="157" customWidth="1"/>
    <col min="3331" max="3331" width="34" style="157" customWidth="1"/>
    <col min="3332" max="3332" width="10.5703125" style="157" customWidth="1"/>
    <col min="3333" max="3333" width="9.140625" style="157"/>
    <col min="3334" max="3335" width="12.42578125" style="157" customWidth="1"/>
    <col min="3336" max="3336" width="1.42578125" style="157" customWidth="1"/>
    <col min="3337" max="3337" width="12" style="157" customWidth="1"/>
    <col min="3338" max="3338" width="12.42578125" style="157" customWidth="1"/>
    <col min="3339" max="3339" width="12.28515625" style="157" customWidth="1"/>
    <col min="3340" max="3365" width="9.140625" style="157" customWidth="1"/>
    <col min="3366" max="3366" width="13.28515625" style="157" customWidth="1"/>
    <col min="3367" max="3584" width="9.140625" style="157"/>
    <col min="3585" max="3585" width="9.140625" style="157" customWidth="1"/>
    <col min="3586" max="3586" width="8" style="157" customWidth="1"/>
    <col min="3587" max="3587" width="34" style="157" customWidth="1"/>
    <col min="3588" max="3588" width="10.5703125" style="157" customWidth="1"/>
    <col min="3589" max="3589" width="9.140625" style="157"/>
    <col min="3590" max="3591" width="12.42578125" style="157" customWidth="1"/>
    <col min="3592" max="3592" width="1.42578125" style="157" customWidth="1"/>
    <col min="3593" max="3593" width="12" style="157" customWidth="1"/>
    <col min="3594" max="3594" width="12.42578125" style="157" customWidth="1"/>
    <col min="3595" max="3595" width="12.28515625" style="157" customWidth="1"/>
    <col min="3596" max="3621" width="9.140625" style="157" customWidth="1"/>
    <col min="3622" max="3622" width="13.28515625" style="157" customWidth="1"/>
    <col min="3623" max="3840" width="9.140625" style="157"/>
    <col min="3841" max="3841" width="9.140625" style="157" customWidth="1"/>
    <col min="3842" max="3842" width="8" style="157" customWidth="1"/>
    <col min="3843" max="3843" width="34" style="157" customWidth="1"/>
    <col min="3844" max="3844" width="10.5703125" style="157" customWidth="1"/>
    <col min="3845" max="3845" width="9.140625" style="157"/>
    <col min="3846" max="3847" width="12.42578125" style="157" customWidth="1"/>
    <col min="3848" max="3848" width="1.42578125" style="157" customWidth="1"/>
    <col min="3849" max="3849" width="12" style="157" customWidth="1"/>
    <col min="3850" max="3850" width="12.42578125" style="157" customWidth="1"/>
    <col min="3851" max="3851" width="12.28515625" style="157" customWidth="1"/>
    <col min="3852" max="3877" width="9.140625" style="157" customWidth="1"/>
    <col min="3878" max="3878" width="13.28515625" style="157" customWidth="1"/>
    <col min="3879" max="4096" width="9.140625" style="157"/>
    <col min="4097" max="4097" width="9.140625" style="157" customWidth="1"/>
    <col min="4098" max="4098" width="8" style="157" customWidth="1"/>
    <col min="4099" max="4099" width="34" style="157" customWidth="1"/>
    <col min="4100" max="4100" width="10.5703125" style="157" customWidth="1"/>
    <col min="4101" max="4101" width="9.140625" style="157"/>
    <col min="4102" max="4103" width="12.42578125" style="157" customWidth="1"/>
    <col min="4104" max="4104" width="1.42578125" style="157" customWidth="1"/>
    <col min="4105" max="4105" width="12" style="157" customWidth="1"/>
    <col min="4106" max="4106" width="12.42578125" style="157" customWidth="1"/>
    <col min="4107" max="4107" width="12.28515625" style="157" customWidth="1"/>
    <col min="4108" max="4133" width="9.140625" style="157" customWidth="1"/>
    <col min="4134" max="4134" width="13.28515625" style="157" customWidth="1"/>
    <col min="4135" max="4352" width="9.140625" style="157"/>
    <col min="4353" max="4353" width="9.140625" style="157" customWidth="1"/>
    <col min="4354" max="4354" width="8" style="157" customWidth="1"/>
    <col min="4355" max="4355" width="34" style="157" customWidth="1"/>
    <col min="4356" max="4356" width="10.5703125" style="157" customWidth="1"/>
    <col min="4357" max="4357" width="9.140625" style="157"/>
    <col min="4358" max="4359" width="12.42578125" style="157" customWidth="1"/>
    <col min="4360" max="4360" width="1.42578125" style="157" customWidth="1"/>
    <col min="4361" max="4361" width="12" style="157" customWidth="1"/>
    <col min="4362" max="4362" width="12.42578125" style="157" customWidth="1"/>
    <col min="4363" max="4363" width="12.28515625" style="157" customWidth="1"/>
    <col min="4364" max="4389" width="9.140625" style="157" customWidth="1"/>
    <col min="4390" max="4390" width="13.28515625" style="157" customWidth="1"/>
    <col min="4391" max="4608" width="9.140625" style="157"/>
    <col min="4609" max="4609" width="9.140625" style="157" customWidth="1"/>
    <col min="4610" max="4610" width="8" style="157" customWidth="1"/>
    <col min="4611" max="4611" width="34" style="157" customWidth="1"/>
    <col min="4612" max="4612" width="10.5703125" style="157" customWidth="1"/>
    <col min="4613" max="4613" width="9.140625" style="157"/>
    <col min="4614" max="4615" width="12.42578125" style="157" customWidth="1"/>
    <col min="4616" max="4616" width="1.42578125" style="157" customWidth="1"/>
    <col min="4617" max="4617" width="12" style="157" customWidth="1"/>
    <col min="4618" max="4618" width="12.42578125" style="157" customWidth="1"/>
    <col min="4619" max="4619" width="12.28515625" style="157" customWidth="1"/>
    <col min="4620" max="4645" width="9.140625" style="157" customWidth="1"/>
    <col min="4646" max="4646" width="13.28515625" style="157" customWidth="1"/>
    <col min="4647" max="4864" width="9.140625" style="157"/>
    <col min="4865" max="4865" width="9.140625" style="157" customWidth="1"/>
    <col min="4866" max="4866" width="8" style="157" customWidth="1"/>
    <col min="4867" max="4867" width="34" style="157" customWidth="1"/>
    <col min="4868" max="4868" width="10.5703125" style="157" customWidth="1"/>
    <col min="4869" max="4869" width="9.140625" style="157"/>
    <col min="4870" max="4871" width="12.42578125" style="157" customWidth="1"/>
    <col min="4872" max="4872" width="1.42578125" style="157" customWidth="1"/>
    <col min="4873" max="4873" width="12" style="157" customWidth="1"/>
    <col min="4874" max="4874" width="12.42578125" style="157" customWidth="1"/>
    <col min="4875" max="4875" width="12.28515625" style="157" customWidth="1"/>
    <col min="4876" max="4901" width="9.140625" style="157" customWidth="1"/>
    <col min="4902" max="4902" width="13.28515625" style="157" customWidth="1"/>
    <col min="4903" max="5120" width="9.140625" style="157"/>
    <col min="5121" max="5121" width="9.140625" style="157" customWidth="1"/>
    <col min="5122" max="5122" width="8" style="157" customWidth="1"/>
    <col min="5123" max="5123" width="34" style="157" customWidth="1"/>
    <col min="5124" max="5124" width="10.5703125" style="157" customWidth="1"/>
    <col min="5125" max="5125" width="9.140625" style="157"/>
    <col min="5126" max="5127" width="12.42578125" style="157" customWidth="1"/>
    <col min="5128" max="5128" width="1.42578125" style="157" customWidth="1"/>
    <col min="5129" max="5129" width="12" style="157" customWidth="1"/>
    <col min="5130" max="5130" width="12.42578125" style="157" customWidth="1"/>
    <col min="5131" max="5131" width="12.28515625" style="157" customWidth="1"/>
    <col min="5132" max="5157" width="9.140625" style="157" customWidth="1"/>
    <col min="5158" max="5158" width="13.28515625" style="157" customWidth="1"/>
    <col min="5159" max="5376" width="9.140625" style="157"/>
    <col min="5377" max="5377" width="9.140625" style="157" customWidth="1"/>
    <col min="5378" max="5378" width="8" style="157" customWidth="1"/>
    <col min="5379" max="5379" width="34" style="157" customWidth="1"/>
    <col min="5380" max="5380" width="10.5703125" style="157" customWidth="1"/>
    <col min="5381" max="5381" width="9.140625" style="157"/>
    <col min="5382" max="5383" width="12.42578125" style="157" customWidth="1"/>
    <col min="5384" max="5384" width="1.42578125" style="157" customWidth="1"/>
    <col min="5385" max="5385" width="12" style="157" customWidth="1"/>
    <col min="5386" max="5386" width="12.42578125" style="157" customWidth="1"/>
    <col min="5387" max="5387" width="12.28515625" style="157" customWidth="1"/>
    <col min="5388" max="5413" width="9.140625" style="157" customWidth="1"/>
    <col min="5414" max="5414" width="13.28515625" style="157" customWidth="1"/>
    <col min="5415" max="5632" width="9.140625" style="157"/>
    <col min="5633" max="5633" width="9.140625" style="157" customWidth="1"/>
    <col min="5634" max="5634" width="8" style="157" customWidth="1"/>
    <col min="5635" max="5635" width="34" style="157" customWidth="1"/>
    <col min="5636" max="5636" width="10.5703125" style="157" customWidth="1"/>
    <col min="5637" max="5637" width="9.140625" style="157"/>
    <col min="5638" max="5639" width="12.42578125" style="157" customWidth="1"/>
    <col min="5640" max="5640" width="1.42578125" style="157" customWidth="1"/>
    <col min="5641" max="5641" width="12" style="157" customWidth="1"/>
    <col min="5642" max="5642" width="12.42578125" style="157" customWidth="1"/>
    <col min="5643" max="5643" width="12.28515625" style="157" customWidth="1"/>
    <col min="5644" max="5669" width="9.140625" style="157" customWidth="1"/>
    <col min="5670" max="5670" width="13.28515625" style="157" customWidth="1"/>
    <col min="5671" max="5888" width="9.140625" style="157"/>
    <col min="5889" max="5889" width="9.140625" style="157" customWidth="1"/>
    <col min="5890" max="5890" width="8" style="157" customWidth="1"/>
    <col min="5891" max="5891" width="34" style="157" customWidth="1"/>
    <col min="5892" max="5892" width="10.5703125" style="157" customWidth="1"/>
    <col min="5893" max="5893" width="9.140625" style="157"/>
    <col min="5894" max="5895" width="12.42578125" style="157" customWidth="1"/>
    <col min="5896" max="5896" width="1.42578125" style="157" customWidth="1"/>
    <col min="5897" max="5897" width="12" style="157" customWidth="1"/>
    <col min="5898" max="5898" width="12.42578125" style="157" customWidth="1"/>
    <col min="5899" max="5899" width="12.28515625" style="157" customWidth="1"/>
    <col min="5900" max="5925" width="9.140625" style="157" customWidth="1"/>
    <col min="5926" max="5926" width="13.28515625" style="157" customWidth="1"/>
    <col min="5927" max="6144" width="9.140625" style="157"/>
    <col min="6145" max="6145" width="9.140625" style="157" customWidth="1"/>
    <col min="6146" max="6146" width="8" style="157" customWidth="1"/>
    <col min="6147" max="6147" width="34" style="157" customWidth="1"/>
    <col min="6148" max="6148" width="10.5703125" style="157" customWidth="1"/>
    <col min="6149" max="6149" width="9.140625" style="157"/>
    <col min="6150" max="6151" width="12.42578125" style="157" customWidth="1"/>
    <col min="6152" max="6152" width="1.42578125" style="157" customWidth="1"/>
    <col min="6153" max="6153" width="12" style="157" customWidth="1"/>
    <col min="6154" max="6154" width="12.42578125" style="157" customWidth="1"/>
    <col min="6155" max="6155" width="12.28515625" style="157" customWidth="1"/>
    <col min="6156" max="6181" width="9.140625" style="157" customWidth="1"/>
    <col min="6182" max="6182" width="13.28515625" style="157" customWidth="1"/>
    <col min="6183" max="6400" width="9.140625" style="157"/>
    <col min="6401" max="6401" width="9.140625" style="157" customWidth="1"/>
    <col min="6402" max="6402" width="8" style="157" customWidth="1"/>
    <col min="6403" max="6403" width="34" style="157" customWidth="1"/>
    <col min="6404" max="6404" width="10.5703125" style="157" customWidth="1"/>
    <col min="6405" max="6405" width="9.140625" style="157"/>
    <col min="6406" max="6407" width="12.42578125" style="157" customWidth="1"/>
    <col min="6408" max="6408" width="1.42578125" style="157" customWidth="1"/>
    <col min="6409" max="6409" width="12" style="157" customWidth="1"/>
    <col min="6410" max="6410" width="12.42578125" style="157" customWidth="1"/>
    <col min="6411" max="6411" width="12.28515625" style="157" customWidth="1"/>
    <col min="6412" max="6437" width="9.140625" style="157" customWidth="1"/>
    <col min="6438" max="6438" width="13.28515625" style="157" customWidth="1"/>
    <col min="6439" max="6656" width="9.140625" style="157"/>
    <col min="6657" max="6657" width="9.140625" style="157" customWidth="1"/>
    <col min="6658" max="6658" width="8" style="157" customWidth="1"/>
    <col min="6659" max="6659" width="34" style="157" customWidth="1"/>
    <col min="6660" max="6660" width="10.5703125" style="157" customWidth="1"/>
    <col min="6661" max="6661" width="9.140625" style="157"/>
    <col min="6662" max="6663" width="12.42578125" style="157" customWidth="1"/>
    <col min="6664" max="6664" width="1.42578125" style="157" customWidth="1"/>
    <col min="6665" max="6665" width="12" style="157" customWidth="1"/>
    <col min="6666" max="6666" width="12.42578125" style="157" customWidth="1"/>
    <col min="6667" max="6667" width="12.28515625" style="157" customWidth="1"/>
    <col min="6668" max="6693" width="9.140625" style="157" customWidth="1"/>
    <col min="6694" max="6694" width="13.28515625" style="157" customWidth="1"/>
    <col min="6695" max="6912" width="9.140625" style="157"/>
    <col min="6913" max="6913" width="9.140625" style="157" customWidth="1"/>
    <col min="6914" max="6914" width="8" style="157" customWidth="1"/>
    <col min="6915" max="6915" width="34" style="157" customWidth="1"/>
    <col min="6916" max="6916" width="10.5703125" style="157" customWidth="1"/>
    <col min="6917" max="6917" width="9.140625" style="157"/>
    <col min="6918" max="6919" width="12.42578125" style="157" customWidth="1"/>
    <col min="6920" max="6920" width="1.42578125" style="157" customWidth="1"/>
    <col min="6921" max="6921" width="12" style="157" customWidth="1"/>
    <col min="6922" max="6922" width="12.42578125" style="157" customWidth="1"/>
    <col min="6923" max="6923" width="12.28515625" style="157" customWidth="1"/>
    <col min="6924" max="6949" width="9.140625" style="157" customWidth="1"/>
    <col min="6950" max="6950" width="13.28515625" style="157" customWidth="1"/>
    <col min="6951" max="7168" width="9.140625" style="157"/>
    <col min="7169" max="7169" width="9.140625" style="157" customWidth="1"/>
    <col min="7170" max="7170" width="8" style="157" customWidth="1"/>
    <col min="7171" max="7171" width="34" style="157" customWidth="1"/>
    <col min="7172" max="7172" width="10.5703125" style="157" customWidth="1"/>
    <col min="7173" max="7173" width="9.140625" style="157"/>
    <col min="7174" max="7175" width="12.42578125" style="157" customWidth="1"/>
    <col min="7176" max="7176" width="1.42578125" style="157" customWidth="1"/>
    <col min="7177" max="7177" width="12" style="157" customWidth="1"/>
    <col min="7178" max="7178" width="12.42578125" style="157" customWidth="1"/>
    <col min="7179" max="7179" width="12.28515625" style="157" customWidth="1"/>
    <col min="7180" max="7205" width="9.140625" style="157" customWidth="1"/>
    <col min="7206" max="7206" width="13.28515625" style="157" customWidth="1"/>
    <col min="7207" max="7424" width="9.140625" style="157"/>
    <col min="7425" max="7425" width="9.140625" style="157" customWidth="1"/>
    <col min="7426" max="7426" width="8" style="157" customWidth="1"/>
    <col min="7427" max="7427" width="34" style="157" customWidth="1"/>
    <col min="7428" max="7428" width="10.5703125" style="157" customWidth="1"/>
    <col min="7429" max="7429" width="9.140625" style="157"/>
    <col min="7430" max="7431" width="12.42578125" style="157" customWidth="1"/>
    <col min="7432" max="7432" width="1.42578125" style="157" customWidth="1"/>
    <col min="7433" max="7433" width="12" style="157" customWidth="1"/>
    <col min="7434" max="7434" width="12.42578125" style="157" customWidth="1"/>
    <col min="7435" max="7435" width="12.28515625" style="157" customWidth="1"/>
    <col min="7436" max="7461" width="9.140625" style="157" customWidth="1"/>
    <col min="7462" max="7462" width="13.28515625" style="157" customWidth="1"/>
    <col min="7463" max="7680" width="9.140625" style="157"/>
    <col min="7681" max="7681" width="9.140625" style="157" customWidth="1"/>
    <col min="7682" max="7682" width="8" style="157" customWidth="1"/>
    <col min="7683" max="7683" width="34" style="157" customWidth="1"/>
    <col min="7684" max="7684" width="10.5703125" style="157" customWidth="1"/>
    <col min="7685" max="7685" width="9.140625" style="157"/>
    <col min="7686" max="7687" width="12.42578125" style="157" customWidth="1"/>
    <col min="7688" max="7688" width="1.42578125" style="157" customWidth="1"/>
    <col min="7689" max="7689" width="12" style="157" customWidth="1"/>
    <col min="7690" max="7690" width="12.42578125" style="157" customWidth="1"/>
    <col min="7691" max="7691" width="12.28515625" style="157" customWidth="1"/>
    <col min="7692" max="7717" width="9.140625" style="157" customWidth="1"/>
    <col min="7718" max="7718" width="13.28515625" style="157" customWidth="1"/>
    <col min="7719" max="7936" width="9.140625" style="157"/>
    <col min="7937" max="7937" width="9.140625" style="157" customWidth="1"/>
    <col min="7938" max="7938" width="8" style="157" customWidth="1"/>
    <col min="7939" max="7939" width="34" style="157" customWidth="1"/>
    <col min="7940" max="7940" width="10.5703125" style="157" customWidth="1"/>
    <col min="7941" max="7941" width="9.140625" style="157"/>
    <col min="7942" max="7943" width="12.42578125" style="157" customWidth="1"/>
    <col min="7944" max="7944" width="1.42578125" style="157" customWidth="1"/>
    <col min="7945" max="7945" width="12" style="157" customWidth="1"/>
    <col min="7946" max="7946" width="12.42578125" style="157" customWidth="1"/>
    <col min="7947" max="7947" width="12.28515625" style="157" customWidth="1"/>
    <col min="7948" max="7973" width="9.140625" style="157" customWidth="1"/>
    <col min="7974" max="7974" width="13.28515625" style="157" customWidth="1"/>
    <col min="7975" max="8192" width="9.140625" style="157"/>
    <col min="8193" max="8193" width="9.140625" style="157" customWidth="1"/>
    <col min="8194" max="8194" width="8" style="157" customWidth="1"/>
    <col min="8195" max="8195" width="34" style="157" customWidth="1"/>
    <col min="8196" max="8196" width="10.5703125" style="157" customWidth="1"/>
    <col min="8197" max="8197" width="9.140625" style="157"/>
    <col min="8198" max="8199" width="12.42578125" style="157" customWidth="1"/>
    <col min="8200" max="8200" width="1.42578125" style="157" customWidth="1"/>
    <col min="8201" max="8201" width="12" style="157" customWidth="1"/>
    <col min="8202" max="8202" width="12.42578125" style="157" customWidth="1"/>
    <col min="8203" max="8203" width="12.28515625" style="157" customWidth="1"/>
    <col min="8204" max="8229" width="9.140625" style="157" customWidth="1"/>
    <col min="8230" max="8230" width="13.28515625" style="157" customWidth="1"/>
    <col min="8231" max="8448" width="9.140625" style="157"/>
    <col min="8449" max="8449" width="9.140625" style="157" customWidth="1"/>
    <col min="8450" max="8450" width="8" style="157" customWidth="1"/>
    <col min="8451" max="8451" width="34" style="157" customWidth="1"/>
    <col min="8452" max="8452" width="10.5703125" style="157" customWidth="1"/>
    <col min="8453" max="8453" width="9.140625" style="157"/>
    <col min="8454" max="8455" width="12.42578125" style="157" customWidth="1"/>
    <col min="8456" max="8456" width="1.42578125" style="157" customWidth="1"/>
    <col min="8457" max="8457" width="12" style="157" customWidth="1"/>
    <col min="8458" max="8458" width="12.42578125" style="157" customWidth="1"/>
    <col min="8459" max="8459" width="12.28515625" style="157" customWidth="1"/>
    <col min="8460" max="8485" width="9.140625" style="157" customWidth="1"/>
    <col min="8486" max="8486" width="13.28515625" style="157" customWidth="1"/>
    <col min="8487" max="8704" width="9.140625" style="157"/>
    <col min="8705" max="8705" width="9.140625" style="157" customWidth="1"/>
    <col min="8706" max="8706" width="8" style="157" customWidth="1"/>
    <col min="8707" max="8707" width="34" style="157" customWidth="1"/>
    <col min="8708" max="8708" width="10.5703125" style="157" customWidth="1"/>
    <col min="8709" max="8709" width="9.140625" style="157"/>
    <col min="8710" max="8711" width="12.42578125" style="157" customWidth="1"/>
    <col min="8712" max="8712" width="1.42578125" style="157" customWidth="1"/>
    <col min="8713" max="8713" width="12" style="157" customWidth="1"/>
    <col min="8714" max="8714" width="12.42578125" style="157" customWidth="1"/>
    <col min="8715" max="8715" width="12.28515625" style="157" customWidth="1"/>
    <col min="8716" max="8741" width="9.140625" style="157" customWidth="1"/>
    <col min="8742" max="8742" width="13.28515625" style="157" customWidth="1"/>
    <col min="8743" max="8960" width="9.140625" style="157"/>
    <col min="8961" max="8961" width="9.140625" style="157" customWidth="1"/>
    <col min="8962" max="8962" width="8" style="157" customWidth="1"/>
    <col min="8963" max="8963" width="34" style="157" customWidth="1"/>
    <col min="8964" max="8964" width="10.5703125" style="157" customWidth="1"/>
    <col min="8965" max="8965" width="9.140625" style="157"/>
    <col min="8966" max="8967" width="12.42578125" style="157" customWidth="1"/>
    <col min="8968" max="8968" width="1.42578125" style="157" customWidth="1"/>
    <col min="8969" max="8969" width="12" style="157" customWidth="1"/>
    <col min="8970" max="8970" width="12.42578125" style="157" customWidth="1"/>
    <col min="8971" max="8971" width="12.28515625" style="157" customWidth="1"/>
    <col min="8972" max="8997" width="9.140625" style="157" customWidth="1"/>
    <col min="8998" max="8998" width="13.28515625" style="157" customWidth="1"/>
    <col min="8999" max="9216" width="9.140625" style="157"/>
    <col min="9217" max="9217" width="9.140625" style="157" customWidth="1"/>
    <col min="9218" max="9218" width="8" style="157" customWidth="1"/>
    <col min="9219" max="9219" width="34" style="157" customWidth="1"/>
    <col min="9220" max="9220" width="10.5703125" style="157" customWidth="1"/>
    <col min="9221" max="9221" width="9.140625" style="157"/>
    <col min="9222" max="9223" width="12.42578125" style="157" customWidth="1"/>
    <col min="9224" max="9224" width="1.42578125" style="157" customWidth="1"/>
    <col min="9225" max="9225" width="12" style="157" customWidth="1"/>
    <col min="9226" max="9226" width="12.42578125" style="157" customWidth="1"/>
    <col min="9227" max="9227" width="12.28515625" style="157" customWidth="1"/>
    <col min="9228" max="9253" width="9.140625" style="157" customWidth="1"/>
    <col min="9254" max="9254" width="13.28515625" style="157" customWidth="1"/>
    <col min="9255" max="9472" width="9.140625" style="157"/>
    <col min="9473" max="9473" width="9.140625" style="157" customWidth="1"/>
    <col min="9474" max="9474" width="8" style="157" customWidth="1"/>
    <col min="9475" max="9475" width="34" style="157" customWidth="1"/>
    <col min="9476" max="9476" width="10.5703125" style="157" customWidth="1"/>
    <col min="9477" max="9477" width="9.140625" style="157"/>
    <col min="9478" max="9479" width="12.42578125" style="157" customWidth="1"/>
    <col min="9480" max="9480" width="1.42578125" style="157" customWidth="1"/>
    <col min="9481" max="9481" width="12" style="157" customWidth="1"/>
    <col min="9482" max="9482" width="12.42578125" style="157" customWidth="1"/>
    <col min="9483" max="9483" width="12.28515625" style="157" customWidth="1"/>
    <col min="9484" max="9509" width="9.140625" style="157" customWidth="1"/>
    <col min="9510" max="9510" width="13.28515625" style="157" customWidth="1"/>
    <col min="9511" max="9728" width="9.140625" style="157"/>
    <col min="9729" max="9729" width="9.140625" style="157" customWidth="1"/>
    <col min="9730" max="9730" width="8" style="157" customWidth="1"/>
    <col min="9731" max="9731" width="34" style="157" customWidth="1"/>
    <col min="9732" max="9732" width="10.5703125" style="157" customWidth="1"/>
    <col min="9733" max="9733" width="9.140625" style="157"/>
    <col min="9734" max="9735" width="12.42578125" style="157" customWidth="1"/>
    <col min="9736" max="9736" width="1.42578125" style="157" customWidth="1"/>
    <col min="9737" max="9737" width="12" style="157" customWidth="1"/>
    <col min="9738" max="9738" width="12.42578125" style="157" customWidth="1"/>
    <col min="9739" max="9739" width="12.28515625" style="157" customWidth="1"/>
    <col min="9740" max="9765" width="9.140625" style="157" customWidth="1"/>
    <col min="9766" max="9766" width="13.28515625" style="157" customWidth="1"/>
    <col min="9767" max="9984" width="9.140625" style="157"/>
    <col min="9985" max="9985" width="9.140625" style="157" customWidth="1"/>
    <col min="9986" max="9986" width="8" style="157" customWidth="1"/>
    <col min="9987" max="9987" width="34" style="157" customWidth="1"/>
    <col min="9988" max="9988" width="10.5703125" style="157" customWidth="1"/>
    <col min="9989" max="9989" width="9.140625" style="157"/>
    <col min="9990" max="9991" width="12.42578125" style="157" customWidth="1"/>
    <col min="9992" max="9992" width="1.42578125" style="157" customWidth="1"/>
    <col min="9993" max="9993" width="12" style="157" customWidth="1"/>
    <col min="9994" max="9994" width="12.42578125" style="157" customWidth="1"/>
    <col min="9995" max="9995" width="12.28515625" style="157" customWidth="1"/>
    <col min="9996" max="10021" width="9.140625" style="157" customWidth="1"/>
    <col min="10022" max="10022" width="13.28515625" style="157" customWidth="1"/>
    <col min="10023" max="10240" width="9.140625" style="157"/>
    <col min="10241" max="10241" width="9.140625" style="157" customWidth="1"/>
    <col min="10242" max="10242" width="8" style="157" customWidth="1"/>
    <col min="10243" max="10243" width="34" style="157" customWidth="1"/>
    <col min="10244" max="10244" width="10.5703125" style="157" customWidth="1"/>
    <col min="10245" max="10245" width="9.140625" style="157"/>
    <col min="10246" max="10247" width="12.42578125" style="157" customWidth="1"/>
    <col min="10248" max="10248" width="1.42578125" style="157" customWidth="1"/>
    <col min="10249" max="10249" width="12" style="157" customWidth="1"/>
    <col min="10250" max="10250" width="12.42578125" style="157" customWidth="1"/>
    <col min="10251" max="10251" width="12.28515625" style="157" customWidth="1"/>
    <col min="10252" max="10277" width="9.140625" style="157" customWidth="1"/>
    <col min="10278" max="10278" width="13.28515625" style="157" customWidth="1"/>
    <col min="10279" max="10496" width="9.140625" style="157"/>
    <col min="10497" max="10497" width="9.140625" style="157" customWidth="1"/>
    <col min="10498" max="10498" width="8" style="157" customWidth="1"/>
    <col min="10499" max="10499" width="34" style="157" customWidth="1"/>
    <col min="10500" max="10500" width="10.5703125" style="157" customWidth="1"/>
    <col min="10501" max="10501" width="9.140625" style="157"/>
    <col min="10502" max="10503" width="12.42578125" style="157" customWidth="1"/>
    <col min="10504" max="10504" width="1.42578125" style="157" customWidth="1"/>
    <col min="10505" max="10505" width="12" style="157" customWidth="1"/>
    <col min="10506" max="10506" width="12.42578125" style="157" customWidth="1"/>
    <col min="10507" max="10507" width="12.28515625" style="157" customWidth="1"/>
    <col min="10508" max="10533" width="9.140625" style="157" customWidth="1"/>
    <col min="10534" max="10534" width="13.28515625" style="157" customWidth="1"/>
    <col min="10535" max="10752" width="9.140625" style="157"/>
    <col min="10753" max="10753" width="9.140625" style="157" customWidth="1"/>
    <col min="10754" max="10754" width="8" style="157" customWidth="1"/>
    <col min="10755" max="10755" width="34" style="157" customWidth="1"/>
    <col min="10756" max="10756" width="10.5703125" style="157" customWidth="1"/>
    <col min="10757" max="10757" width="9.140625" style="157"/>
    <col min="10758" max="10759" width="12.42578125" style="157" customWidth="1"/>
    <col min="10760" max="10760" width="1.42578125" style="157" customWidth="1"/>
    <col min="10761" max="10761" width="12" style="157" customWidth="1"/>
    <col min="10762" max="10762" width="12.42578125" style="157" customWidth="1"/>
    <col min="10763" max="10763" width="12.28515625" style="157" customWidth="1"/>
    <col min="10764" max="10789" width="9.140625" style="157" customWidth="1"/>
    <col min="10790" max="10790" width="13.28515625" style="157" customWidth="1"/>
    <col min="10791" max="11008" width="9.140625" style="157"/>
    <col min="11009" max="11009" width="9.140625" style="157" customWidth="1"/>
    <col min="11010" max="11010" width="8" style="157" customWidth="1"/>
    <col min="11011" max="11011" width="34" style="157" customWidth="1"/>
    <col min="11012" max="11012" width="10.5703125" style="157" customWidth="1"/>
    <col min="11013" max="11013" width="9.140625" style="157"/>
    <col min="11014" max="11015" width="12.42578125" style="157" customWidth="1"/>
    <col min="11016" max="11016" width="1.42578125" style="157" customWidth="1"/>
    <col min="11017" max="11017" width="12" style="157" customWidth="1"/>
    <col min="11018" max="11018" width="12.42578125" style="157" customWidth="1"/>
    <col min="11019" max="11019" width="12.28515625" style="157" customWidth="1"/>
    <col min="11020" max="11045" width="9.140625" style="157" customWidth="1"/>
    <col min="11046" max="11046" width="13.28515625" style="157" customWidth="1"/>
    <col min="11047" max="11264" width="9.140625" style="157"/>
    <col min="11265" max="11265" width="9.140625" style="157" customWidth="1"/>
    <col min="11266" max="11266" width="8" style="157" customWidth="1"/>
    <col min="11267" max="11267" width="34" style="157" customWidth="1"/>
    <col min="11268" max="11268" width="10.5703125" style="157" customWidth="1"/>
    <col min="11269" max="11269" width="9.140625" style="157"/>
    <col min="11270" max="11271" width="12.42578125" style="157" customWidth="1"/>
    <col min="11272" max="11272" width="1.42578125" style="157" customWidth="1"/>
    <col min="11273" max="11273" width="12" style="157" customWidth="1"/>
    <col min="11274" max="11274" width="12.42578125" style="157" customWidth="1"/>
    <col min="11275" max="11275" width="12.28515625" style="157" customWidth="1"/>
    <col min="11276" max="11301" width="9.140625" style="157" customWidth="1"/>
    <col min="11302" max="11302" width="13.28515625" style="157" customWidth="1"/>
    <col min="11303" max="11520" width="9.140625" style="157"/>
    <col min="11521" max="11521" width="9.140625" style="157" customWidth="1"/>
    <col min="11522" max="11522" width="8" style="157" customWidth="1"/>
    <col min="11523" max="11523" width="34" style="157" customWidth="1"/>
    <col min="11524" max="11524" width="10.5703125" style="157" customWidth="1"/>
    <col min="11525" max="11525" width="9.140625" style="157"/>
    <col min="11526" max="11527" width="12.42578125" style="157" customWidth="1"/>
    <col min="11528" max="11528" width="1.42578125" style="157" customWidth="1"/>
    <col min="11529" max="11529" width="12" style="157" customWidth="1"/>
    <col min="11530" max="11530" width="12.42578125" style="157" customWidth="1"/>
    <col min="11531" max="11531" width="12.28515625" style="157" customWidth="1"/>
    <col min="11532" max="11557" width="9.140625" style="157" customWidth="1"/>
    <col min="11558" max="11558" width="13.28515625" style="157" customWidth="1"/>
    <col min="11559" max="11776" width="9.140625" style="157"/>
    <col min="11777" max="11777" width="9.140625" style="157" customWidth="1"/>
    <col min="11778" max="11778" width="8" style="157" customWidth="1"/>
    <col min="11779" max="11779" width="34" style="157" customWidth="1"/>
    <col min="11780" max="11780" width="10.5703125" style="157" customWidth="1"/>
    <col min="11781" max="11781" width="9.140625" style="157"/>
    <col min="11782" max="11783" width="12.42578125" style="157" customWidth="1"/>
    <col min="11784" max="11784" width="1.42578125" style="157" customWidth="1"/>
    <col min="11785" max="11785" width="12" style="157" customWidth="1"/>
    <col min="11786" max="11786" width="12.42578125" style="157" customWidth="1"/>
    <col min="11787" max="11787" width="12.28515625" style="157" customWidth="1"/>
    <col min="11788" max="11813" width="9.140625" style="157" customWidth="1"/>
    <col min="11814" max="11814" width="13.28515625" style="157" customWidth="1"/>
    <col min="11815" max="12032" width="9.140625" style="157"/>
    <col min="12033" max="12033" width="9.140625" style="157" customWidth="1"/>
    <col min="12034" max="12034" width="8" style="157" customWidth="1"/>
    <col min="12035" max="12035" width="34" style="157" customWidth="1"/>
    <col min="12036" max="12036" width="10.5703125" style="157" customWidth="1"/>
    <col min="12037" max="12037" width="9.140625" style="157"/>
    <col min="12038" max="12039" width="12.42578125" style="157" customWidth="1"/>
    <col min="12040" max="12040" width="1.42578125" style="157" customWidth="1"/>
    <col min="12041" max="12041" width="12" style="157" customWidth="1"/>
    <col min="12042" max="12042" width="12.42578125" style="157" customWidth="1"/>
    <col min="12043" max="12043" width="12.28515625" style="157" customWidth="1"/>
    <col min="12044" max="12069" width="9.140625" style="157" customWidth="1"/>
    <col min="12070" max="12070" width="13.28515625" style="157" customWidth="1"/>
    <col min="12071" max="12288" width="9.140625" style="157"/>
    <col min="12289" max="12289" width="9.140625" style="157" customWidth="1"/>
    <col min="12290" max="12290" width="8" style="157" customWidth="1"/>
    <col min="12291" max="12291" width="34" style="157" customWidth="1"/>
    <col min="12292" max="12292" width="10.5703125" style="157" customWidth="1"/>
    <col min="12293" max="12293" width="9.140625" style="157"/>
    <col min="12294" max="12295" width="12.42578125" style="157" customWidth="1"/>
    <col min="12296" max="12296" width="1.42578125" style="157" customWidth="1"/>
    <col min="12297" max="12297" width="12" style="157" customWidth="1"/>
    <col min="12298" max="12298" width="12.42578125" style="157" customWidth="1"/>
    <col min="12299" max="12299" width="12.28515625" style="157" customWidth="1"/>
    <col min="12300" max="12325" width="9.140625" style="157" customWidth="1"/>
    <col min="12326" max="12326" width="13.28515625" style="157" customWidth="1"/>
    <col min="12327" max="12544" width="9.140625" style="157"/>
    <col min="12545" max="12545" width="9.140625" style="157" customWidth="1"/>
    <col min="12546" max="12546" width="8" style="157" customWidth="1"/>
    <col min="12547" max="12547" width="34" style="157" customWidth="1"/>
    <col min="12548" max="12548" width="10.5703125" style="157" customWidth="1"/>
    <col min="12549" max="12549" width="9.140625" style="157"/>
    <col min="12550" max="12551" width="12.42578125" style="157" customWidth="1"/>
    <col min="12552" max="12552" width="1.42578125" style="157" customWidth="1"/>
    <col min="12553" max="12553" width="12" style="157" customWidth="1"/>
    <col min="12554" max="12554" width="12.42578125" style="157" customWidth="1"/>
    <col min="12555" max="12555" width="12.28515625" style="157" customWidth="1"/>
    <col min="12556" max="12581" width="9.140625" style="157" customWidth="1"/>
    <col min="12582" max="12582" width="13.28515625" style="157" customWidth="1"/>
    <col min="12583" max="12800" width="9.140625" style="157"/>
    <col min="12801" max="12801" width="9.140625" style="157" customWidth="1"/>
    <col min="12802" max="12802" width="8" style="157" customWidth="1"/>
    <col min="12803" max="12803" width="34" style="157" customWidth="1"/>
    <col min="12804" max="12804" width="10.5703125" style="157" customWidth="1"/>
    <col min="12805" max="12805" width="9.140625" style="157"/>
    <col min="12806" max="12807" width="12.42578125" style="157" customWidth="1"/>
    <col min="12808" max="12808" width="1.42578125" style="157" customWidth="1"/>
    <col min="12809" max="12809" width="12" style="157" customWidth="1"/>
    <col min="12810" max="12810" width="12.42578125" style="157" customWidth="1"/>
    <col min="12811" max="12811" width="12.28515625" style="157" customWidth="1"/>
    <col min="12812" max="12837" width="9.140625" style="157" customWidth="1"/>
    <col min="12838" max="12838" width="13.28515625" style="157" customWidth="1"/>
    <col min="12839" max="13056" width="9.140625" style="157"/>
    <col min="13057" max="13057" width="9.140625" style="157" customWidth="1"/>
    <col min="13058" max="13058" width="8" style="157" customWidth="1"/>
    <col min="13059" max="13059" width="34" style="157" customWidth="1"/>
    <col min="13060" max="13060" width="10.5703125" style="157" customWidth="1"/>
    <col min="13061" max="13061" width="9.140625" style="157"/>
    <col min="13062" max="13063" width="12.42578125" style="157" customWidth="1"/>
    <col min="13064" max="13064" width="1.42578125" style="157" customWidth="1"/>
    <col min="13065" max="13065" width="12" style="157" customWidth="1"/>
    <col min="13066" max="13066" width="12.42578125" style="157" customWidth="1"/>
    <col min="13067" max="13067" width="12.28515625" style="157" customWidth="1"/>
    <col min="13068" max="13093" width="9.140625" style="157" customWidth="1"/>
    <col min="13094" max="13094" width="13.28515625" style="157" customWidth="1"/>
    <col min="13095" max="13312" width="9.140625" style="157"/>
    <col min="13313" max="13313" width="9.140625" style="157" customWidth="1"/>
    <col min="13314" max="13314" width="8" style="157" customWidth="1"/>
    <col min="13315" max="13315" width="34" style="157" customWidth="1"/>
    <col min="13316" max="13316" width="10.5703125" style="157" customWidth="1"/>
    <col min="13317" max="13317" width="9.140625" style="157"/>
    <col min="13318" max="13319" width="12.42578125" style="157" customWidth="1"/>
    <col min="13320" max="13320" width="1.42578125" style="157" customWidth="1"/>
    <col min="13321" max="13321" width="12" style="157" customWidth="1"/>
    <col min="13322" max="13322" width="12.42578125" style="157" customWidth="1"/>
    <col min="13323" max="13323" width="12.28515625" style="157" customWidth="1"/>
    <col min="13324" max="13349" width="9.140625" style="157" customWidth="1"/>
    <col min="13350" max="13350" width="13.28515625" style="157" customWidth="1"/>
    <col min="13351" max="13568" width="9.140625" style="157"/>
    <col min="13569" max="13569" width="9.140625" style="157" customWidth="1"/>
    <col min="13570" max="13570" width="8" style="157" customWidth="1"/>
    <col min="13571" max="13571" width="34" style="157" customWidth="1"/>
    <col min="13572" max="13572" width="10.5703125" style="157" customWidth="1"/>
    <col min="13573" max="13573" width="9.140625" style="157"/>
    <col min="13574" max="13575" width="12.42578125" style="157" customWidth="1"/>
    <col min="13576" max="13576" width="1.42578125" style="157" customWidth="1"/>
    <col min="13577" max="13577" width="12" style="157" customWidth="1"/>
    <col min="13578" max="13578" width="12.42578125" style="157" customWidth="1"/>
    <col min="13579" max="13579" width="12.28515625" style="157" customWidth="1"/>
    <col min="13580" max="13605" width="9.140625" style="157" customWidth="1"/>
    <col min="13606" max="13606" width="13.28515625" style="157" customWidth="1"/>
    <col min="13607" max="13824" width="9.140625" style="157"/>
    <col min="13825" max="13825" width="9.140625" style="157" customWidth="1"/>
    <col min="13826" max="13826" width="8" style="157" customWidth="1"/>
    <col min="13827" max="13827" width="34" style="157" customWidth="1"/>
    <col min="13828" max="13828" width="10.5703125" style="157" customWidth="1"/>
    <col min="13829" max="13829" width="9.140625" style="157"/>
    <col min="13830" max="13831" width="12.42578125" style="157" customWidth="1"/>
    <col min="13832" max="13832" width="1.42578125" style="157" customWidth="1"/>
    <col min="13833" max="13833" width="12" style="157" customWidth="1"/>
    <col min="13834" max="13834" width="12.42578125" style="157" customWidth="1"/>
    <col min="13835" max="13835" width="12.28515625" style="157" customWidth="1"/>
    <col min="13836" max="13861" width="9.140625" style="157" customWidth="1"/>
    <col min="13862" max="13862" width="13.28515625" style="157" customWidth="1"/>
    <col min="13863" max="14080" width="9.140625" style="157"/>
    <col min="14081" max="14081" width="9.140625" style="157" customWidth="1"/>
    <col min="14082" max="14082" width="8" style="157" customWidth="1"/>
    <col min="14083" max="14083" width="34" style="157" customWidth="1"/>
    <col min="14084" max="14084" width="10.5703125" style="157" customWidth="1"/>
    <col min="14085" max="14085" width="9.140625" style="157"/>
    <col min="14086" max="14087" width="12.42578125" style="157" customWidth="1"/>
    <col min="14088" max="14088" width="1.42578125" style="157" customWidth="1"/>
    <col min="14089" max="14089" width="12" style="157" customWidth="1"/>
    <col min="14090" max="14090" width="12.42578125" style="157" customWidth="1"/>
    <col min="14091" max="14091" width="12.28515625" style="157" customWidth="1"/>
    <col min="14092" max="14117" width="9.140625" style="157" customWidth="1"/>
    <col min="14118" max="14118" width="13.28515625" style="157" customWidth="1"/>
    <col min="14119" max="14336" width="9.140625" style="157"/>
    <col min="14337" max="14337" width="9.140625" style="157" customWidth="1"/>
    <col min="14338" max="14338" width="8" style="157" customWidth="1"/>
    <col min="14339" max="14339" width="34" style="157" customWidth="1"/>
    <col min="14340" max="14340" width="10.5703125" style="157" customWidth="1"/>
    <col min="14341" max="14341" width="9.140625" style="157"/>
    <col min="14342" max="14343" width="12.42578125" style="157" customWidth="1"/>
    <col min="14344" max="14344" width="1.42578125" style="157" customWidth="1"/>
    <col min="14345" max="14345" width="12" style="157" customWidth="1"/>
    <col min="14346" max="14346" width="12.42578125" style="157" customWidth="1"/>
    <col min="14347" max="14347" width="12.28515625" style="157" customWidth="1"/>
    <col min="14348" max="14373" width="9.140625" style="157" customWidth="1"/>
    <col min="14374" max="14374" width="13.28515625" style="157" customWidth="1"/>
    <col min="14375" max="14592" width="9.140625" style="157"/>
    <col min="14593" max="14593" width="9.140625" style="157" customWidth="1"/>
    <col min="14594" max="14594" width="8" style="157" customWidth="1"/>
    <col min="14595" max="14595" width="34" style="157" customWidth="1"/>
    <col min="14596" max="14596" width="10.5703125" style="157" customWidth="1"/>
    <col min="14597" max="14597" width="9.140625" style="157"/>
    <col min="14598" max="14599" width="12.42578125" style="157" customWidth="1"/>
    <col min="14600" max="14600" width="1.42578125" style="157" customWidth="1"/>
    <col min="14601" max="14601" width="12" style="157" customWidth="1"/>
    <col min="14602" max="14602" width="12.42578125" style="157" customWidth="1"/>
    <col min="14603" max="14603" width="12.28515625" style="157" customWidth="1"/>
    <col min="14604" max="14629" width="9.140625" style="157" customWidth="1"/>
    <col min="14630" max="14630" width="13.28515625" style="157" customWidth="1"/>
    <col min="14631" max="14848" width="9.140625" style="157"/>
    <col min="14849" max="14849" width="9.140625" style="157" customWidth="1"/>
    <col min="14850" max="14850" width="8" style="157" customWidth="1"/>
    <col min="14851" max="14851" width="34" style="157" customWidth="1"/>
    <col min="14852" max="14852" width="10.5703125" style="157" customWidth="1"/>
    <col min="14853" max="14853" width="9.140625" style="157"/>
    <col min="14854" max="14855" width="12.42578125" style="157" customWidth="1"/>
    <col min="14856" max="14856" width="1.42578125" style="157" customWidth="1"/>
    <col min="14857" max="14857" width="12" style="157" customWidth="1"/>
    <col min="14858" max="14858" width="12.42578125" style="157" customWidth="1"/>
    <col min="14859" max="14859" width="12.28515625" style="157" customWidth="1"/>
    <col min="14860" max="14885" width="9.140625" style="157" customWidth="1"/>
    <col min="14886" max="14886" width="13.28515625" style="157" customWidth="1"/>
    <col min="14887" max="15104" width="9.140625" style="157"/>
    <col min="15105" max="15105" width="9.140625" style="157" customWidth="1"/>
    <col min="15106" max="15106" width="8" style="157" customWidth="1"/>
    <col min="15107" max="15107" width="34" style="157" customWidth="1"/>
    <col min="15108" max="15108" width="10.5703125" style="157" customWidth="1"/>
    <col min="15109" max="15109" width="9.140625" style="157"/>
    <col min="15110" max="15111" width="12.42578125" style="157" customWidth="1"/>
    <col min="15112" max="15112" width="1.42578125" style="157" customWidth="1"/>
    <col min="15113" max="15113" width="12" style="157" customWidth="1"/>
    <col min="15114" max="15114" width="12.42578125" style="157" customWidth="1"/>
    <col min="15115" max="15115" width="12.28515625" style="157" customWidth="1"/>
    <col min="15116" max="15141" width="9.140625" style="157" customWidth="1"/>
    <col min="15142" max="15142" width="13.28515625" style="157" customWidth="1"/>
    <col min="15143" max="15360" width="9.140625" style="157"/>
    <col min="15361" max="15361" width="9.140625" style="157" customWidth="1"/>
    <col min="15362" max="15362" width="8" style="157" customWidth="1"/>
    <col min="15363" max="15363" width="34" style="157" customWidth="1"/>
    <col min="15364" max="15364" width="10.5703125" style="157" customWidth="1"/>
    <col min="15365" max="15365" width="9.140625" style="157"/>
    <col min="15366" max="15367" width="12.42578125" style="157" customWidth="1"/>
    <col min="15368" max="15368" width="1.42578125" style="157" customWidth="1"/>
    <col min="15369" max="15369" width="12" style="157" customWidth="1"/>
    <col min="15370" max="15370" width="12.42578125" style="157" customWidth="1"/>
    <col min="15371" max="15371" width="12.28515625" style="157" customWidth="1"/>
    <col min="15372" max="15397" width="9.140625" style="157" customWidth="1"/>
    <col min="15398" max="15398" width="13.28515625" style="157" customWidth="1"/>
    <col min="15399" max="15616" width="9.140625" style="157"/>
    <col min="15617" max="15617" width="9.140625" style="157" customWidth="1"/>
    <col min="15618" max="15618" width="8" style="157" customWidth="1"/>
    <col min="15619" max="15619" width="34" style="157" customWidth="1"/>
    <col min="15620" max="15620" width="10.5703125" style="157" customWidth="1"/>
    <col min="15621" max="15621" width="9.140625" style="157"/>
    <col min="15622" max="15623" width="12.42578125" style="157" customWidth="1"/>
    <col min="15624" max="15624" width="1.42578125" style="157" customWidth="1"/>
    <col min="15625" max="15625" width="12" style="157" customWidth="1"/>
    <col min="15626" max="15626" width="12.42578125" style="157" customWidth="1"/>
    <col min="15627" max="15627" width="12.28515625" style="157" customWidth="1"/>
    <col min="15628" max="15653" width="9.140625" style="157" customWidth="1"/>
    <col min="15654" max="15654" width="13.28515625" style="157" customWidth="1"/>
    <col min="15655" max="15872" width="9.140625" style="157"/>
    <col min="15873" max="15873" width="9.140625" style="157" customWidth="1"/>
    <col min="15874" max="15874" width="8" style="157" customWidth="1"/>
    <col min="15875" max="15875" width="34" style="157" customWidth="1"/>
    <col min="15876" max="15876" width="10.5703125" style="157" customWidth="1"/>
    <col min="15877" max="15877" width="9.140625" style="157"/>
    <col min="15878" max="15879" width="12.42578125" style="157" customWidth="1"/>
    <col min="15880" max="15880" width="1.42578125" style="157" customWidth="1"/>
    <col min="15881" max="15881" width="12" style="157" customWidth="1"/>
    <col min="15882" max="15882" width="12.42578125" style="157" customWidth="1"/>
    <col min="15883" max="15883" width="12.28515625" style="157" customWidth="1"/>
    <col min="15884" max="15909" width="9.140625" style="157" customWidth="1"/>
    <col min="15910" max="15910" width="13.28515625" style="157" customWidth="1"/>
    <col min="15911" max="16128" width="9.140625" style="157"/>
    <col min="16129" max="16129" width="9.140625" style="157" customWidth="1"/>
    <col min="16130" max="16130" width="8" style="157" customWidth="1"/>
    <col min="16131" max="16131" width="34" style="157" customWidth="1"/>
    <col min="16132" max="16132" width="10.5703125" style="157" customWidth="1"/>
    <col min="16133" max="16133" width="9.140625" style="157"/>
    <col min="16134" max="16135" width="12.42578125" style="157" customWidth="1"/>
    <col min="16136" max="16136" width="1.42578125" style="157" customWidth="1"/>
    <col min="16137" max="16137" width="12" style="157" customWidth="1"/>
    <col min="16138" max="16138" width="12.42578125" style="157" customWidth="1"/>
    <col min="16139" max="16139" width="12.28515625" style="157" customWidth="1"/>
    <col min="16140" max="16165" width="9.140625" style="157" customWidth="1"/>
    <col min="16166" max="16166" width="13.28515625" style="157" customWidth="1"/>
    <col min="16167" max="16384" width="9.140625" style="157"/>
  </cols>
  <sheetData>
    <row r="1" spans="1:87" ht="21" customHeight="1" thickBot="1">
      <c r="B1" s="484" t="s">
        <v>139</v>
      </c>
      <c r="C1" s="484"/>
      <c r="D1" s="484"/>
      <c r="E1" s="484"/>
      <c r="F1" s="484"/>
      <c r="G1" s="484"/>
      <c r="H1" s="484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</row>
    <row r="2" spans="1:87" s="158" customFormat="1" ht="20.25" customHeight="1" thickBot="1">
      <c r="A2" s="203"/>
      <c r="B2" s="172"/>
      <c r="C2" s="172"/>
      <c r="D2" s="201"/>
      <c r="E2" s="777"/>
      <c r="F2" s="172"/>
      <c r="G2" s="172"/>
      <c r="H2" s="172"/>
      <c r="I2" s="529" t="s">
        <v>140</v>
      </c>
      <c r="J2" s="530"/>
      <c r="K2" s="530"/>
      <c r="L2" s="530"/>
      <c r="M2" s="530"/>
      <c r="N2" s="530"/>
      <c r="O2" s="530"/>
      <c r="P2" s="530"/>
      <c r="Q2" s="530"/>
      <c r="R2" s="531"/>
      <c r="S2" s="529" t="s">
        <v>140</v>
      </c>
      <c r="T2" s="530"/>
      <c r="U2" s="530"/>
      <c r="V2" s="530"/>
      <c r="W2" s="530"/>
      <c r="X2" s="532"/>
      <c r="Y2" s="530"/>
      <c r="Z2" s="530"/>
      <c r="AA2" s="530"/>
      <c r="AB2" s="531"/>
      <c r="AC2" s="529" t="s">
        <v>140</v>
      </c>
      <c r="AD2" s="530"/>
      <c r="AE2" s="530"/>
      <c r="AF2" s="530"/>
      <c r="AG2" s="530"/>
      <c r="AH2" s="530"/>
      <c r="AI2" s="530"/>
      <c r="AJ2" s="530"/>
      <c r="AK2" s="530"/>
      <c r="AL2" s="531"/>
      <c r="AM2" s="172"/>
      <c r="AN2" s="486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</row>
    <row r="3" spans="1:87" s="158" customFormat="1" ht="20.25" customHeight="1" thickBot="1">
      <c r="A3" s="885"/>
      <c r="B3" s="173"/>
      <c r="C3" s="173"/>
      <c r="D3" s="174" t="s">
        <v>141</v>
      </c>
      <c r="E3" s="175" t="s">
        <v>142</v>
      </c>
      <c r="F3" s="175" t="s">
        <v>143</v>
      </c>
      <c r="G3" s="176" t="s">
        <v>144</v>
      </c>
      <c r="H3" s="177"/>
      <c r="I3" s="878" t="s">
        <v>350</v>
      </c>
      <c r="J3" s="879" t="s">
        <v>351</v>
      </c>
      <c r="K3" s="878" t="s">
        <v>352</v>
      </c>
      <c r="L3" s="879" t="s">
        <v>353</v>
      </c>
      <c r="M3" s="960" t="s">
        <v>354</v>
      </c>
      <c r="N3" s="959" t="s">
        <v>355</v>
      </c>
      <c r="O3" s="960" t="s">
        <v>356</v>
      </c>
      <c r="P3" s="959" t="s">
        <v>357</v>
      </c>
      <c r="Q3" s="960" t="s">
        <v>358</v>
      </c>
      <c r="R3" s="959" t="s">
        <v>181</v>
      </c>
      <c r="S3" s="960" t="s">
        <v>182</v>
      </c>
      <c r="T3" s="959" t="s">
        <v>183</v>
      </c>
      <c r="U3" s="492" t="s">
        <v>184</v>
      </c>
      <c r="V3" s="493" t="s">
        <v>185</v>
      </c>
      <c r="W3" s="492" t="s">
        <v>186</v>
      </c>
      <c r="X3" s="493" t="s">
        <v>187</v>
      </c>
      <c r="Y3" s="492" t="s">
        <v>188</v>
      </c>
      <c r="Z3" s="493" t="s">
        <v>189</v>
      </c>
      <c r="AA3" s="492" t="s">
        <v>190</v>
      </c>
      <c r="AB3" s="493" t="s">
        <v>191</v>
      </c>
      <c r="AC3" s="492" t="s">
        <v>192</v>
      </c>
      <c r="AD3" s="493" t="s">
        <v>193</v>
      </c>
      <c r="AE3" s="492" t="s">
        <v>194</v>
      </c>
      <c r="AF3" s="493" t="s">
        <v>195</v>
      </c>
      <c r="AG3" s="492" t="s">
        <v>196</v>
      </c>
      <c r="AH3" s="493" t="s">
        <v>197</v>
      </c>
      <c r="AI3" s="492" t="s">
        <v>198</v>
      </c>
      <c r="AJ3" s="493" t="s">
        <v>199</v>
      </c>
      <c r="AK3" s="492" t="s">
        <v>200</v>
      </c>
      <c r="AL3" s="493" t="s">
        <v>201</v>
      </c>
      <c r="AM3" s="173"/>
      <c r="AN3" s="490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</row>
    <row r="4" spans="1:87" ht="20.25" customHeight="1" thickBot="1">
      <c r="B4" s="178">
        <v>1</v>
      </c>
      <c r="C4" s="179" t="s">
        <v>145</v>
      </c>
      <c r="D4" s="180"/>
      <c r="E4" s="181"/>
      <c r="F4" s="182"/>
      <c r="G4" s="183">
        <f>'17 R1 INV COMP'!F5</f>
        <v>2227078.7523773117</v>
      </c>
      <c r="H4" s="183" t="e">
        <f>'17 R1 INV COMP'!#REF!</f>
        <v>#REF!</v>
      </c>
      <c r="I4" s="183">
        <f>'17 R1 INV COMP'!G5</f>
        <v>415602.55533382273</v>
      </c>
      <c r="J4" s="183">
        <f>'17 R1 INV COMP'!H5</f>
        <v>276066.08191973524</v>
      </c>
      <c r="K4" s="183">
        <f>'17 R1 INV COMP'!I5</f>
        <v>179425.64556351057</v>
      </c>
      <c r="L4" s="183">
        <f>'17 R1 INV COMP'!J5</f>
        <v>496375.95428624109</v>
      </c>
      <c r="M4" s="183">
        <f>'17 R1 INV COMP'!K5</f>
        <v>33061.865972076979</v>
      </c>
      <c r="N4" s="183">
        <f>'17 R1 INV COMP'!L5</f>
        <v>33061.865972076979</v>
      </c>
      <c r="O4" s="183">
        <f>'17 R1 INV COMP'!M5</f>
        <v>33061.865972076979</v>
      </c>
      <c r="P4" s="183">
        <f>'17 R1 INV COMP'!N5</f>
        <v>33061.865972076979</v>
      </c>
      <c r="Q4" s="183">
        <f>'17 R1 INV COMP'!O5</f>
        <v>33061.865972076979</v>
      </c>
      <c r="R4" s="183">
        <f>'17 R1 INV COMP'!P5</f>
        <v>33061.865972076979</v>
      </c>
      <c r="S4" s="183">
        <f>'17 R1 INV COMP'!Q5</f>
        <v>33061.865972076979</v>
      </c>
      <c r="T4" s="183">
        <f>'17 R1 INV COMP'!R5</f>
        <v>33061.865972076979</v>
      </c>
      <c r="U4" s="183">
        <f>'17 R1 INV COMP'!S5</f>
        <v>33061.865972076979</v>
      </c>
      <c r="V4" s="183">
        <f>'17 R1 INV COMP'!T5</f>
        <v>33061.865972076979</v>
      </c>
      <c r="W4" s="183">
        <f>'17 R1 INV COMP'!U5</f>
        <v>33061.865972076979</v>
      </c>
      <c r="X4" s="183">
        <f>'17 R1 INV COMP'!V5</f>
        <v>33061.865972076979</v>
      </c>
      <c r="Y4" s="183">
        <f>'17 R1 INV COMP'!W5</f>
        <v>33061.865972076979</v>
      </c>
      <c r="Z4" s="183">
        <f>'17 R1 INV COMP'!X5</f>
        <v>33061.865972076979</v>
      </c>
      <c r="AA4" s="183">
        <f>'17 R1 INV COMP'!Y5</f>
        <v>33061.865972076979</v>
      </c>
      <c r="AB4" s="183">
        <f>'17 R1 INV COMP'!Z5</f>
        <v>33061.865972076979</v>
      </c>
      <c r="AC4" s="183">
        <f>'17 R1 INV COMP'!AA5</f>
        <v>33061.865972076979</v>
      </c>
      <c r="AD4" s="183">
        <f>'17 R1 INV COMP'!AB5</f>
        <v>33061.865972076979</v>
      </c>
      <c r="AE4" s="183">
        <f>'17 R1 INV COMP'!AC5</f>
        <v>33061.865972076979</v>
      </c>
      <c r="AF4" s="183">
        <f>'17 R1 INV COMP'!AD5</f>
        <v>33061.865972076979</v>
      </c>
      <c r="AG4" s="183">
        <f>'17 R1 INV COMP'!AE5</f>
        <v>33061.865972076979</v>
      </c>
      <c r="AH4" s="183">
        <f>'17 R1 INV COMP'!AF5</f>
        <v>33061.865972076979</v>
      </c>
      <c r="AI4" s="183">
        <f>'17 R1 INV COMP'!AG5</f>
        <v>33061.865972076979</v>
      </c>
      <c r="AJ4" s="183">
        <f>'17 R1 INV COMP'!AH5</f>
        <v>33061.865972076979</v>
      </c>
      <c r="AK4" s="183">
        <f>'17 R1 INV COMP'!AI5</f>
        <v>33061.865972076979</v>
      </c>
      <c r="AL4" s="183">
        <f>'17 R1 INV COMP'!AJ5</f>
        <v>33061.865972076979</v>
      </c>
      <c r="AM4" s="486"/>
      <c r="AN4" s="489">
        <f>SUM(I4:AM4)-G4</f>
        <v>0</v>
      </c>
      <c r="AO4" s="486"/>
      <c r="AP4" s="486"/>
      <c r="AQ4" s="486"/>
      <c r="AR4" s="486"/>
      <c r="AS4" s="487"/>
      <c r="AT4" s="487"/>
      <c r="AU4" s="487"/>
      <c r="AV4" s="487"/>
    </row>
    <row r="5" spans="1:87" ht="20.25" customHeight="1" thickBot="1">
      <c r="B5" s="778" t="s">
        <v>146</v>
      </c>
      <c r="C5" s="779" t="s">
        <v>147</v>
      </c>
      <c r="D5" s="174"/>
      <c r="E5" s="780"/>
      <c r="F5" s="781"/>
      <c r="G5" s="782">
        <f>'17 R1 INV COMP'!F7</f>
        <v>549332.3489450902</v>
      </c>
      <c r="H5" s="782" t="e">
        <f>'17 R1 INV COMP'!#REF!</f>
        <v>#REF!</v>
      </c>
      <c r="I5" s="782">
        <f>'17 R1 INV COMP'!G7</f>
        <v>298647.82683240459</v>
      </c>
      <c r="J5" s="782">
        <f>'17 R1 INV COMP'!H7</f>
        <v>65491.021928009926</v>
      </c>
      <c r="K5" s="782">
        <f>'17 R1 INV COMP'!I7</f>
        <v>113111.25412275761</v>
      </c>
      <c r="L5" s="782">
        <f>'17 R1 INV COMP'!J7</f>
        <v>72082.246061918137</v>
      </c>
      <c r="M5" s="782">
        <f>'17 R1 INV COMP'!K7</f>
        <v>0</v>
      </c>
      <c r="N5" s="782">
        <f>'17 R1 INV COMP'!L7</f>
        <v>0</v>
      </c>
      <c r="O5" s="782">
        <f>'17 R1 INV COMP'!M7</f>
        <v>0</v>
      </c>
      <c r="P5" s="782">
        <f>'17 R1 INV COMP'!N7</f>
        <v>0</v>
      </c>
      <c r="Q5" s="782">
        <f>'17 R1 INV COMP'!O7</f>
        <v>0</v>
      </c>
      <c r="R5" s="782">
        <f>'17 R1 INV COMP'!P7</f>
        <v>0</v>
      </c>
      <c r="S5" s="782">
        <f>'17 R1 INV COMP'!Q7</f>
        <v>0</v>
      </c>
      <c r="T5" s="782">
        <f>'17 R1 INV COMP'!R7</f>
        <v>0</v>
      </c>
      <c r="U5" s="782">
        <f>'17 R1 INV COMP'!S7</f>
        <v>0</v>
      </c>
      <c r="V5" s="782">
        <f>'17 R1 INV COMP'!T7</f>
        <v>0</v>
      </c>
      <c r="W5" s="782">
        <f>'17 R1 INV COMP'!U7</f>
        <v>0</v>
      </c>
      <c r="X5" s="782">
        <f>'17 R1 INV COMP'!V7</f>
        <v>0</v>
      </c>
      <c r="Y5" s="782">
        <f>'17 R1 INV COMP'!W7</f>
        <v>0</v>
      </c>
      <c r="Z5" s="782">
        <f>'17 R1 INV COMP'!X7</f>
        <v>0</v>
      </c>
      <c r="AA5" s="782">
        <f>'17 R1 INV COMP'!Y7</f>
        <v>0</v>
      </c>
      <c r="AB5" s="782">
        <f>'17 R1 INV COMP'!Z7</f>
        <v>0</v>
      </c>
      <c r="AC5" s="782">
        <f>'17 R1 INV COMP'!AA7</f>
        <v>0</v>
      </c>
      <c r="AD5" s="782">
        <f>'17 R1 INV COMP'!AB7</f>
        <v>0</v>
      </c>
      <c r="AE5" s="782">
        <f>'17 R1 INV COMP'!AC7</f>
        <v>0</v>
      </c>
      <c r="AF5" s="782">
        <f>'17 R1 INV COMP'!AD7</f>
        <v>0</v>
      </c>
      <c r="AG5" s="782">
        <f>'17 R1 INV COMP'!AE7</f>
        <v>0</v>
      </c>
      <c r="AH5" s="782">
        <f>'17 R1 INV COMP'!AF7</f>
        <v>0</v>
      </c>
      <c r="AI5" s="782">
        <f>'17 R1 INV COMP'!AG7</f>
        <v>0</v>
      </c>
      <c r="AJ5" s="782">
        <f>'17 R1 INV COMP'!AH7</f>
        <v>0</v>
      </c>
      <c r="AK5" s="782">
        <f>'17 R1 INV COMP'!AI7</f>
        <v>0</v>
      </c>
      <c r="AL5" s="782">
        <f>'17 R1 INV COMP'!AJ7</f>
        <v>0</v>
      </c>
      <c r="AM5" s="490"/>
      <c r="AN5" s="489">
        <f t="shared" ref="AN5:AN68" si="0">SUM(I5:AM5)-G5</f>
        <v>0</v>
      </c>
      <c r="AO5" s="490"/>
      <c r="AP5" s="490"/>
      <c r="AQ5" s="490"/>
      <c r="AR5" s="490"/>
      <c r="AS5" s="488"/>
      <c r="AT5" s="488"/>
      <c r="AU5" s="488"/>
      <c r="AV5" s="488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</row>
    <row r="6" spans="1:87" ht="25.5">
      <c r="B6" s="184"/>
      <c r="C6" s="249" t="s">
        <v>248</v>
      </c>
      <c r="D6" s="250">
        <v>1</v>
      </c>
      <c r="E6" s="251" t="s">
        <v>249</v>
      </c>
      <c r="F6" s="506">
        <v>61319.977355847921</v>
      </c>
      <c r="G6" s="522">
        <f>'17 R1 INV COMP'!F9</f>
        <v>22893.407629661378</v>
      </c>
      <c r="H6" s="522" t="e">
        <f>'17 R1 INV COMP'!#REF!</f>
        <v>#REF!</v>
      </c>
      <c r="I6" s="522">
        <f>'17 R1 INV COMP'!G9</f>
        <v>22893.407629661378</v>
      </c>
      <c r="J6" s="522">
        <f>'17 R1 INV COMP'!H9</f>
        <v>0</v>
      </c>
      <c r="K6" s="522">
        <f>'17 R1 INV COMP'!I9</f>
        <v>0</v>
      </c>
      <c r="L6" s="522">
        <f>'17 R1 INV COMP'!J9</f>
        <v>0</v>
      </c>
      <c r="M6" s="522">
        <f>'17 R1 INV COMP'!K9</f>
        <v>0</v>
      </c>
      <c r="N6" s="522">
        <f>'17 R1 INV COMP'!L9</f>
        <v>0</v>
      </c>
      <c r="O6" s="522">
        <f>'17 R1 INV COMP'!M9</f>
        <v>0</v>
      </c>
      <c r="P6" s="522">
        <f>'17 R1 INV COMP'!N9</f>
        <v>0</v>
      </c>
      <c r="Q6" s="522">
        <f>'17 R1 INV COMP'!O9</f>
        <v>0</v>
      </c>
      <c r="R6" s="522">
        <f>'17 R1 INV COMP'!P9</f>
        <v>0</v>
      </c>
      <c r="S6" s="522">
        <f>'17 R1 INV COMP'!Q9</f>
        <v>0</v>
      </c>
      <c r="T6" s="522">
        <f>'17 R1 INV COMP'!R9</f>
        <v>0</v>
      </c>
      <c r="U6" s="522">
        <f>'17 R1 INV COMP'!S9</f>
        <v>0</v>
      </c>
      <c r="V6" s="522">
        <f>'17 R1 INV COMP'!T9</f>
        <v>0</v>
      </c>
      <c r="W6" s="522">
        <f>'17 R1 INV COMP'!U9</f>
        <v>0</v>
      </c>
      <c r="X6" s="522">
        <f>'17 R1 INV COMP'!V9</f>
        <v>0</v>
      </c>
      <c r="Y6" s="522">
        <f>'17 R1 INV COMP'!W9</f>
        <v>0</v>
      </c>
      <c r="Z6" s="522">
        <f>'17 R1 INV COMP'!X9</f>
        <v>0</v>
      </c>
      <c r="AA6" s="522">
        <f>'17 R1 INV COMP'!Y9</f>
        <v>0</v>
      </c>
      <c r="AB6" s="522">
        <f>'17 R1 INV COMP'!Z9</f>
        <v>0</v>
      </c>
      <c r="AC6" s="522">
        <f>'17 R1 INV COMP'!AA9</f>
        <v>0</v>
      </c>
      <c r="AD6" s="522">
        <f>'17 R1 INV COMP'!AB9</f>
        <v>0</v>
      </c>
      <c r="AE6" s="522">
        <f>'17 R1 INV COMP'!AC9</f>
        <v>0</v>
      </c>
      <c r="AF6" s="522">
        <f>'17 R1 INV COMP'!AD9</f>
        <v>0</v>
      </c>
      <c r="AG6" s="522">
        <f>'17 R1 INV COMP'!AE9</f>
        <v>0</v>
      </c>
      <c r="AH6" s="522">
        <f>'17 R1 INV COMP'!AF9</f>
        <v>0</v>
      </c>
      <c r="AI6" s="522">
        <f>'17 R1 INV COMP'!AG9</f>
        <v>0</v>
      </c>
      <c r="AJ6" s="522">
        <f>'17 R1 INV COMP'!AH9</f>
        <v>0</v>
      </c>
      <c r="AK6" s="522">
        <f>'17 R1 INV COMP'!AI9</f>
        <v>0</v>
      </c>
      <c r="AL6" s="522">
        <f>'17 R1 INV COMP'!AJ9</f>
        <v>0</v>
      </c>
      <c r="AM6" s="486"/>
      <c r="AN6" s="489">
        <f t="shared" si="0"/>
        <v>0</v>
      </c>
      <c r="AO6" s="486"/>
      <c r="AP6" s="486"/>
      <c r="AQ6" s="486"/>
      <c r="AR6" s="486"/>
      <c r="AS6" s="487"/>
      <c r="AT6" s="487"/>
      <c r="AU6" s="487"/>
      <c r="AV6" s="487"/>
    </row>
    <row r="7" spans="1:87">
      <c r="B7" s="185"/>
      <c r="C7" s="783" t="s">
        <v>413</v>
      </c>
      <c r="D7" s="252">
        <v>1</v>
      </c>
      <c r="E7" s="253" t="s">
        <v>249</v>
      </c>
      <c r="F7" s="507">
        <f>I7+J7+K7</f>
        <v>217998.1680197581</v>
      </c>
      <c r="G7" s="502">
        <f>'17 R1 INV COMP'!F11</f>
        <v>217998.1680197581</v>
      </c>
      <c r="H7" s="502" t="e">
        <f>'17 R1 INV COMP'!#REF!</f>
        <v>#REF!</v>
      </c>
      <c r="I7" s="502">
        <f>'17 R1 INV COMP'!G11</f>
        <v>114824.40634376337</v>
      </c>
      <c r="J7" s="502">
        <f>'17 R1 INV COMP'!H11</f>
        <v>28287.95200661978</v>
      </c>
      <c r="K7" s="502">
        <f>'17 R1 INV COMP'!I11</f>
        <v>74885.809669374954</v>
      </c>
      <c r="L7" s="502">
        <f>'17 R1 INV COMP'!J11</f>
        <v>0</v>
      </c>
      <c r="M7" s="502">
        <f>'17 R1 INV COMP'!K11</f>
        <v>0</v>
      </c>
      <c r="N7" s="502">
        <f>'17 R1 INV COMP'!L11</f>
        <v>0</v>
      </c>
      <c r="O7" s="502">
        <f>'17 R1 INV COMP'!M11</f>
        <v>0</v>
      </c>
      <c r="P7" s="502">
        <f>'17 R1 INV COMP'!N11</f>
        <v>0</v>
      </c>
      <c r="Q7" s="502">
        <f>'17 R1 INV COMP'!O11</f>
        <v>0</v>
      </c>
      <c r="R7" s="502">
        <f>'17 R1 INV COMP'!P11</f>
        <v>0</v>
      </c>
      <c r="S7" s="502">
        <f>'17 R1 INV COMP'!Q11</f>
        <v>0</v>
      </c>
      <c r="T7" s="502">
        <f>'17 R1 INV COMP'!R11</f>
        <v>0</v>
      </c>
      <c r="U7" s="502">
        <f>'17 R1 INV COMP'!S11</f>
        <v>0</v>
      </c>
      <c r="V7" s="502">
        <f>'17 R1 INV COMP'!T11</f>
        <v>0</v>
      </c>
      <c r="W7" s="502">
        <f>'17 R1 INV COMP'!U11</f>
        <v>0</v>
      </c>
      <c r="X7" s="502">
        <f>'17 R1 INV COMP'!V11</f>
        <v>0</v>
      </c>
      <c r="Y7" s="502">
        <f>'17 R1 INV COMP'!W11</f>
        <v>0</v>
      </c>
      <c r="Z7" s="502">
        <f>'17 R1 INV COMP'!X11</f>
        <v>0</v>
      </c>
      <c r="AA7" s="502">
        <f>'17 R1 INV COMP'!Y11</f>
        <v>0</v>
      </c>
      <c r="AB7" s="502">
        <f>'17 R1 INV COMP'!Z11</f>
        <v>0</v>
      </c>
      <c r="AC7" s="502">
        <f>'17 R1 INV COMP'!AA11</f>
        <v>0</v>
      </c>
      <c r="AD7" s="502">
        <f>'17 R1 INV COMP'!AB11</f>
        <v>0</v>
      </c>
      <c r="AE7" s="502">
        <f>'17 R1 INV COMP'!AC11</f>
        <v>0</v>
      </c>
      <c r="AF7" s="502">
        <f>'17 R1 INV COMP'!AD11</f>
        <v>0</v>
      </c>
      <c r="AG7" s="502">
        <f>'17 R1 INV COMP'!AE11</f>
        <v>0</v>
      </c>
      <c r="AH7" s="502">
        <f>'17 R1 INV COMP'!AF11</f>
        <v>0</v>
      </c>
      <c r="AI7" s="502">
        <f>'17 R1 INV COMP'!AG11</f>
        <v>0</v>
      </c>
      <c r="AJ7" s="502">
        <f>'17 R1 INV COMP'!AH11</f>
        <v>0</v>
      </c>
      <c r="AK7" s="502">
        <f>'17 R1 INV COMP'!AI11</f>
        <v>0</v>
      </c>
      <c r="AL7" s="502">
        <f>'17 R1 INV COMP'!AJ11</f>
        <v>0</v>
      </c>
      <c r="AM7" s="486"/>
      <c r="AN7" s="489">
        <f t="shared" si="0"/>
        <v>0</v>
      </c>
      <c r="AO7" s="486"/>
      <c r="AP7" s="486"/>
      <c r="AQ7" s="486"/>
      <c r="AR7" s="486"/>
      <c r="AS7" s="487"/>
      <c r="AT7" s="487"/>
      <c r="AU7" s="487"/>
      <c r="AV7" s="487"/>
    </row>
    <row r="8" spans="1:87" ht="25.5">
      <c r="B8" s="185"/>
      <c r="C8" s="783" t="s">
        <v>250</v>
      </c>
      <c r="D8" s="252">
        <v>1</v>
      </c>
      <c r="E8" s="253" t="s">
        <v>249</v>
      </c>
      <c r="F8" s="507">
        <f>I8+J8+K8</f>
        <v>178181.47332223738</v>
      </c>
      <c r="G8" s="502">
        <f>'17 R1 INV COMP'!F13</f>
        <v>178181.47332223738</v>
      </c>
      <c r="H8" s="502" t="e">
        <f>'17 R1 INV COMP'!#REF!</f>
        <v>#REF!</v>
      </c>
      <c r="I8" s="502">
        <f>'17 R1 INV COMP'!G13</f>
        <v>148427.65537933988</v>
      </c>
      <c r="J8" s="502">
        <f>'17 R1 INV COMP'!H13</f>
        <v>12251.187422424493</v>
      </c>
      <c r="K8" s="502">
        <f>'17 R1 INV COMP'!I13</f>
        <v>17502.630520473009</v>
      </c>
      <c r="L8" s="502">
        <f>'17 R1 INV COMP'!J13</f>
        <v>0</v>
      </c>
      <c r="M8" s="502">
        <f>'17 R1 INV COMP'!K13</f>
        <v>0</v>
      </c>
      <c r="N8" s="502">
        <f>'17 R1 INV COMP'!L13</f>
        <v>0</v>
      </c>
      <c r="O8" s="502">
        <f>'17 R1 INV COMP'!M13</f>
        <v>0</v>
      </c>
      <c r="P8" s="502">
        <f>'17 R1 INV COMP'!N13</f>
        <v>0</v>
      </c>
      <c r="Q8" s="502">
        <f>'17 R1 INV COMP'!O13</f>
        <v>0</v>
      </c>
      <c r="R8" s="502">
        <f>'17 R1 INV COMP'!P13</f>
        <v>0</v>
      </c>
      <c r="S8" s="502">
        <f>'17 R1 INV COMP'!Q13</f>
        <v>0</v>
      </c>
      <c r="T8" s="502">
        <f>'17 R1 INV COMP'!R13</f>
        <v>0</v>
      </c>
      <c r="U8" s="502">
        <f>'17 R1 INV COMP'!S13</f>
        <v>0</v>
      </c>
      <c r="V8" s="502">
        <f>'17 R1 INV COMP'!T13</f>
        <v>0</v>
      </c>
      <c r="W8" s="502">
        <f>'17 R1 INV COMP'!U13</f>
        <v>0</v>
      </c>
      <c r="X8" s="502">
        <f>'17 R1 INV COMP'!V13</f>
        <v>0</v>
      </c>
      <c r="Y8" s="502">
        <f>'17 R1 INV COMP'!W13</f>
        <v>0</v>
      </c>
      <c r="Z8" s="502">
        <f>'17 R1 INV COMP'!X13</f>
        <v>0</v>
      </c>
      <c r="AA8" s="502">
        <f>'17 R1 INV COMP'!Y13</f>
        <v>0</v>
      </c>
      <c r="AB8" s="502">
        <f>'17 R1 INV COMP'!Z13</f>
        <v>0</v>
      </c>
      <c r="AC8" s="502">
        <f>'17 R1 INV COMP'!AA13</f>
        <v>0</v>
      </c>
      <c r="AD8" s="502">
        <f>'17 R1 INV COMP'!AB13</f>
        <v>0</v>
      </c>
      <c r="AE8" s="502">
        <f>'17 R1 INV COMP'!AC13</f>
        <v>0</v>
      </c>
      <c r="AF8" s="502">
        <f>'17 R1 INV COMP'!AD13</f>
        <v>0</v>
      </c>
      <c r="AG8" s="502">
        <f>'17 R1 INV COMP'!AE13</f>
        <v>0</v>
      </c>
      <c r="AH8" s="502">
        <f>'17 R1 INV COMP'!AF13</f>
        <v>0</v>
      </c>
      <c r="AI8" s="502">
        <f>'17 R1 INV COMP'!AG13</f>
        <v>0</v>
      </c>
      <c r="AJ8" s="502">
        <f>'17 R1 INV COMP'!AH13</f>
        <v>0</v>
      </c>
      <c r="AK8" s="502">
        <f>'17 R1 INV COMP'!AI13</f>
        <v>0</v>
      </c>
      <c r="AL8" s="502">
        <f>'17 R1 INV COMP'!AJ13</f>
        <v>0</v>
      </c>
      <c r="AM8" s="486"/>
      <c r="AN8" s="489">
        <f t="shared" si="0"/>
        <v>0</v>
      </c>
      <c r="AO8" s="486"/>
      <c r="AP8" s="486"/>
      <c r="AQ8" s="486"/>
      <c r="AR8" s="486"/>
      <c r="AS8" s="487"/>
      <c r="AT8" s="487"/>
      <c r="AU8" s="487"/>
      <c r="AV8" s="487"/>
    </row>
    <row r="9" spans="1:87">
      <c r="B9" s="185"/>
      <c r="C9" s="783" t="s">
        <v>432</v>
      </c>
      <c r="D9" s="252">
        <v>1</v>
      </c>
      <c r="E9" s="253" t="s">
        <v>249</v>
      </c>
      <c r="F9" s="507">
        <v>76649.971694809894</v>
      </c>
      <c r="G9" s="502">
        <f>'17 R1 INV COMP'!F15</f>
        <v>76649.971694809894</v>
      </c>
      <c r="H9" s="502" t="e">
        <f>'17 R1 INV COMP'!#REF!</f>
        <v>#REF!</v>
      </c>
      <c r="I9" s="502">
        <f>'17 R1 INV COMP'!G15</f>
        <v>1594.5135019288468</v>
      </c>
      <c r="J9" s="502">
        <f>'17 R1 INV COMP'!H15</f>
        <v>0</v>
      </c>
      <c r="K9" s="502">
        <f>'17 R1 INV COMP'!I15</f>
        <v>2973.2121309629151</v>
      </c>
      <c r="L9" s="502">
        <f>'17 R1 INV COMP'!J15</f>
        <v>72082.246061918137</v>
      </c>
      <c r="M9" s="502">
        <f>'17 R1 INV COMP'!K15</f>
        <v>0</v>
      </c>
      <c r="N9" s="502">
        <f>'17 R1 INV COMP'!L15</f>
        <v>0</v>
      </c>
      <c r="O9" s="502">
        <f>'17 R1 INV COMP'!M15</f>
        <v>0</v>
      </c>
      <c r="P9" s="502">
        <f>'17 R1 INV COMP'!N15</f>
        <v>0</v>
      </c>
      <c r="Q9" s="502">
        <f>'17 R1 INV COMP'!O15</f>
        <v>0</v>
      </c>
      <c r="R9" s="502">
        <f>'17 R1 INV COMP'!P15</f>
        <v>0</v>
      </c>
      <c r="S9" s="502">
        <f>'17 R1 INV COMP'!Q15</f>
        <v>0</v>
      </c>
      <c r="T9" s="502">
        <f>'17 R1 INV COMP'!R15</f>
        <v>0</v>
      </c>
      <c r="U9" s="502">
        <f>'17 R1 INV COMP'!S15</f>
        <v>0</v>
      </c>
      <c r="V9" s="502">
        <f>'17 R1 INV COMP'!T15</f>
        <v>0</v>
      </c>
      <c r="W9" s="502">
        <f>'17 R1 INV COMP'!U15</f>
        <v>0</v>
      </c>
      <c r="X9" s="502">
        <f>'17 R1 INV COMP'!V15</f>
        <v>0</v>
      </c>
      <c r="Y9" s="502">
        <f>'17 R1 INV COMP'!W15</f>
        <v>0</v>
      </c>
      <c r="Z9" s="502">
        <f>'17 R1 INV COMP'!X15</f>
        <v>0</v>
      </c>
      <c r="AA9" s="502">
        <f>'17 R1 INV COMP'!Y15</f>
        <v>0</v>
      </c>
      <c r="AB9" s="502">
        <f>'17 R1 INV COMP'!Z15</f>
        <v>0</v>
      </c>
      <c r="AC9" s="502">
        <f>'17 R1 INV COMP'!AA15</f>
        <v>0</v>
      </c>
      <c r="AD9" s="502">
        <f>'17 R1 INV COMP'!AB15</f>
        <v>0</v>
      </c>
      <c r="AE9" s="502">
        <f>'17 R1 INV COMP'!AC15</f>
        <v>0</v>
      </c>
      <c r="AF9" s="502">
        <f>'17 R1 INV COMP'!AD15</f>
        <v>0</v>
      </c>
      <c r="AG9" s="502">
        <f>'17 R1 INV COMP'!AE15</f>
        <v>0</v>
      </c>
      <c r="AH9" s="502">
        <f>'17 R1 INV COMP'!AF15</f>
        <v>0</v>
      </c>
      <c r="AI9" s="502">
        <f>'17 R1 INV COMP'!AG15</f>
        <v>0</v>
      </c>
      <c r="AJ9" s="502">
        <f>'17 R1 INV COMP'!AH15</f>
        <v>0</v>
      </c>
      <c r="AK9" s="502">
        <f>'17 R1 INV COMP'!AI15</f>
        <v>0</v>
      </c>
      <c r="AL9" s="502">
        <f>'17 R1 INV COMP'!AJ15</f>
        <v>0</v>
      </c>
      <c r="AM9" s="486"/>
      <c r="AN9" s="489">
        <f t="shared" si="0"/>
        <v>0</v>
      </c>
      <c r="AO9" s="486"/>
      <c r="AP9" s="486"/>
      <c r="AQ9" s="486"/>
      <c r="AR9" s="486"/>
      <c r="AS9" s="487"/>
      <c r="AT9" s="487"/>
      <c r="AU9" s="487"/>
      <c r="AV9" s="487"/>
    </row>
    <row r="10" spans="1:87">
      <c r="B10" s="185"/>
      <c r="C10" s="784" t="s">
        <v>434</v>
      </c>
      <c r="D10" s="252">
        <v>1</v>
      </c>
      <c r="E10" s="253" t="s">
        <v>249</v>
      </c>
      <c r="F10" s="507">
        <f>SUM(I10:K10)</f>
        <v>52896.083529373616</v>
      </c>
      <c r="G10" s="502">
        <f>'17 R1 INV COMP'!F17</f>
        <v>52896.083529373616</v>
      </c>
      <c r="H10" s="502" t="e">
        <f>'17 R1 INV COMP'!#REF!</f>
        <v>#REF!</v>
      </c>
      <c r="I10" s="502">
        <f>'17 R1 INV COMP'!G17</f>
        <v>10194.599228461208</v>
      </c>
      <c r="J10" s="502">
        <f>'17 R1 INV COMP'!H17</f>
        <v>24951.88249896566</v>
      </c>
      <c r="K10" s="502">
        <f>'17 R1 INV COMP'!I17</f>
        <v>17749.601801946745</v>
      </c>
      <c r="L10" s="502">
        <f>'17 R1 INV COMP'!J17</f>
        <v>0</v>
      </c>
      <c r="M10" s="502">
        <f>'17 R1 INV COMP'!K17</f>
        <v>0</v>
      </c>
      <c r="N10" s="502">
        <f>'17 R1 INV COMP'!L17</f>
        <v>0</v>
      </c>
      <c r="O10" s="502">
        <f>'17 R1 INV COMP'!M17</f>
        <v>0</v>
      </c>
      <c r="P10" s="502">
        <f>'17 R1 INV COMP'!N17</f>
        <v>0</v>
      </c>
      <c r="Q10" s="502">
        <f>'17 R1 INV COMP'!O17</f>
        <v>0</v>
      </c>
      <c r="R10" s="502">
        <f>'17 R1 INV COMP'!P17</f>
        <v>0</v>
      </c>
      <c r="S10" s="502">
        <f>'17 R1 INV COMP'!Q17</f>
        <v>0</v>
      </c>
      <c r="T10" s="502">
        <f>'17 R1 INV COMP'!R17</f>
        <v>0</v>
      </c>
      <c r="U10" s="502">
        <f>'17 R1 INV COMP'!S17</f>
        <v>0</v>
      </c>
      <c r="V10" s="502">
        <f>'17 R1 INV COMP'!T17</f>
        <v>0</v>
      </c>
      <c r="W10" s="502">
        <f>'17 R1 INV COMP'!U17</f>
        <v>0</v>
      </c>
      <c r="X10" s="502">
        <f>'17 R1 INV COMP'!V17</f>
        <v>0</v>
      </c>
      <c r="Y10" s="502">
        <f>'17 R1 INV COMP'!W17</f>
        <v>0</v>
      </c>
      <c r="Z10" s="502">
        <f>'17 R1 INV COMP'!X17</f>
        <v>0</v>
      </c>
      <c r="AA10" s="502">
        <f>'17 R1 INV COMP'!Y17</f>
        <v>0</v>
      </c>
      <c r="AB10" s="502">
        <f>'17 R1 INV COMP'!Z17</f>
        <v>0</v>
      </c>
      <c r="AC10" s="502">
        <f>'17 R1 INV COMP'!AA17</f>
        <v>0</v>
      </c>
      <c r="AD10" s="502">
        <f>'17 R1 INV COMP'!AB17</f>
        <v>0</v>
      </c>
      <c r="AE10" s="502">
        <f>'17 R1 INV COMP'!AC17</f>
        <v>0</v>
      </c>
      <c r="AF10" s="502">
        <f>'17 R1 INV COMP'!AD17</f>
        <v>0</v>
      </c>
      <c r="AG10" s="502">
        <f>'17 R1 INV COMP'!AE17</f>
        <v>0</v>
      </c>
      <c r="AH10" s="502">
        <f>'17 R1 INV COMP'!AF17</f>
        <v>0</v>
      </c>
      <c r="AI10" s="502">
        <f>'17 R1 INV COMP'!AG17</f>
        <v>0</v>
      </c>
      <c r="AJ10" s="502">
        <f>'17 R1 INV COMP'!AH17</f>
        <v>0</v>
      </c>
      <c r="AK10" s="502">
        <f>'17 R1 INV COMP'!AI17</f>
        <v>0</v>
      </c>
      <c r="AL10" s="502">
        <f>'17 R1 INV COMP'!AJ17</f>
        <v>0</v>
      </c>
      <c r="AM10" s="486"/>
      <c r="AN10" s="489">
        <f t="shared" si="0"/>
        <v>0</v>
      </c>
      <c r="AO10" s="486"/>
      <c r="AP10" s="486"/>
      <c r="AQ10" s="486"/>
      <c r="AR10" s="486"/>
      <c r="AS10" s="487"/>
      <c r="AT10" s="487"/>
      <c r="AU10" s="487"/>
      <c r="AV10" s="487"/>
    </row>
    <row r="11" spans="1:87">
      <c r="B11" s="185"/>
      <c r="C11" s="785" t="s">
        <v>441</v>
      </c>
      <c r="D11" s="252">
        <v>2</v>
      </c>
      <c r="E11" s="253" t="s">
        <v>142</v>
      </c>
      <c r="F11" s="507">
        <v>4087.9984903898617</v>
      </c>
      <c r="G11" s="502">
        <f>'17 R1 INV COMP'!F19</f>
        <v>713.24474924989283</v>
      </c>
      <c r="H11" s="502" t="e">
        <f>'17 R1 INV COMP'!#REF!</f>
        <v>#REF!</v>
      </c>
      <c r="I11" s="502">
        <f>'17 R1 INV COMP'!G19</f>
        <v>713.24474924989283</v>
      </c>
      <c r="J11" s="502">
        <f>'17 R1 INV COMP'!H19</f>
        <v>0</v>
      </c>
      <c r="K11" s="502">
        <f>'17 R1 INV COMP'!I19</f>
        <v>0</v>
      </c>
      <c r="L11" s="502">
        <f>'17 R1 INV COMP'!J19</f>
        <v>0</v>
      </c>
      <c r="M11" s="502">
        <f>'17 R1 INV COMP'!K19</f>
        <v>0</v>
      </c>
      <c r="N11" s="502">
        <f>'17 R1 INV COMP'!L19</f>
        <v>0</v>
      </c>
      <c r="O11" s="502">
        <f>'17 R1 INV COMP'!M19</f>
        <v>0</v>
      </c>
      <c r="P11" s="502">
        <f>'17 R1 INV COMP'!N19</f>
        <v>0</v>
      </c>
      <c r="Q11" s="502">
        <f>'17 R1 INV COMP'!O19</f>
        <v>0</v>
      </c>
      <c r="R11" s="502">
        <f>'17 R1 INV COMP'!P19</f>
        <v>0</v>
      </c>
      <c r="S11" s="502">
        <f>'17 R1 INV COMP'!Q19</f>
        <v>0</v>
      </c>
      <c r="T11" s="502">
        <f>'17 R1 INV COMP'!R19</f>
        <v>0</v>
      </c>
      <c r="U11" s="502">
        <f>'17 R1 INV COMP'!S19</f>
        <v>0</v>
      </c>
      <c r="V11" s="502">
        <f>'17 R1 INV COMP'!T19</f>
        <v>0</v>
      </c>
      <c r="W11" s="502">
        <f>'17 R1 INV COMP'!U19</f>
        <v>0</v>
      </c>
      <c r="X11" s="502">
        <f>'17 R1 INV COMP'!V19</f>
        <v>0</v>
      </c>
      <c r="Y11" s="502">
        <f>'17 R1 INV COMP'!W19</f>
        <v>0</v>
      </c>
      <c r="Z11" s="502">
        <f>'17 R1 INV COMP'!X19</f>
        <v>0</v>
      </c>
      <c r="AA11" s="502">
        <f>'17 R1 INV COMP'!Y19</f>
        <v>0</v>
      </c>
      <c r="AB11" s="502">
        <f>'17 R1 INV COMP'!Z19</f>
        <v>0</v>
      </c>
      <c r="AC11" s="502">
        <f>'17 R1 INV COMP'!AA19</f>
        <v>0</v>
      </c>
      <c r="AD11" s="502">
        <f>'17 R1 INV COMP'!AB19</f>
        <v>0</v>
      </c>
      <c r="AE11" s="502">
        <f>'17 R1 INV COMP'!AC19</f>
        <v>0</v>
      </c>
      <c r="AF11" s="502">
        <f>'17 R1 INV COMP'!AD19</f>
        <v>0</v>
      </c>
      <c r="AG11" s="502">
        <f>'17 R1 INV COMP'!AE19</f>
        <v>0</v>
      </c>
      <c r="AH11" s="502">
        <f>'17 R1 INV COMP'!AF19</f>
        <v>0</v>
      </c>
      <c r="AI11" s="502">
        <f>'17 R1 INV COMP'!AG19</f>
        <v>0</v>
      </c>
      <c r="AJ11" s="502">
        <f>'17 R1 INV COMP'!AH19</f>
        <v>0</v>
      </c>
      <c r="AK11" s="502">
        <f>'17 R1 INV COMP'!AI19</f>
        <v>0</v>
      </c>
      <c r="AL11" s="502">
        <f>'17 R1 INV COMP'!AJ19</f>
        <v>0</v>
      </c>
      <c r="AM11" s="486"/>
      <c r="AN11" s="489">
        <f t="shared" si="0"/>
        <v>0</v>
      </c>
      <c r="AO11" s="486"/>
      <c r="AP11" s="486"/>
      <c r="AQ11" s="486"/>
      <c r="AR11" s="486"/>
      <c r="AS11" s="487"/>
      <c r="AT11" s="487"/>
      <c r="AU11" s="487"/>
      <c r="AV11" s="487"/>
    </row>
    <row r="12" spans="1:87">
      <c r="B12" s="185"/>
      <c r="C12" s="785" t="s">
        <v>443</v>
      </c>
      <c r="D12" s="252">
        <v>3</v>
      </c>
      <c r="E12" s="253" t="s">
        <v>142</v>
      </c>
      <c r="F12" s="507">
        <v>2043.9992451949308</v>
      </c>
      <c r="G12" s="502">
        <f>'17 R1 INV COMP'!F21</f>
        <v>0</v>
      </c>
      <c r="H12" s="502" t="e">
        <f>'17 R1 INV COMP'!#REF!</f>
        <v>#REF!</v>
      </c>
      <c r="I12" s="502">
        <f>'17 R1 INV COMP'!G21</f>
        <v>0</v>
      </c>
      <c r="J12" s="502">
        <f>'17 R1 INV COMP'!H21</f>
        <v>0</v>
      </c>
      <c r="K12" s="502">
        <f>'17 R1 INV COMP'!I21</f>
        <v>0</v>
      </c>
      <c r="L12" s="502">
        <f>'17 R1 INV COMP'!J21</f>
        <v>0</v>
      </c>
      <c r="M12" s="502">
        <f>'17 R1 INV COMP'!K21</f>
        <v>0</v>
      </c>
      <c r="N12" s="502">
        <f>'17 R1 INV COMP'!L21</f>
        <v>0</v>
      </c>
      <c r="O12" s="502">
        <f>'17 R1 INV COMP'!M21</f>
        <v>0</v>
      </c>
      <c r="P12" s="502">
        <f>'17 R1 INV COMP'!N21</f>
        <v>0</v>
      </c>
      <c r="Q12" s="502">
        <f>'17 R1 INV COMP'!O21</f>
        <v>0</v>
      </c>
      <c r="R12" s="502">
        <f>'17 R1 INV COMP'!P21</f>
        <v>0</v>
      </c>
      <c r="S12" s="502">
        <f>'17 R1 INV COMP'!Q21</f>
        <v>0</v>
      </c>
      <c r="T12" s="502">
        <f>'17 R1 INV COMP'!R21</f>
        <v>0</v>
      </c>
      <c r="U12" s="502">
        <f>'17 R1 INV COMP'!S21</f>
        <v>0</v>
      </c>
      <c r="V12" s="502">
        <f>'17 R1 INV COMP'!T21</f>
        <v>0</v>
      </c>
      <c r="W12" s="502">
        <f>'17 R1 INV COMP'!U21</f>
        <v>0</v>
      </c>
      <c r="X12" s="502">
        <f>'17 R1 INV COMP'!V21</f>
        <v>0</v>
      </c>
      <c r="Y12" s="502">
        <f>'17 R1 INV COMP'!W21</f>
        <v>0</v>
      </c>
      <c r="Z12" s="502">
        <f>'17 R1 INV COMP'!X21</f>
        <v>0</v>
      </c>
      <c r="AA12" s="502">
        <f>'17 R1 INV COMP'!Y21</f>
        <v>0</v>
      </c>
      <c r="AB12" s="502">
        <f>'17 R1 INV COMP'!Z21</f>
        <v>0</v>
      </c>
      <c r="AC12" s="502">
        <f>'17 R1 INV COMP'!AA21</f>
        <v>0</v>
      </c>
      <c r="AD12" s="502">
        <f>'17 R1 INV COMP'!AB21</f>
        <v>0</v>
      </c>
      <c r="AE12" s="502">
        <f>'17 R1 INV COMP'!AC21</f>
        <v>0</v>
      </c>
      <c r="AF12" s="502">
        <f>'17 R1 INV COMP'!AD21</f>
        <v>0</v>
      </c>
      <c r="AG12" s="502">
        <f>'17 R1 INV COMP'!AE21</f>
        <v>0</v>
      </c>
      <c r="AH12" s="502">
        <f>'17 R1 INV COMP'!AF21</f>
        <v>0</v>
      </c>
      <c r="AI12" s="502">
        <f>'17 R1 INV COMP'!AG21</f>
        <v>0</v>
      </c>
      <c r="AJ12" s="502">
        <f>'17 R1 INV COMP'!AH21</f>
        <v>0</v>
      </c>
      <c r="AK12" s="502">
        <f>'17 R1 INV COMP'!AI21</f>
        <v>0</v>
      </c>
      <c r="AL12" s="502">
        <f>'17 R1 INV COMP'!AJ21</f>
        <v>0</v>
      </c>
      <c r="AM12" s="486"/>
      <c r="AN12" s="489">
        <f t="shared" si="0"/>
        <v>0</v>
      </c>
      <c r="AO12" s="486"/>
      <c r="AP12" s="486"/>
      <c r="AQ12" s="486"/>
      <c r="AR12" s="486"/>
      <c r="AS12" s="487"/>
      <c r="AT12" s="487"/>
      <c r="AU12" s="487"/>
      <c r="AV12" s="487"/>
    </row>
    <row r="13" spans="1:87" ht="13.5" thickBot="1">
      <c r="B13" s="186"/>
      <c r="C13" s="187"/>
      <c r="D13" s="188"/>
      <c r="E13" s="254"/>
      <c r="F13" s="508"/>
      <c r="G13" s="503"/>
      <c r="H13" s="503"/>
      <c r="I13" s="503"/>
      <c r="J13" s="503"/>
      <c r="K13" s="503"/>
      <c r="L13" s="503"/>
      <c r="M13" s="503"/>
      <c r="N13" s="503"/>
      <c r="O13" s="503"/>
      <c r="P13" s="503"/>
      <c r="Q13" s="503"/>
      <c r="R13" s="503"/>
      <c r="S13" s="503"/>
      <c r="T13" s="503"/>
      <c r="U13" s="503"/>
      <c r="V13" s="503"/>
      <c r="W13" s="503"/>
      <c r="X13" s="503"/>
      <c r="Y13" s="503"/>
      <c r="Z13" s="503"/>
      <c r="AA13" s="503"/>
      <c r="AB13" s="503"/>
      <c r="AC13" s="503"/>
      <c r="AD13" s="503"/>
      <c r="AE13" s="503"/>
      <c r="AF13" s="503"/>
      <c r="AG13" s="503"/>
      <c r="AH13" s="503"/>
      <c r="AI13" s="503"/>
      <c r="AJ13" s="503"/>
      <c r="AK13" s="503"/>
      <c r="AL13" s="503"/>
      <c r="AM13" s="486"/>
      <c r="AN13" s="489">
        <f t="shared" si="0"/>
        <v>0</v>
      </c>
      <c r="AO13" s="486"/>
      <c r="AP13" s="486"/>
      <c r="AQ13" s="486"/>
      <c r="AR13" s="486"/>
      <c r="AS13" s="487"/>
      <c r="AT13" s="487"/>
      <c r="AU13" s="487"/>
      <c r="AV13" s="487"/>
    </row>
    <row r="14" spans="1:87" ht="13.5" thickBot="1">
      <c r="E14" s="275"/>
      <c r="F14" s="511"/>
      <c r="G14" s="511"/>
      <c r="H14" s="511"/>
      <c r="I14" s="511"/>
      <c r="J14" s="511"/>
      <c r="K14" s="511"/>
      <c r="L14" s="511"/>
      <c r="M14" s="511"/>
      <c r="N14" s="511"/>
      <c r="O14" s="511"/>
      <c r="P14" s="511"/>
      <c r="Q14" s="511"/>
      <c r="R14" s="511"/>
      <c r="S14" s="511"/>
      <c r="T14" s="511"/>
      <c r="U14" s="511"/>
      <c r="V14" s="511"/>
      <c r="W14" s="511"/>
      <c r="X14" s="511"/>
      <c r="Y14" s="511"/>
      <c r="Z14" s="511"/>
      <c r="AA14" s="511"/>
      <c r="AB14" s="511"/>
      <c r="AC14" s="511"/>
      <c r="AD14" s="511"/>
      <c r="AE14" s="511"/>
      <c r="AF14" s="511"/>
      <c r="AG14" s="511"/>
      <c r="AH14" s="511"/>
      <c r="AI14" s="511"/>
      <c r="AJ14" s="511"/>
      <c r="AK14" s="511"/>
      <c r="AL14" s="511"/>
      <c r="AM14" s="486"/>
      <c r="AN14" s="489">
        <f t="shared" si="0"/>
        <v>0</v>
      </c>
      <c r="AO14" s="486"/>
      <c r="AP14" s="486"/>
      <c r="AQ14" s="486"/>
      <c r="AR14" s="486"/>
      <c r="AS14" s="487"/>
      <c r="AT14" s="487"/>
      <c r="AU14" s="487"/>
      <c r="AV14" s="487"/>
    </row>
    <row r="15" spans="1:87" ht="13.5" thickBot="1">
      <c r="A15" s="885"/>
      <c r="B15" s="786" t="s">
        <v>148</v>
      </c>
      <c r="C15" s="787" t="s">
        <v>149</v>
      </c>
      <c r="D15" s="461"/>
      <c r="E15" s="462"/>
      <c r="F15" s="788"/>
      <c r="G15" s="524">
        <f>SUM(G16:G16)</f>
        <v>0</v>
      </c>
      <c r="H15" s="524">
        <f t="shared" ref="H15:AL15" si="1">SUM(H16:H16)</f>
        <v>0</v>
      </c>
      <c r="I15" s="524">
        <f t="shared" si="1"/>
        <v>0</v>
      </c>
      <c r="J15" s="524">
        <f t="shared" si="1"/>
        <v>0</v>
      </c>
      <c r="K15" s="524">
        <f t="shared" si="1"/>
        <v>0</v>
      </c>
      <c r="L15" s="524">
        <f t="shared" si="1"/>
        <v>0</v>
      </c>
      <c r="M15" s="524">
        <f t="shared" si="1"/>
        <v>0</v>
      </c>
      <c r="N15" s="524">
        <f t="shared" si="1"/>
        <v>0</v>
      </c>
      <c r="O15" s="524">
        <f t="shared" si="1"/>
        <v>0</v>
      </c>
      <c r="P15" s="524">
        <f t="shared" si="1"/>
        <v>0</v>
      </c>
      <c r="Q15" s="524">
        <f t="shared" si="1"/>
        <v>0</v>
      </c>
      <c r="R15" s="524">
        <f t="shared" si="1"/>
        <v>0</v>
      </c>
      <c r="S15" s="524">
        <f t="shared" si="1"/>
        <v>0</v>
      </c>
      <c r="T15" s="524">
        <f t="shared" si="1"/>
        <v>0</v>
      </c>
      <c r="U15" s="524">
        <f t="shared" si="1"/>
        <v>0</v>
      </c>
      <c r="V15" s="524">
        <f t="shared" si="1"/>
        <v>0</v>
      </c>
      <c r="W15" s="524">
        <f t="shared" si="1"/>
        <v>0</v>
      </c>
      <c r="X15" s="524">
        <f t="shared" si="1"/>
        <v>0</v>
      </c>
      <c r="Y15" s="524">
        <f t="shared" si="1"/>
        <v>0</v>
      </c>
      <c r="Z15" s="524">
        <f t="shared" si="1"/>
        <v>0</v>
      </c>
      <c r="AA15" s="524">
        <f t="shared" si="1"/>
        <v>0</v>
      </c>
      <c r="AB15" s="524">
        <f t="shared" si="1"/>
        <v>0</v>
      </c>
      <c r="AC15" s="524">
        <f t="shared" si="1"/>
        <v>0</v>
      </c>
      <c r="AD15" s="524">
        <f t="shared" si="1"/>
        <v>0</v>
      </c>
      <c r="AE15" s="524">
        <f t="shared" si="1"/>
        <v>0</v>
      </c>
      <c r="AF15" s="524">
        <f t="shared" si="1"/>
        <v>0</v>
      </c>
      <c r="AG15" s="524">
        <f t="shared" si="1"/>
        <v>0</v>
      </c>
      <c r="AH15" s="524">
        <f t="shared" si="1"/>
        <v>0</v>
      </c>
      <c r="AI15" s="524">
        <f t="shared" si="1"/>
        <v>0</v>
      </c>
      <c r="AJ15" s="524">
        <f t="shared" si="1"/>
        <v>0</v>
      </c>
      <c r="AK15" s="524">
        <f t="shared" si="1"/>
        <v>0</v>
      </c>
      <c r="AL15" s="524">
        <f t="shared" si="1"/>
        <v>0</v>
      </c>
      <c r="AM15" s="490"/>
      <c r="AN15" s="489">
        <f t="shared" si="0"/>
        <v>0</v>
      </c>
      <c r="AO15" s="490"/>
      <c r="AP15" s="490"/>
      <c r="AQ15" s="490"/>
      <c r="AR15" s="490"/>
      <c r="AS15" s="488"/>
      <c r="AT15" s="488"/>
      <c r="AU15" s="488"/>
      <c r="AV15" s="488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</row>
    <row r="16" spans="1:87" ht="13.5" thickBot="1">
      <c r="B16" s="192"/>
      <c r="C16" s="187"/>
      <c r="D16" s="193"/>
      <c r="E16" s="257"/>
      <c r="F16" s="509"/>
      <c r="G16" s="503"/>
      <c r="H16" s="503"/>
      <c r="I16" s="503"/>
      <c r="J16" s="503"/>
      <c r="K16" s="503"/>
      <c r="L16" s="503"/>
      <c r="M16" s="503"/>
      <c r="N16" s="503"/>
      <c r="O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503"/>
      <c r="AA16" s="503"/>
      <c r="AB16" s="503"/>
      <c r="AC16" s="503"/>
      <c r="AD16" s="503"/>
      <c r="AE16" s="503"/>
      <c r="AF16" s="503"/>
      <c r="AG16" s="503"/>
      <c r="AH16" s="503"/>
      <c r="AI16" s="503"/>
      <c r="AJ16" s="503"/>
      <c r="AK16" s="503"/>
      <c r="AL16" s="503"/>
      <c r="AM16" s="486"/>
      <c r="AN16" s="489">
        <f t="shared" si="0"/>
        <v>0</v>
      </c>
      <c r="AO16" s="486"/>
      <c r="AP16" s="486"/>
      <c r="AQ16" s="486"/>
      <c r="AR16" s="486"/>
      <c r="AS16" s="487"/>
      <c r="AT16" s="487"/>
      <c r="AU16" s="487"/>
      <c r="AV16" s="487"/>
    </row>
    <row r="17" spans="1:87" ht="13.5" thickBot="1">
      <c r="E17" s="275"/>
      <c r="F17" s="511"/>
      <c r="G17" s="511"/>
      <c r="I17" s="574" t="s">
        <v>361</v>
      </c>
      <c r="J17" s="574" t="s">
        <v>362</v>
      </c>
      <c r="K17" s="574" t="s">
        <v>363</v>
      </c>
      <c r="L17" s="574" t="s">
        <v>364</v>
      </c>
      <c r="M17" s="574" t="s">
        <v>365</v>
      </c>
      <c r="N17" s="574" t="s">
        <v>366</v>
      </c>
      <c r="O17" s="574" t="s">
        <v>367</v>
      </c>
      <c r="P17" s="574" t="s">
        <v>368</v>
      </c>
      <c r="Q17" s="574" t="s">
        <v>369</v>
      </c>
      <c r="R17" s="574" t="s">
        <v>370</v>
      </c>
      <c r="S17" s="574" t="s">
        <v>371</v>
      </c>
      <c r="T17" s="574" t="s">
        <v>372</v>
      </c>
      <c r="U17" s="574" t="s">
        <v>373</v>
      </c>
      <c r="V17" s="574" t="s">
        <v>374</v>
      </c>
      <c r="W17" s="574" t="s">
        <v>375</v>
      </c>
      <c r="X17" s="574" t="s">
        <v>376</v>
      </c>
      <c r="Y17" s="574" t="s">
        <v>377</v>
      </c>
      <c r="Z17" s="574" t="s">
        <v>378</v>
      </c>
      <c r="AA17" s="574" t="s">
        <v>379</v>
      </c>
      <c r="AB17" s="574" t="s">
        <v>380</v>
      </c>
      <c r="AC17" s="574" t="s">
        <v>381</v>
      </c>
      <c r="AD17" s="574" t="s">
        <v>382</v>
      </c>
      <c r="AE17" s="574" t="s">
        <v>383</v>
      </c>
      <c r="AF17" s="574" t="s">
        <v>384</v>
      </c>
      <c r="AG17" s="574" t="s">
        <v>385</v>
      </c>
      <c r="AH17" s="574" t="s">
        <v>386</v>
      </c>
      <c r="AI17" s="574" t="s">
        <v>387</v>
      </c>
      <c r="AJ17" s="574" t="s">
        <v>388</v>
      </c>
      <c r="AK17" s="574" t="s">
        <v>389</v>
      </c>
      <c r="AL17" s="574" t="s">
        <v>390</v>
      </c>
      <c r="AM17" s="486"/>
      <c r="AN17" s="489">
        <f t="shared" si="0"/>
        <v>0</v>
      </c>
      <c r="AO17" s="486"/>
      <c r="AP17" s="486"/>
      <c r="AQ17" s="486"/>
      <c r="AR17" s="486"/>
      <c r="AS17" s="487"/>
      <c r="AT17" s="487"/>
      <c r="AU17" s="487"/>
      <c r="AV17" s="487"/>
    </row>
    <row r="18" spans="1:87" ht="13.5" thickBot="1">
      <c r="A18" s="885"/>
      <c r="B18" s="786" t="s">
        <v>150</v>
      </c>
      <c r="C18" s="460" t="s">
        <v>151</v>
      </c>
      <c r="D18" s="789"/>
      <c r="E18" s="790"/>
      <c r="F18" s="791"/>
      <c r="G18" s="524">
        <f>'17 R1 INV COMP'!F29</f>
        <v>586522.6986858414</v>
      </c>
      <c r="H18" s="524" t="e">
        <f>'17 R1 INV COMP'!#REF!</f>
        <v>#REF!</v>
      </c>
      <c r="I18" s="524">
        <f>'17 R1 INV COMP'!G29</f>
        <v>0</v>
      </c>
      <c r="J18" s="524">
        <f>'17 R1 INV COMP'!H29</f>
        <v>195290.85643359539</v>
      </c>
      <c r="K18" s="524">
        <f>'17 R1 INV COMP'!I29</f>
        <v>0</v>
      </c>
      <c r="L18" s="524">
        <f>'17 R1 INV COMP'!J29</f>
        <v>391231.84225224599</v>
      </c>
      <c r="M18" s="524">
        <f>'17 R1 INV COMP'!K29</f>
        <v>0</v>
      </c>
      <c r="N18" s="524">
        <f>'17 R1 INV COMP'!L29</f>
        <v>0</v>
      </c>
      <c r="O18" s="524">
        <f>'17 R1 INV COMP'!M29</f>
        <v>0</v>
      </c>
      <c r="P18" s="524">
        <f>'17 R1 INV COMP'!N29</f>
        <v>0</v>
      </c>
      <c r="Q18" s="524">
        <f>'17 R1 INV COMP'!O29</f>
        <v>0</v>
      </c>
      <c r="R18" s="524">
        <f>'17 R1 INV COMP'!P29</f>
        <v>0</v>
      </c>
      <c r="S18" s="524">
        <f>'17 R1 INV COMP'!Q29</f>
        <v>0</v>
      </c>
      <c r="T18" s="524">
        <f>'17 R1 INV COMP'!R29</f>
        <v>0</v>
      </c>
      <c r="U18" s="524">
        <f>'17 R1 INV COMP'!S29</f>
        <v>0</v>
      </c>
      <c r="V18" s="524">
        <f>'17 R1 INV COMP'!T29</f>
        <v>0</v>
      </c>
      <c r="W18" s="524">
        <f>'17 R1 INV COMP'!U29</f>
        <v>0</v>
      </c>
      <c r="X18" s="524">
        <f>'17 R1 INV COMP'!V29</f>
        <v>0</v>
      </c>
      <c r="Y18" s="524">
        <f>'17 R1 INV COMP'!W29</f>
        <v>0</v>
      </c>
      <c r="Z18" s="524">
        <f>'17 R1 INV COMP'!X29</f>
        <v>0</v>
      </c>
      <c r="AA18" s="524">
        <f>'17 R1 INV COMP'!Y29</f>
        <v>0</v>
      </c>
      <c r="AB18" s="524">
        <f>'17 R1 INV COMP'!Z29</f>
        <v>0</v>
      </c>
      <c r="AC18" s="524">
        <f>'17 R1 INV COMP'!AA29</f>
        <v>0</v>
      </c>
      <c r="AD18" s="524">
        <f>'17 R1 INV COMP'!AB29</f>
        <v>0</v>
      </c>
      <c r="AE18" s="524">
        <f>'17 R1 INV COMP'!AC29</f>
        <v>0</v>
      </c>
      <c r="AF18" s="524">
        <f>'17 R1 INV COMP'!AD29</f>
        <v>0</v>
      </c>
      <c r="AG18" s="524">
        <f>'17 R1 INV COMP'!AE29</f>
        <v>0</v>
      </c>
      <c r="AH18" s="524">
        <f>'17 R1 INV COMP'!AF29</f>
        <v>0</v>
      </c>
      <c r="AI18" s="524">
        <f>'17 R1 INV COMP'!AG29</f>
        <v>0</v>
      </c>
      <c r="AJ18" s="524">
        <f>'17 R1 INV COMP'!AH29</f>
        <v>0</v>
      </c>
      <c r="AK18" s="524">
        <f>'17 R1 INV COMP'!AI29</f>
        <v>0</v>
      </c>
      <c r="AL18" s="524">
        <f>'17 R1 INV COMP'!AJ29</f>
        <v>0</v>
      </c>
      <c r="AM18" s="490"/>
      <c r="AN18" s="489">
        <f t="shared" si="0"/>
        <v>0</v>
      </c>
      <c r="AO18" s="490"/>
      <c r="AP18" s="490"/>
      <c r="AQ18" s="490"/>
      <c r="AR18" s="490"/>
      <c r="AS18" s="488"/>
      <c r="AT18" s="488"/>
      <c r="AU18" s="488"/>
      <c r="AV18" s="488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</row>
    <row r="19" spans="1:87">
      <c r="B19" s="185"/>
      <c r="C19" s="258" t="s">
        <v>444</v>
      </c>
      <c r="D19" s="259">
        <v>7</v>
      </c>
      <c r="E19" s="260" t="s">
        <v>142</v>
      </c>
      <c r="F19" s="510">
        <v>4087.9984903898612</v>
      </c>
      <c r="G19" s="502">
        <f>'17 R1 INV COMP'!F31</f>
        <v>28615.989432729028</v>
      </c>
      <c r="H19" s="502" t="e">
        <f>'17 R1 INV COMP'!#REF!</f>
        <v>#REF!</v>
      </c>
      <c r="I19" s="502">
        <f>'17 R1 INV COMP'!G31</f>
        <v>0</v>
      </c>
      <c r="J19" s="502">
        <f>'17 R1 INV COMP'!H31</f>
        <v>0</v>
      </c>
      <c r="K19" s="502">
        <f>'17 R1 INV COMP'!I31</f>
        <v>0</v>
      </c>
      <c r="L19" s="502">
        <f>'17 R1 INV COMP'!J31</f>
        <v>28615.989432729028</v>
      </c>
      <c r="M19" s="502">
        <f>'17 R1 INV COMP'!K31</f>
        <v>0</v>
      </c>
      <c r="N19" s="502">
        <f>'17 R1 INV COMP'!L31</f>
        <v>0</v>
      </c>
      <c r="O19" s="502">
        <f>'17 R1 INV COMP'!M31</f>
        <v>0</v>
      </c>
      <c r="P19" s="502">
        <f>'17 R1 INV COMP'!N31</f>
        <v>0</v>
      </c>
      <c r="Q19" s="502">
        <f>'17 R1 INV COMP'!O31</f>
        <v>0</v>
      </c>
      <c r="R19" s="502">
        <f>'17 R1 INV COMP'!P31</f>
        <v>0</v>
      </c>
      <c r="S19" s="502">
        <f>'17 R1 INV COMP'!Q31</f>
        <v>0</v>
      </c>
      <c r="T19" s="502">
        <f>'17 R1 INV COMP'!R31</f>
        <v>0</v>
      </c>
      <c r="U19" s="502">
        <f>'17 R1 INV COMP'!S31</f>
        <v>0</v>
      </c>
      <c r="V19" s="502">
        <f>'17 R1 INV COMP'!T31</f>
        <v>0</v>
      </c>
      <c r="W19" s="502">
        <f>'17 R1 INV COMP'!U31</f>
        <v>0</v>
      </c>
      <c r="X19" s="502">
        <f>'17 R1 INV COMP'!V31</f>
        <v>0</v>
      </c>
      <c r="Y19" s="502">
        <f>'17 R1 INV COMP'!W31</f>
        <v>0</v>
      </c>
      <c r="Z19" s="502">
        <f>'17 R1 INV COMP'!X31</f>
        <v>0</v>
      </c>
      <c r="AA19" s="502">
        <f>'17 R1 INV COMP'!Y31</f>
        <v>0</v>
      </c>
      <c r="AB19" s="502">
        <f>'17 R1 INV COMP'!Z31</f>
        <v>0</v>
      </c>
      <c r="AC19" s="502">
        <f>'17 R1 INV COMP'!AA31</f>
        <v>0</v>
      </c>
      <c r="AD19" s="502">
        <f>'17 R1 INV COMP'!AB31</f>
        <v>0</v>
      </c>
      <c r="AE19" s="502">
        <f>'17 R1 INV COMP'!AC31</f>
        <v>0</v>
      </c>
      <c r="AF19" s="502">
        <f>'17 R1 INV COMP'!AD31</f>
        <v>0</v>
      </c>
      <c r="AG19" s="502">
        <f>'17 R1 INV COMP'!AE31</f>
        <v>0</v>
      </c>
      <c r="AH19" s="502">
        <f>'17 R1 INV COMP'!AF31</f>
        <v>0</v>
      </c>
      <c r="AI19" s="502">
        <f>'17 R1 INV COMP'!AG31</f>
        <v>0</v>
      </c>
      <c r="AJ19" s="502">
        <f>'17 R1 INV COMP'!AH31</f>
        <v>0</v>
      </c>
      <c r="AK19" s="502">
        <f>'17 R1 INV COMP'!AI31</f>
        <v>0</v>
      </c>
      <c r="AL19" s="502">
        <f>'17 R1 INV COMP'!AJ31</f>
        <v>0</v>
      </c>
      <c r="AM19" s="486"/>
      <c r="AN19" s="489">
        <f t="shared" si="0"/>
        <v>0</v>
      </c>
      <c r="AO19" s="486"/>
      <c r="AP19" s="486"/>
      <c r="AQ19" s="486"/>
      <c r="AR19" s="486"/>
      <c r="AS19" s="487"/>
      <c r="AT19" s="487"/>
      <c r="AU19" s="487"/>
      <c r="AV19" s="487"/>
    </row>
    <row r="20" spans="1:87" ht="13.5" thickBot="1">
      <c r="B20" s="192"/>
      <c r="C20" s="261" t="s">
        <v>445</v>
      </c>
      <c r="D20" s="262">
        <v>1</v>
      </c>
      <c r="E20" s="263" t="s">
        <v>249</v>
      </c>
      <c r="F20" s="792">
        <f>SUM(I20:AL20)</f>
        <v>557906.70925311232</v>
      </c>
      <c r="G20" s="505">
        <f>'17 R1 INV COMP'!F33</f>
        <v>557906.70925311232</v>
      </c>
      <c r="H20" s="505" t="e">
        <f>'17 R1 INV COMP'!#REF!</f>
        <v>#REF!</v>
      </c>
      <c r="I20" s="505">
        <f>'17 R1 INV COMP'!G33</f>
        <v>0</v>
      </c>
      <c r="J20" s="505">
        <f>'17 R1 INV COMP'!H33</f>
        <v>195290.85643359539</v>
      </c>
      <c r="K20" s="505">
        <f>'17 R1 INV COMP'!I33</f>
        <v>0</v>
      </c>
      <c r="L20" s="505">
        <f>'17 R1 INV COMP'!J33</f>
        <v>362615.85281951696</v>
      </c>
      <c r="M20" s="505">
        <f>'17 R1 INV COMP'!K33</f>
        <v>0</v>
      </c>
      <c r="N20" s="505">
        <f>'17 R1 INV COMP'!L33</f>
        <v>0</v>
      </c>
      <c r="O20" s="505">
        <f>'17 R1 INV COMP'!M33</f>
        <v>0</v>
      </c>
      <c r="P20" s="505">
        <f>'17 R1 INV COMP'!N33</f>
        <v>0</v>
      </c>
      <c r="Q20" s="505">
        <f>'17 R1 INV COMP'!O33</f>
        <v>0</v>
      </c>
      <c r="R20" s="505">
        <f>'17 R1 INV COMP'!P33</f>
        <v>0</v>
      </c>
      <c r="S20" s="505">
        <f>'17 R1 INV COMP'!Q33</f>
        <v>0</v>
      </c>
      <c r="T20" s="505">
        <f>'17 R1 INV COMP'!R33</f>
        <v>0</v>
      </c>
      <c r="U20" s="505">
        <f>'17 R1 INV COMP'!S33</f>
        <v>0</v>
      </c>
      <c r="V20" s="505">
        <f>'17 R1 INV COMP'!T33</f>
        <v>0</v>
      </c>
      <c r="W20" s="505">
        <f>'17 R1 INV COMP'!U33</f>
        <v>0</v>
      </c>
      <c r="X20" s="505">
        <f>'17 R1 INV COMP'!V33</f>
        <v>0</v>
      </c>
      <c r="Y20" s="505">
        <f>'17 R1 INV COMP'!W33</f>
        <v>0</v>
      </c>
      <c r="Z20" s="505">
        <f>'17 R1 INV COMP'!X33</f>
        <v>0</v>
      </c>
      <c r="AA20" s="505">
        <f>'17 R1 INV COMP'!Y33</f>
        <v>0</v>
      </c>
      <c r="AB20" s="505">
        <f>'17 R1 INV COMP'!Z33</f>
        <v>0</v>
      </c>
      <c r="AC20" s="505">
        <f>'17 R1 INV COMP'!AA33</f>
        <v>0</v>
      </c>
      <c r="AD20" s="505">
        <f>'17 R1 INV COMP'!AB33</f>
        <v>0</v>
      </c>
      <c r="AE20" s="505">
        <f>'17 R1 INV COMP'!AC33</f>
        <v>0</v>
      </c>
      <c r="AF20" s="505">
        <f>'17 R1 INV COMP'!AD33</f>
        <v>0</v>
      </c>
      <c r="AG20" s="505">
        <f>'17 R1 INV COMP'!AE33</f>
        <v>0</v>
      </c>
      <c r="AH20" s="505">
        <f>'17 R1 INV COMP'!AF33</f>
        <v>0</v>
      </c>
      <c r="AI20" s="505">
        <f>'17 R1 INV COMP'!AG33</f>
        <v>0</v>
      </c>
      <c r="AJ20" s="505">
        <f>'17 R1 INV COMP'!AH33</f>
        <v>0</v>
      </c>
      <c r="AK20" s="505">
        <f>'17 R1 INV COMP'!AI33</f>
        <v>0</v>
      </c>
      <c r="AL20" s="505">
        <f>'17 R1 INV COMP'!AJ33</f>
        <v>0</v>
      </c>
      <c r="AM20" s="486"/>
      <c r="AN20" s="489">
        <f t="shared" si="0"/>
        <v>0</v>
      </c>
      <c r="AO20" s="486"/>
      <c r="AP20" s="486"/>
      <c r="AQ20" s="486"/>
      <c r="AR20" s="486"/>
      <c r="AS20" s="487"/>
      <c r="AT20" s="487"/>
      <c r="AU20" s="487"/>
      <c r="AV20" s="487"/>
    </row>
    <row r="21" spans="1:87" ht="13.5" thickBot="1">
      <c r="E21" s="275"/>
      <c r="F21" s="511"/>
      <c r="G21" s="511"/>
      <c r="I21" s="574"/>
      <c r="J21" s="574"/>
      <c r="K21" s="574"/>
      <c r="L21" s="574"/>
      <c r="M21" s="574"/>
      <c r="N21" s="574"/>
      <c r="O21" s="574"/>
      <c r="P21" s="574"/>
      <c r="Q21" s="574"/>
      <c r="R21" s="574"/>
      <c r="S21" s="574"/>
      <c r="T21" s="574"/>
      <c r="U21" s="574"/>
      <c r="V21" s="574"/>
      <c r="W21" s="574"/>
      <c r="X21" s="574"/>
      <c r="Y21" s="574"/>
      <c r="Z21" s="574"/>
      <c r="AA21" s="574"/>
      <c r="AB21" s="574"/>
      <c r="AC21" s="574"/>
      <c r="AD21" s="574"/>
      <c r="AE21" s="574"/>
      <c r="AF21" s="574"/>
      <c r="AG21" s="574"/>
      <c r="AH21" s="574"/>
      <c r="AI21" s="574"/>
      <c r="AJ21" s="574"/>
      <c r="AK21" s="574"/>
      <c r="AL21" s="574"/>
      <c r="AM21" s="486"/>
      <c r="AN21" s="489"/>
      <c r="AO21" s="486"/>
      <c r="AP21" s="486"/>
      <c r="AQ21" s="486"/>
      <c r="AR21" s="486"/>
      <c r="AS21" s="487"/>
      <c r="AT21" s="487"/>
      <c r="AU21" s="487"/>
      <c r="AV21" s="487"/>
    </row>
    <row r="22" spans="1:87" ht="13.5" thickBot="1">
      <c r="A22" s="885"/>
      <c r="B22" s="786" t="s">
        <v>152</v>
      </c>
      <c r="C22" s="793" t="s">
        <v>153</v>
      </c>
      <c r="D22" s="794"/>
      <c r="E22" s="462"/>
      <c r="F22" s="788"/>
      <c r="G22" s="524">
        <f>'17 R1 INV COMP'!F36</f>
        <v>1091223.70474638</v>
      </c>
      <c r="H22" s="524" t="e">
        <f>'17 R1 INV COMP'!#REF!</f>
        <v>#REF!</v>
      </c>
      <c r="I22" s="524">
        <f>'17 R1 INV COMP'!G36</f>
        <v>116954.72850141811</v>
      </c>
      <c r="J22" s="524">
        <f>'17 R1 INV COMP'!H36</f>
        <v>15284.203558129915</v>
      </c>
      <c r="K22" s="524">
        <f>'17 R1 INV COMP'!I36</f>
        <v>66314.391440752952</v>
      </c>
      <c r="L22" s="524">
        <f>'17 R1 INV COMP'!J36</f>
        <v>33061.865972076979</v>
      </c>
      <c r="M22" s="524">
        <f>'17 R1 INV COMP'!K36</f>
        <v>33061.865972076979</v>
      </c>
      <c r="N22" s="524">
        <f>'17 R1 INV COMP'!L36</f>
        <v>33061.865972076979</v>
      </c>
      <c r="O22" s="524">
        <f>'17 R1 INV COMP'!M36</f>
        <v>33061.865972076979</v>
      </c>
      <c r="P22" s="524">
        <f>'17 R1 INV COMP'!N36</f>
        <v>33061.865972076979</v>
      </c>
      <c r="Q22" s="524">
        <f>'17 R1 INV COMP'!O36</f>
        <v>33061.865972076979</v>
      </c>
      <c r="R22" s="524">
        <f>'17 R1 INV COMP'!P36</f>
        <v>33061.865972076979</v>
      </c>
      <c r="S22" s="524">
        <f>'17 R1 INV COMP'!Q36</f>
        <v>33061.865972076979</v>
      </c>
      <c r="T22" s="524">
        <f>'17 R1 INV COMP'!R36</f>
        <v>33061.865972076979</v>
      </c>
      <c r="U22" s="524">
        <f>'17 R1 INV COMP'!S36</f>
        <v>33061.865972076979</v>
      </c>
      <c r="V22" s="524">
        <f>'17 R1 INV COMP'!T36</f>
        <v>33061.865972076979</v>
      </c>
      <c r="W22" s="524">
        <f>'17 R1 INV COMP'!U36</f>
        <v>33061.865972076979</v>
      </c>
      <c r="X22" s="524">
        <f>'17 R1 INV COMP'!V36</f>
        <v>33061.865972076979</v>
      </c>
      <c r="Y22" s="524">
        <f>'17 R1 INV COMP'!W36</f>
        <v>33061.865972076979</v>
      </c>
      <c r="Z22" s="524">
        <f>'17 R1 INV COMP'!X36</f>
        <v>33061.865972076979</v>
      </c>
      <c r="AA22" s="524">
        <f>'17 R1 INV COMP'!Y36</f>
        <v>33061.865972076979</v>
      </c>
      <c r="AB22" s="524">
        <f>'17 R1 INV COMP'!Z36</f>
        <v>33061.865972076979</v>
      </c>
      <c r="AC22" s="524">
        <f>'17 R1 INV COMP'!AA36</f>
        <v>33061.865972076979</v>
      </c>
      <c r="AD22" s="524">
        <f>'17 R1 INV COMP'!AB36</f>
        <v>33061.865972076979</v>
      </c>
      <c r="AE22" s="524">
        <f>'17 R1 INV COMP'!AC36</f>
        <v>33061.865972076979</v>
      </c>
      <c r="AF22" s="524">
        <f>'17 R1 INV COMP'!AD36</f>
        <v>33061.865972076979</v>
      </c>
      <c r="AG22" s="524">
        <f>'17 R1 INV COMP'!AE36</f>
        <v>33061.865972076979</v>
      </c>
      <c r="AH22" s="524">
        <f>'17 R1 INV COMP'!AF36</f>
        <v>33061.865972076979</v>
      </c>
      <c r="AI22" s="524">
        <f>'17 R1 INV COMP'!AG36</f>
        <v>33061.865972076979</v>
      </c>
      <c r="AJ22" s="524">
        <f>'17 R1 INV COMP'!AH36</f>
        <v>33061.865972076979</v>
      </c>
      <c r="AK22" s="524">
        <f>'17 R1 INV COMP'!AI36</f>
        <v>33061.865972076979</v>
      </c>
      <c r="AL22" s="524">
        <f>'17 R1 INV COMP'!AJ36</f>
        <v>33061.865972076979</v>
      </c>
      <c r="AM22" s="490"/>
      <c r="AN22" s="489">
        <f t="shared" si="0"/>
        <v>0</v>
      </c>
      <c r="AO22" s="490"/>
      <c r="AP22" s="490"/>
      <c r="AQ22" s="490"/>
      <c r="AR22" s="490"/>
      <c r="AS22" s="488"/>
      <c r="AT22" s="488"/>
      <c r="AU22" s="488"/>
      <c r="AV22" s="488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</row>
    <row r="23" spans="1:87">
      <c r="B23" s="184"/>
      <c r="C23" s="264" t="s">
        <v>447</v>
      </c>
      <c r="D23" s="250">
        <v>1</v>
      </c>
      <c r="E23" s="251" t="s">
        <v>249</v>
      </c>
      <c r="F23" s="506">
        <f>I23+J23+K23</f>
        <v>131411.84610779874</v>
      </c>
      <c r="G23" s="502">
        <f>'17 R1 INV COMP'!F38</f>
        <v>131411.84610779874</v>
      </c>
      <c r="H23" s="502" t="e">
        <f>'17 R1 INV COMP'!#REF!</f>
        <v>#REF!</v>
      </c>
      <c r="I23" s="502">
        <f>'17 R1 INV COMP'!G38</f>
        <v>91059.039862837541</v>
      </c>
      <c r="J23" s="502">
        <f>'17 R1 INV COMP'!H38</f>
        <v>15284.203558129915</v>
      </c>
      <c r="K23" s="502">
        <f>'17 R1 INV COMP'!I38</f>
        <v>25068.602686831306</v>
      </c>
      <c r="L23" s="502">
        <f>'17 R1 INV COMP'!J38</f>
        <v>0</v>
      </c>
      <c r="M23" s="502">
        <f>'17 R1 INV COMP'!K38</f>
        <v>0</v>
      </c>
      <c r="N23" s="502">
        <f>'17 R1 INV COMP'!L38</f>
        <v>0</v>
      </c>
      <c r="O23" s="502">
        <f>'17 R1 INV COMP'!M38</f>
        <v>0</v>
      </c>
      <c r="P23" s="502">
        <f>'17 R1 INV COMP'!N38</f>
        <v>0</v>
      </c>
      <c r="Q23" s="502">
        <f>'17 R1 INV COMP'!O38</f>
        <v>0</v>
      </c>
      <c r="R23" s="502">
        <f>'17 R1 INV COMP'!P38</f>
        <v>0</v>
      </c>
      <c r="S23" s="502">
        <f>'17 R1 INV COMP'!Q38</f>
        <v>0</v>
      </c>
      <c r="T23" s="502">
        <f>'17 R1 INV COMP'!R38</f>
        <v>0</v>
      </c>
      <c r="U23" s="502">
        <f>'17 R1 INV COMP'!S38</f>
        <v>0</v>
      </c>
      <c r="V23" s="502">
        <f>'17 R1 INV COMP'!T38</f>
        <v>0</v>
      </c>
      <c r="W23" s="502">
        <f>'17 R1 INV COMP'!U38</f>
        <v>0</v>
      </c>
      <c r="X23" s="502">
        <f>'17 R1 INV COMP'!V38</f>
        <v>0</v>
      </c>
      <c r="Y23" s="502">
        <f>'17 R1 INV COMP'!W38</f>
        <v>0</v>
      </c>
      <c r="Z23" s="502">
        <f>'17 R1 INV COMP'!X38</f>
        <v>0</v>
      </c>
      <c r="AA23" s="502">
        <f>'17 R1 INV COMP'!Y38</f>
        <v>0</v>
      </c>
      <c r="AB23" s="502">
        <f>'17 R1 INV COMP'!Z38</f>
        <v>0</v>
      </c>
      <c r="AC23" s="502">
        <f>'17 R1 INV COMP'!AA38</f>
        <v>0</v>
      </c>
      <c r="AD23" s="502">
        <f>'17 R1 INV COMP'!AB38</f>
        <v>0</v>
      </c>
      <c r="AE23" s="502">
        <f>'17 R1 INV COMP'!AC38</f>
        <v>0</v>
      </c>
      <c r="AF23" s="502">
        <f>'17 R1 INV COMP'!AD38</f>
        <v>0</v>
      </c>
      <c r="AG23" s="502">
        <f>'17 R1 INV COMP'!AE38</f>
        <v>0</v>
      </c>
      <c r="AH23" s="502">
        <f>'17 R1 INV COMP'!AF38</f>
        <v>0</v>
      </c>
      <c r="AI23" s="502">
        <f>'17 R1 INV COMP'!AG38</f>
        <v>0</v>
      </c>
      <c r="AJ23" s="502">
        <f>'17 R1 INV COMP'!AH38</f>
        <v>0</v>
      </c>
      <c r="AK23" s="502">
        <f>'17 R1 INV COMP'!AI38</f>
        <v>0</v>
      </c>
      <c r="AL23" s="502">
        <f>'17 R1 INV COMP'!AJ38</f>
        <v>0</v>
      </c>
      <c r="AM23" s="486"/>
      <c r="AN23" s="489">
        <f t="shared" si="0"/>
        <v>0</v>
      </c>
      <c r="AO23" s="486"/>
      <c r="AP23" s="486"/>
      <c r="AQ23" s="486"/>
      <c r="AR23" s="486"/>
      <c r="AS23" s="487"/>
      <c r="AT23" s="487"/>
      <c r="AU23" s="487"/>
      <c r="AV23" s="487"/>
    </row>
    <row r="24" spans="1:87" ht="22.5">
      <c r="B24" s="185"/>
      <c r="C24" s="265" t="s">
        <v>252</v>
      </c>
      <c r="D24" s="252">
        <f>I24/F24</f>
        <v>231.00525101320758</v>
      </c>
      <c r="E24" s="253" t="s">
        <v>142</v>
      </c>
      <c r="F24" s="507">
        <v>112.1</v>
      </c>
      <c r="G24" s="502">
        <f>'17 R1 INV COMP'!F40</f>
        <v>25895.68863858057</v>
      </c>
      <c r="H24" s="502" t="e">
        <f>'17 R1 INV COMP'!#REF!</f>
        <v>#REF!</v>
      </c>
      <c r="I24" s="502">
        <f>'17 R1 INV COMP'!G40</f>
        <v>25895.68863858057</v>
      </c>
      <c r="J24" s="502">
        <f>'17 R1 INV COMP'!H40</f>
        <v>0</v>
      </c>
      <c r="K24" s="502">
        <f>'17 R1 INV COMP'!I40</f>
        <v>0</v>
      </c>
      <c r="L24" s="502">
        <f>'17 R1 INV COMP'!J40</f>
        <v>0</v>
      </c>
      <c r="M24" s="502">
        <f>'17 R1 INV COMP'!K40</f>
        <v>0</v>
      </c>
      <c r="N24" s="502">
        <f>'17 R1 INV COMP'!L40</f>
        <v>0</v>
      </c>
      <c r="O24" s="502">
        <f>'17 R1 INV COMP'!M40</f>
        <v>0</v>
      </c>
      <c r="P24" s="502">
        <f>'17 R1 INV COMP'!N40</f>
        <v>0</v>
      </c>
      <c r="Q24" s="502">
        <f>'17 R1 INV COMP'!O40</f>
        <v>0</v>
      </c>
      <c r="R24" s="502">
        <f>'17 R1 INV COMP'!P40</f>
        <v>0</v>
      </c>
      <c r="S24" s="502">
        <f>'17 R1 INV COMP'!Q40</f>
        <v>0</v>
      </c>
      <c r="T24" s="502">
        <f>'17 R1 INV COMP'!R40</f>
        <v>0</v>
      </c>
      <c r="U24" s="502">
        <f>'17 R1 INV COMP'!S40</f>
        <v>0</v>
      </c>
      <c r="V24" s="502">
        <f>'17 R1 INV COMP'!T40</f>
        <v>0</v>
      </c>
      <c r="W24" s="502">
        <f>'17 R1 INV COMP'!U40</f>
        <v>0</v>
      </c>
      <c r="X24" s="502">
        <f>'17 R1 INV COMP'!V40</f>
        <v>0</v>
      </c>
      <c r="Y24" s="502">
        <f>'17 R1 INV COMP'!W40</f>
        <v>0</v>
      </c>
      <c r="Z24" s="502">
        <f>'17 R1 INV COMP'!X40</f>
        <v>0</v>
      </c>
      <c r="AA24" s="502">
        <f>'17 R1 INV COMP'!Y40</f>
        <v>0</v>
      </c>
      <c r="AB24" s="502">
        <f>'17 R1 INV COMP'!Z40</f>
        <v>0</v>
      </c>
      <c r="AC24" s="502">
        <f>'17 R1 INV COMP'!AA40</f>
        <v>0</v>
      </c>
      <c r="AD24" s="502">
        <f>'17 R1 INV COMP'!AB40</f>
        <v>0</v>
      </c>
      <c r="AE24" s="502">
        <f>'17 R1 INV COMP'!AC40</f>
        <v>0</v>
      </c>
      <c r="AF24" s="502">
        <f>'17 R1 INV COMP'!AD40</f>
        <v>0</v>
      </c>
      <c r="AG24" s="502">
        <f>'17 R1 INV COMP'!AE40</f>
        <v>0</v>
      </c>
      <c r="AH24" s="502">
        <f>'17 R1 INV COMP'!AF40</f>
        <v>0</v>
      </c>
      <c r="AI24" s="502">
        <f>'17 R1 INV COMP'!AG40</f>
        <v>0</v>
      </c>
      <c r="AJ24" s="502">
        <f>'17 R1 INV COMP'!AH40</f>
        <v>0</v>
      </c>
      <c r="AK24" s="502">
        <f>'17 R1 INV COMP'!AI40</f>
        <v>0</v>
      </c>
      <c r="AL24" s="502">
        <f>'17 R1 INV COMP'!AJ40</f>
        <v>0</v>
      </c>
      <c r="AM24" s="486"/>
      <c r="AN24" s="489">
        <f t="shared" si="0"/>
        <v>0</v>
      </c>
      <c r="AO24" s="486"/>
      <c r="AP24" s="486"/>
      <c r="AQ24" s="486"/>
      <c r="AR24" s="486"/>
      <c r="AS24" s="487"/>
      <c r="AT24" s="487"/>
      <c r="AU24" s="487"/>
      <c r="AV24" s="487"/>
    </row>
    <row r="25" spans="1:87" ht="13.5" thickBot="1">
      <c r="B25" s="192"/>
      <c r="C25" s="266" t="s">
        <v>253</v>
      </c>
      <c r="D25" s="188">
        <v>1</v>
      </c>
      <c r="E25" s="254" t="s">
        <v>249</v>
      </c>
      <c r="F25" s="508">
        <v>933916.17</v>
      </c>
      <c r="G25" s="503">
        <f>'17 R1 INV COMP'!F42</f>
        <v>933916.17000000062</v>
      </c>
      <c r="H25" s="503" t="e">
        <f>'17 R1 INV COMP'!#REF!</f>
        <v>#REF!</v>
      </c>
      <c r="I25" s="503">
        <f>'17 R1 INV COMP'!G42</f>
        <v>0</v>
      </c>
      <c r="J25" s="503">
        <f>'17 R1 INV COMP'!H42</f>
        <v>0</v>
      </c>
      <c r="K25" s="503">
        <f>'17 R1 INV COMP'!I42</f>
        <v>41245.788753921646</v>
      </c>
      <c r="L25" s="503">
        <f>'17 R1 INV COMP'!J42</f>
        <v>33061.865972076979</v>
      </c>
      <c r="M25" s="503">
        <f>'17 R1 INV COMP'!K42</f>
        <v>33061.865972076979</v>
      </c>
      <c r="N25" s="503">
        <f>'17 R1 INV COMP'!L42</f>
        <v>33061.865972076979</v>
      </c>
      <c r="O25" s="503">
        <f>'17 R1 INV COMP'!M42</f>
        <v>33061.865972076979</v>
      </c>
      <c r="P25" s="503">
        <f>'17 R1 INV COMP'!N42</f>
        <v>33061.865972076979</v>
      </c>
      <c r="Q25" s="503">
        <f>'17 R1 INV COMP'!O42</f>
        <v>33061.865972076979</v>
      </c>
      <c r="R25" s="503">
        <f>'17 R1 INV COMP'!P42</f>
        <v>33061.865972076979</v>
      </c>
      <c r="S25" s="503">
        <f>'17 R1 INV COMP'!Q42</f>
        <v>33061.865972076979</v>
      </c>
      <c r="T25" s="503">
        <f>'17 R1 INV COMP'!R42</f>
        <v>33061.865972076979</v>
      </c>
      <c r="U25" s="503">
        <f>'17 R1 INV COMP'!S42</f>
        <v>33061.865972076979</v>
      </c>
      <c r="V25" s="503">
        <f>'17 R1 INV COMP'!T42</f>
        <v>33061.865972076979</v>
      </c>
      <c r="W25" s="503">
        <f>'17 R1 INV COMP'!U42</f>
        <v>33061.865972076979</v>
      </c>
      <c r="X25" s="503">
        <f>'17 R1 INV COMP'!V42</f>
        <v>33061.865972076979</v>
      </c>
      <c r="Y25" s="503">
        <f>'17 R1 INV COMP'!W42</f>
        <v>33061.865972076979</v>
      </c>
      <c r="Z25" s="503">
        <f>'17 R1 INV COMP'!X42</f>
        <v>33061.865972076979</v>
      </c>
      <c r="AA25" s="503">
        <f>'17 R1 INV COMP'!Y42</f>
        <v>33061.865972076979</v>
      </c>
      <c r="AB25" s="503">
        <f>'17 R1 INV COMP'!Z42</f>
        <v>33061.865972076979</v>
      </c>
      <c r="AC25" s="503">
        <f>'17 R1 INV COMP'!AA42</f>
        <v>33061.865972076979</v>
      </c>
      <c r="AD25" s="503">
        <f>'17 R1 INV COMP'!AB42</f>
        <v>33061.865972076979</v>
      </c>
      <c r="AE25" s="503">
        <f>'17 R1 INV COMP'!AC42</f>
        <v>33061.865972076979</v>
      </c>
      <c r="AF25" s="503">
        <f>'17 R1 INV COMP'!AD42</f>
        <v>33061.865972076979</v>
      </c>
      <c r="AG25" s="503">
        <f>'17 R1 INV COMP'!AE42</f>
        <v>33061.865972076979</v>
      </c>
      <c r="AH25" s="503">
        <f>'17 R1 INV COMP'!AF42</f>
        <v>33061.865972076979</v>
      </c>
      <c r="AI25" s="503">
        <f>'17 R1 INV COMP'!AG42</f>
        <v>33061.865972076979</v>
      </c>
      <c r="AJ25" s="503">
        <f>'17 R1 INV COMP'!AH42</f>
        <v>33061.865972076979</v>
      </c>
      <c r="AK25" s="503">
        <f>'17 R1 INV COMP'!AI42</f>
        <v>33061.865972076979</v>
      </c>
      <c r="AL25" s="503">
        <f>'17 R1 INV COMP'!AJ42</f>
        <v>33061.865972076979</v>
      </c>
      <c r="AM25" s="486"/>
      <c r="AN25" s="489">
        <f t="shared" si="0"/>
        <v>0</v>
      </c>
      <c r="AO25" s="486"/>
      <c r="AP25" s="486"/>
      <c r="AQ25" s="486"/>
      <c r="AR25" s="486"/>
      <c r="AS25" s="487"/>
      <c r="AT25" s="487"/>
      <c r="AU25" s="487"/>
      <c r="AV25" s="487"/>
    </row>
    <row r="26" spans="1:87" ht="13.5" thickBot="1">
      <c r="E26" s="275"/>
      <c r="F26" s="511"/>
      <c r="G26" s="511"/>
      <c r="H26" s="511"/>
      <c r="I26" s="511"/>
      <c r="J26" s="511"/>
      <c r="K26" s="511"/>
      <c r="L26" s="511"/>
      <c r="M26" s="511"/>
      <c r="N26" s="511"/>
      <c r="O26" s="511"/>
      <c r="P26" s="511"/>
      <c r="Q26" s="511"/>
      <c r="R26" s="511"/>
      <c r="S26" s="511"/>
      <c r="T26" s="511"/>
      <c r="U26" s="511"/>
      <c r="V26" s="511"/>
      <c r="W26" s="511"/>
      <c r="X26" s="511"/>
      <c r="Y26" s="511"/>
      <c r="Z26" s="511"/>
      <c r="AA26" s="511"/>
      <c r="AB26" s="511"/>
      <c r="AC26" s="511"/>
      <c r="AD26" s="511"/>
      <c r="AE26" s="511"/>
      <c r="AF26" s="511"/>
      <c r="AG26" s="511"/>
      <c r="AH26" s="511"/>
      <c r="AI26" s="511"/>
      <c r="AJ26" s="511"/>
      <c r="AK26" s="511"/>
      <c r="AL26" s="511"/>
      <c r="AM26" s="487"/>
      <c r="AN26" s="489"/>
      <c r="AO26" s="487"/>
      <c r="AP26" s="487"/>
      <c r="AQ26" s="487"/>
      <c r="AR26" s="487"/>
      <c r="AS26" s="487"/>
      <c r="AT26" s="487"/>
      <c r="AU26" s="487"/>
      <c r="AV26" s="487"/>
    </row>
    <row r="27" spans="1:87" ht="13.5" thickBot="1">
      <c r="B27" s="357">
        <v>2</v>
      </c>
      <c r="C27" s="194" t="s">
        <v>392</v>
      </c>
      <c r="D27" s="180"/>
      <c r="E27" s="267"/>
      <c r="F27" s="512"/>
      <c r="G27" s="523">
        <f>'17 R1 INV COMP'!F45</f>
        <v>17427408.251717322</v>
      </c>
      <c r="H27" s="523" t="e">
        <f>'17 R1 INV COMP'!#REF!</f>
        <v>#REF!</v>
      </c>
      <c r="I27" s="523">
        <f>'17 R1 INV COMP'!G45</f>
        <v>60636.090870124302</v>
      </c>
      <c r="J27" s="523">
        <f>'17 R1 INV COMP'!H45</f>
        <v>25899.54489035995</v>
      </c>
      <c r="K27" s="523">
        <f>'17 R1 INV COMP'!I45</f>
        <v>37248.668650953259</v>
      </c>
      <c r="L27" s="523">
        <f>'17 R1 INV COMP'!J45</f>
        <v>418682</v>
      </c>
      <c r="M27" s="523">
        <f>'17 R1 INV COMP'!K45</f>
        <v>5170382.3714534501</v>
      </c>
      <c r="N27" s="523">
        <f>'17 R1 INV COMP'!L45</f>
        <v>688390.57756711624</v>
      </c>
      <c r="O27" s="523">
        <f>'17 R1 INV COMP'!M45</f>
        <v>1673597.7728142848</v>
      </c>
      <c r="P27" s="523">
        <f>'17 R1 INV COMP'!N45</f>
        <v>1152234.0717231876</v>
      </c>
      <c r="Q27" s="523">
        <f>'17 R1 INV COMP'!O45</f>
        <v>1884658.1650870387</v>
      </c>
      <c r="R27" s="523">
        <f>'17 R1 INV COMP'!P45</f>
        <v>960270.31680762395</v>
      </c>
      <c r="S27" s="523">
        <f>'17 R1 INV COMP'!Q45</f>
        <v>2613997.7258695289</v>
      </c>
      <c r="T27" s="523">
        <f>'17 R1 INV COMP'!R45</f>
        <v>2313502.4517390579</v>
      </c>
      <c r="U27" s="523">
        <f>'17 R1 INV COMP'!S45</f>
        <v>28879</v>
      </c>
      <c r="V27" s="523">
        <f>'17 R1 INV COMP'!T45</f>
        <v>28879</v>
      </c>
      <c r="W27" s="523">
        <f>'17 R1 INV COMP'!U45</f>
        <v>28879</v>
      </c>
      <c r="X27" s="523">
        <f>'17 R1 INV COMP'!V45</f>
        <v>23591</v>
      </c>
      <c r="Y27" s="523">
        <f>'17 R1 INV COMP'!W45</f>
        <v>23591</v>
      </c>
      <c r="Z27" s="523">
        <f>'17 R1 INV COMP'!X45</f>
        <v>23591</v>
      </c>
      <c r="AA27" s="523">
        <f>'17 R1 INV COMP'!Y45</f>
        <v>23591</v>
      </c>
      <c r="AB27" s="523">
        <f>'17 R1 INV COMP'!Z45</f>
        <v>23591</v>
      </c>
      <c r="AC27" s="523">
        <f>'17 R1 INV COMP'!AA45</f>
        <v>29286</v>
      </c>
      <c r="AD27" s="523">
        <f>'17 R1 INV COMP'!AB45</f>
        <v>19931</v>
      </c>
      <c r="AE27" s="523">
        <f>'17 R1 INV COMP'!AC45</f>
        <v>19931</v>
      </c>
      <c r="AF27" s="523">
        <f>'17 R1 INV COMP'!AD45</f>
        <v>19931</v>
      </c>
      <c r="AG27" s="523">
        <f>'17 R1 INV COMP'!AE45</f>
        <v>19931</v>
      </c>
      <c r="AH27" s="523">
        <f>'17 R1 INV COMP'!AF45</f>
        <v>29286</v>
      </c>
      <c r="AI27" s="523">
        <f>'17 R1 INV COMP'!AG45</f>
        <v>20745</v>
      </c>
      <c r="AJ27" s="523">
        <f>'17 R1 INV COMP'!AH45</f>
        <v>21559</v>
      </c>
      <c r="AK27" s="523">
        <f>'17 R1 INV COMP'!AI45</f>
        <v>22777</v>
      </c>
      <c r="AL27" s="523">
        <f>'17 R1 INV COMP'!AJ45</f>
        <v>19939.494244596346</v>
      </c>
      <c r="AM27" s="487"/>
      <c r="AN27" s="489">
        <f t="shared" si="0"/>
        <v>0</v>
      </c>
      <c r="AO27" s="487"/>
      <c r="AP27" s="487"/>
      <c r="AQ27" s="487"/>
      <c r="AR27" s="487"/>
      <c r="AS27" s="487"/>
      <c r="AT27" s="487"/>
      <c r="AU27" s="487"/>
      <c r="AV27" s="487"/>
    </row>
    <row r="28" spans="1:87" ht="13.5" thickBot="1">
      <c r="A28" s="885"/>
      <c r="B28" s="786" t="s">
        <v>154</v>
      </c>
      <c r="C28" s="460" t="s">
        <v>155</v>
      </c>
      <c r="D28" s="461"/>
      <c r="E28" s="462"/>
      <c r="F28" s="513"/>
      <c r="G28" s="524">
        <f>'17 R1 INV COMP'!F47</f>
        <v>1166714.721538302</v>
      </c>
      <c r="H28" s="524" t="e">
        <f>'17 R1 INV COMP'!#REF!</f>
        <v>#REF!</v>
      </c>
      <c r="I28" s="524">
        <f>'17 R1 INV COMP'!G47</f>
        <v>22756.965280754393</v>
      </c>
      <c r="J28" s="524">
        <f>'17 R1 INV COMP'!H47</f>
        <v>25327.596193628466</v>
      </c>
      <c r="K28" s="524">
        <f>'17 R1 INV COMP'!I47</f>
        <v>27827.865819322658</v>
      </c>
      <c r="L28" s="524">
        <f>'17 R1 INV COMP'!J47</f>
        <v>417866</v>
      </c>
      <c r="M28" s="524">
        <f>'17 R1 INV COMP'!K47</f>
        <v>416916.19</v>
      </c>
      <c r="N28" s="524">
        <f>'17 R1 INV COMP'!L47</f>
        <v>92832.73</v>
      </c>
      <c r="O28" s="524">
        <f>'17 R1 INV COMP'!M47</f>
        <v>8136</v>
      </c>
      <c r="P28" s="524">
        <f>'17 R1 INV COMP'!N47</f>
        <v>8136</v>
      </c>
      <c r="Q28" s="524">
        <f>'17 R1 INV COMP'!O47</f>
        <v>8136</v>
      </c>
      <c r="R28" s="524">
        <f>'17 R1 INV COMP'!P47</f>
        <v>8744</v>
      </c>
      <c r="S28" s="524">
        <f>'17 R1 INV COMP'!Q47</f>
        <v>8340</v>
      </c>
      <c r="T28" s="524">
        <f>'17 R1 INV COMP'!R47</f>
        <v>7830</v>
      </c>
      <c r="U28" s="524">
        <f>'17 R1 INV COMP'!S47</f>
        <v>7830</v>
      </c>
      <c r="V28" s="524">
        <f>'17 R1 INV COMP'!T47</f>
        <v>7830</v>
      </c>
      <c r="W28" s="524">
        <f>'17 R1 INV COMP'!U47</f>
        <v>7830</v>
      </c>
      <c r="X28" s="524">
        <f>'17 R1 INV COMP'!V47</f>
        <v>6406</v>
      </c>
      <c r="Y28" s="524">
        <f>'17 R1 INV COMP'!W47</f>
        <v>6406</v>
      </c>
      <c r="Z28" s="524">
        <f>'17 R1 INV COMP'!X47</f>
        <v>6406</v>
      </c>
      <c r="AA28" s="524">
        <f>'17 R1 INV COMP'!Y47</f>
        <v>6406</v>
      </c>
      <c r="AB28" s="524">
        <f>'17 R1 INV COMP'!Z47</f>
        <v>6406</v>
      </c>
      <c r="AC28" s="524">
        <f>'17 R1 INV COMP'!AA47</f>
        <v>7932</v>
      </c>
      <c r="AD28" s="524">
        <f>'17 R1 INV COMP'!AB47</f>
        <v>5390</v>
      </c>
      <c r="AE28" s="524">
        <f>'17 R1 INV COMP'!AC47</f>
        <v>5390</v>
      </c>
      <c r="AF28" s="524">
        <f>'17 R1 INV COMP'!AD47</f>
        <v>5390</v>
      </c>
      <c r="AG28" s="524">
        <f>'17 R1 INV COMP'!AE47</f>
        <v>5390</v>
      </c>
      <c r="AH28" s="524">
        <f>'17 R1 INV COMP'!AF47</f>
        <v>7932</v>
      </c>
      <c r="AI28" s="524">
        <f>'17 R1 INV COMP'!AG47</f>
        <v>5594</v>
      </c>
      <c r="AJ28" s="524">
        <f>'17 R1 INV COMP'!AH47</f>
        <v>5798</v>
      </c>
      <c r="AK28" s="524">
        <f>'17 R1 INV COMP'!AI47</f>
        <v>6202</v>
      </c>
      <c r="AL28" s="524">
        <f>'17 R1 INV COMP'!AJ47</f>
        <v>3327.3742445963435</v>
      </c>
      <c r="AM28" s="488"/>
      <c r="AN28" s="489">
        <f t="shared" si="0"/>
        <v>0</v>
      </c>
      <c r="AO28" s="488"/>
      <c r="AP28" s="488"/>
      <c r="AQ28" s="488"/>
      <c r="AR28" s="488"/>
      <c r="AS28" s="488"/>
      <c r="AT28" s="488"/>
      <c r="AU28" s="488"/>
      <c r="AV28" s="488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</row>
    <row r="29" spans="1:87">
      <c r="B29" s="356"/>
      <c r="C29" s="264" t="s">
        <v>451</v>
      </c>
      <c r="D29" s="250">
        <v>257.18900769150969</v>
      </c>
      <c r="E29" s="251" t="s">
        <v>142</v>
      </c>
      <c r="F29" s="506">
        <v>200</v>
      </c>
      <c r="G29" s="502">
        <f>'17 R1 INV COMP'!F49</f>
        <v>51437.801538301937</v>
      </c>
      <c r="H29" s="502" t="e">
        <f>'17 R1 INV COMP'!#REF!</f>
        <v>#REF!</v>
      </c>
      <c r="I29" s="502">
        <f>'17 R1 INV COMP'!G49</f>
        <v>0</v>
      </c>
      <c r="J29" s="502">
        <f>'17 R1 INV COMP'!H49</f>
        <v>9135.2916839056688</v>
      </c>
      <c r="K29" s="502">
        <f>'17 R1 INV COMP'!I49</f>
        <v>13302.509854396265</v>
      </c>
      <c r="L29" s="502">
        <f>'17 R1 INV COMP'!J49</f>
        <v>1400</v>
      </c>
      <c r="M29" s="502">
        <f>'17 R1 INV COMP'!K49</f>
        <v>1400</v>
      </c>
      <c r="N29" s="502">
        <f>'17 R1 INV COMP'!L49</f>
        <v>1400</v>
      </c>
      <c r="O29" s="502">
        <f>'17 R1 INV COMP'!M49</f>
        <v>1200</v>
      </c>
      <c r="P29" s="502">
        <f>'17 R1 INV COMP'!N49</f>
        <v>1200</v>
      </c>
      <c r="Q29" s="502">
        <f>'17 R1 INV COMP'!O49</f>
        <v>1200</v>
      </c>
      <c r="R29" s="502">
        <f>'17 R1 INV COMP'!P49</f>
        <v>1400</v>
      </c>
      <c r="S29" s="502">
        <f>'17 R1 INV COMP'!Q49</f>
        <v>1200</v>
      </c>
      <c r="T29" s="502">
        <f>'17 R1 INV COMP'!R49</f>
        <v>1200</v>
      </c>
      <c r="U29" s="502">
        <f>'17 R1 INV COMP'!S49</f>
        <v>1200</v>
      </c>
      <c r="V29" s="502">
        <f>'17 R1 INV COMP'!T49</f>
        <v>1200</v>
      </c>
      <c r="W29" s="502">
        <f>'17 R1 INV COMP'!U49</f>
        <v>1200</v>
      </c>
      <c r="X29" s="502">
        <f>'17 R1 INV COMP'!V49</f>
        <v>1000</v>
      </c>
      <c r="Y29" s="502">
        <f>'17 R1 INV COMP'!W49</f>
        <v>1000</v>
      </c>
      <c r="Z29" s="502">
        <f>'17 R1 INV COMP'!X49</f>
        <v>1000</v>
      </c>
      <c r="AA29" s="502">
        <f>'17 R1 INV COMP'!Y49</f>
        <v>1000</v>
      </c>
      <c r="AB29" s="502">
        <f>'17 R1 INV COMP'!Z49</f>
        <v>1000</v>
      </c>
      <c r="AC29" s="502">
        <f>'17 R1 INV COMP'!AA49</f>
        <v>1200</v>
      </c>
      <c r="AD29" s="502">
        <f>'17 R1 INV COMP'!AB49</f>
        <v>800</v>
      </c>
      <c r="AE29" s="502">
        <f>'17 R1 INV COMP'!AC49</f>
        <v>800</v>
      </c>
      <c r="AF29" s="502">
        <f>'17 R1 INV COMP'!AD49</f>
        <v>800</v>
      </c>
      <c r="AG29" s="502">
        <f>'17 R1 INV COMP'!AE49</f>
        <v>800</v>
      </c>
      <c r="AH29" s="502">
        <f>'17 R1 INV COMP'!AF49</f>
        <v>1200</v>
      </c>
      <c r="AI29" s="502">
        <f>'17 R1 INV COMP'!AG49</f>
        <v>800</v>
      </c>
      <c r="AJ29" s="502">
        <f>'17 R1 INV COMP'!AH49</f>
        <v>800</v>
      </c>
      <c r="AK29" s="502">
        <f>'17 R1 INV COMP'!AI49</f>
        <v>1000</v>
      </c>
      <c r="AL29" s="502">
        <f>'17 R1 INV COMP'!AJ49</f>
        <v>600</v>
      </c>
      <c r="AM29" s="487"/>
      <c r="AN29" s="489">
        <f t="shared" si="0"/>
        <v>0</v>
      </c>
      <c r="AO29" s="487"/>
      <c r="AP29" s="487"/>
      <c r="AQ29" s="487"/>
      <c r="AR29" s="487"/>
      <c r="AS29" s="487"/>
      <c r="AT29" s="487"/>
      <c r="AU29" s="487"/>
      <c r="AV29" s="487"/>
    </row>
    <row r="30" spans="1:87">
      <c r="B30" s="356"/>
      <c r="C30" s="268" t="s">
        <v>453</v>
      </c>
      <c r="D30" s="269">
        <v>5860.261036817682</v>
      </c>
      <c r="E30" s="253" t="s">
        <v>254</v>
      </c>
      <c r="F30" s="514">
        <v>102</v>
      </c>
      <c r="G30" s="502">
        <f>'17 R1 INV COMP'!F51</f>
        <v>623628</v>
      </c>
      <c r="H30" s="502" t="e">
        <f>'17 R1 INV COMP'!#REF!</f>
        <v>#REF!</v>
      </c>
      <c r="I30" s="502">
        <f>'17 R1 INV COMP'!G51</f>
        <v>22756.965280754393</v>
      </c>
      <c r="J30" s="502">
        <f>'17 R1 INV COMP'!H51</f>
        <v>16192.304509722799</v>
      </c>
      <c r="K30" s="502">
        <f>'17 R1 INV COMP'!I51</f>
        <v>14525.355964926393</v>
      </c>
      <c r="L30" s="502">
        <f>'17 R1 INV COMP'!J51</f>
        <v>416466</v>
      </c>
      <c r="M30" s="502">
        <f>'17 R1 INV COMP'!K51</f>
        <v>7548</v>
      </c>
      <c r="N30" s="502">
        <f>'17 R1 INV COMP'!L51</f>
        <v>7752</v>
      </c>
      <c r="O30" s="502">
        <f>'17 R1 INV COMP'!M51</f>
        <v>6936</v>
      </c>
      <c r="P30" s="502">
        <f>'17 R1 INV COMP'!N51</f>
        <v>6936</v>
      </c>
      <c r="Q30" s="502">
        <f>'17 R1 INV COMP'!O51</f>
        <v>6936</v>
      </c>
      <c r="R30" s="502">
        <f>'17 R1 INV COMP'!P51</f>
        <v>7344</v>
      </c>
      <c r="S30" s="502">
        <f>'17 R1 INV COMP'!Q51</f>
        <v>7140</v>
      </c>
      <c r="T30" s="502">
        <f>'17 R1 INV COMP'!R51</f>
        <v>6630</v>
      </c>
      <c r="U30" s="502">
        <f>'17 R1 INV COMP'!S51</f>
        <v>6630</v>
      </c>
      <c r="V30" s="502">
        <f>'17 R1 INV COMP'!T51</f>
        <v>6630</v>
      </c>
      <c r="W30" s="502">
        <f>'17 R1 INV COMP'!U51</f>
        <v>6630</v>
      </c>
      <c r="X30" s="502">
        <f>'17 R1 INV COMP'!V51</f>
        <v>5406</v>
      </c>
      <c r="Y30" s="502">
        <f>'17 R1 INV COMP'!W51</f>
        <v>5406</v>
      </c>
      <c r="Z30" s="502">
        <f>'17 R1 INV COMP'!X51</f>
        <v>5406</v>
      </c>
      <c r="AA30" s="502">
        <f>'17 R1 INV COMP'!Y51</f>
        <v>5406</v>
      </c>
      <c r="AB30" s="502">
        <f>'17 R1 INV COMP'!Z51</f>
        <v>5406</v>
      </c>
      <c r="AC30" s="502">
        <f>'17 R1 INV COMP'!AA51</f>
        <v>6732</v>
      </c>
      <c r="AD30" s="502">
        <f>'17 R1 INV COMP'!AB51</f>
        <v>4590</v>
      </c>
      <c r="AE30" s="502">
        <f>'17 R1 INV COMP'!AC51</f>
        <v>4590</v>
      </c>
      <c r="AF30" s="502">
        <f>'17 R1 INV COMP'!AD51</f>
        <v>4590</v>
      </c>
      <c r="AG30" s="502">
        <f>'17 R1 INV COMP'!AE51</f>
        <v>4590</v>
      </c>
      <c r="AH30" s="502">
        <f>'17 R1 INV COMP'!AF51</f>
        <v>6732</v>
      </c>
      <c r="AI30" s="502">
        <f>'17 R1 INV COMP'!AG51</f>
        <v>4794</v>
      </c>
      <c r="AJ30" s="502">
        <f>'17 R1 INV COMP'!AH51</f>
        <v>4998</v>
      </c>
      <c r="AK30" s="502">
        <f>'17 R1 INV COMP'!AI51</f>
        <v>5202</v>
      </c>
      <c r="AL30" s="502">
        <f>'17 R1 INV COMP'!AJ51</f>
        <v>2727.3742445963435</v>
      </c>
      <c r="AM30" s="487"/>
      <c r="AN30" s="489">
        <f t="shared" si="0"/>
        <v>0</v>
      </c>
      <c r="AO30" s="487"/>
      <c r="AP30" s="487"/>
      <c r="AQ30" s="487"/>
      <c r="AR30" s="487"/>
      <c r="AS30" s="487"/>
      <c r="AT30" s="487"/>
      <c r="AU30" s="487"/>
      <c r="AV30" s="487"/>
    </row>
    <row r="31" spans="1:87" ht="13.5" thickBot="1">
      <c r="B31" s="192"/>
      <c r="C31" s="261" t="s">
        <v>456</v>
      </c>
      <c r="D31" s="270">
        <v>1</v>
      </c>
      <c r="E31" s="263" t="s">
        <v>142</v>
      </c>
      <c r="F31" s="515">
        <v>261631.9</v>
      </c>
      <c r="G31" s="505">
        <f>'17 R1 INV COMP'!F53</f>
        <v>0</v>
      </c>
      <c r="H31" s="505" t="e">
        <f>'17 R1 INV COMP'!#REF!</f>
        <v>#REF!</v>
      </c>
      <c r="I31" s="505">
        <f>'17 R1 INV COMP'!G53</f>
        <v>0</v>
      </c>
      <c r="J31" s="505">
        <f>'17 R1 INV COMP'!H53</f>
        <v>0</v>
      </c>
      <c r="K31" s="505">
        <f>'17 R1 INV COMP'!I53</f>
        <v>0</v>
      </c>
      <c r="L31" s="505">
        <f>'17 R1 INV COMP'!J53</f>
        <v>0</v>
      </c>
      <c r="M31" s="505">
        <f>'17 R1 INV COMP'!K53</f>
        <v>0</v>
      </c>
      <c r="N31" s="505">
        <f>'17 R1 INV COMP'!L53</f>
        <v>0</v>
      </c>
      <c r="O31" s="505">
        <f>'17 R1 INV COMP'!M53</f>
        <v>0</v>
      </c>
      <c r="P31" s="505">
        <f>'17 R1 INV COMP'!N53</f>
        <v>0</v>
      </c>
      <c r="Q31" s="505">
        <f>'17 R1 INV COMP'!O53</f>
        <v>0</v>
      </c>
      <c r="R31" s="505">
        <f>'17 R1 INV COMP'!P53</f>
        <v>0</v>
      </c>
      <c r="S31" s="505">
        <f>'17 R1 INV COMP'!Q53</f>
        <v>0</v>
      </c>
      <c r="T31" s="505">
        <f>'17 R1 INV COMP'!R53</f>
        <v>0</v>
      </c>
      <c r="U31" s="505">
        <f>'17 R1 INV COMP'!S53</f>
        <v>0</v>
      </c>
      <c r="V31" s="505">
        <f>'17 R1 INV COMP'!T53</f>
        <v>0</v>
      </c>
      <c r="W31" s="505">
        <f>'17 R1 INV COMP'!U53</f>
        <v>0</v>
      </c>
      <c r="X31" s="505">
        <f>'17 R1 INV COMP'!V53</f>
        <v>0</v>
      </c>
      <c r="Y31" s="505">
        <f>'17 R1 INV COMP'!W53</f>
        <v>0</v>
      </c>
      <c r="Z31" s="505">
        <f>'17 R1 INV COMP'!X53</f>
        <v>0</v>
      </c>
      <c r="AA31" s="505">
        <f>'17 R1 INV COMP'!Y53</f>
        <v>0</v>
      </c>
      <c r="AB31" s="505">
        <f>'17 R1 INV COMP'!Z53</f>
        <v>0</v>
      </c>
      <c r="AC31" s="505">
        <f>'17 R1 INV COMP'!AA53</f>
        <v>0</v>
      </c>
      <c r="AD31" s="505">
        <f>'17 R1 INV COMP'!AB53</f>
        <v>0</v>
      </c>
      <c r="AE31" s="505">
        <f>'17 R1 INV COMP'!AC53</f>
        <v>0</v>
      </c>
      <c r="AF31" s="505">
        <f>'17 R1 INV COMP'!AD53</f>
        <v>0</v>
      </c>
      <c r="AG31" s="505">
        <f>'17 R1 INV COMP'!AE53</f>
        <v>0</v>
      </c>
      <c r="AH31" s="505">
        <f>'17 R1 INV COMP'!AF53</f>
        <v>0</v>
      </c>
      <c r="AI31" s="505">
        <f>'17 R1 INV COMP'!AG53</f>
        <v>0</v>
      </c>
      <c r="AJ31" s="505">
        <f>'17 R1 INV COMP'!AH53</f>
        <v>0</v>
      </c>
      <c r="AK31" s="505">
        <f>'17 R1 INV COMP'!AI53</f>
        <v>0</v>
      </c>
      <c r="AL31" s="505">
        <f>'17 R1 INV COMP'!AJ53</f>
        <v>0</v>
      </c>
      <c r="AM31" s="487"/>
      <c r="AN31" s="489">
        <f t="shared" si="0"/>
        <v>0</v>
      </c>
      <c r="AO31" s="487"/>
      <c r="AP31" s="487"/>
      <c r="AQ31" s="487"/>
      <c r="AR31" s="487"/>
      <c r="AS31" s="487"/>
      <c r="AT31" s="487"/>
      <c r="AU31" s="487"/>
      <c r="AV31" s="487"/>
    </row>
    <row r="32" spans="1:87" ht="13.5" thickBot="1">
      <c r="E32" s="275"/>
      <c r="F32" s="511"/>
      <c r="G32" s="511"/>
      <c r="H32" s="511"/>
      <c r="I32" s="511"/>
      <c r="J32" s="511"/>
      <c r="K32" s="511"/>
      <c r="L32" s="511"/>
      <c r="M32" s="511"/>
      <c r="N32" s="511"/>
      <c r="O32" s="511"/>
      <c r="P32" s="511"/>
      <c r="Q32" s="511"/>
      <c r="R32" s="511"/>
      <c r="S32" s="511"/>
      <c r="T32" s="511"/>
      <c r="U32" s="511"/>
      <c r="V32" s="511"/>
      <c r="W32" s="511"/>
      <c r="X32" s="511"/>
      <c r="Y32" s="511"/>
      <c r="Z32" s="511"/>
      <c r="AA32" s="511"/>
      <c r="AB32" s="511"/>
      <c r="AC32" s="511"/>
      <c r="AD32" s="511"/>
      <c r="AE32" s="511"/>
      <c r="AF32" s="511"/>
      <c r="AG32" s="511"/>
      <c r="AH32" s="511"/>
      <c r="AI32" s="511"/>
      <c r="AJ32" s="511"/>
      <c r="AK32" s="511"/>
      <c r="AL32" s="511"/>
      <c r="AM32" s="487"/>
      <c r="AN32" s="489"/>
      <c r="AO32" s="487"/>
      <c r="AP32" s="487"/>
      <c r="AQ32" s="487"/>
      <c r="AR32" s="487"/>
      <c r="AS32" s="487"/>
      <c r="AT32" s="487"/>
      <c r="AU32" s="487"/>
      <c r="AV32" s="487"/>
    </row>
    <row r="33" spans="1:87" ht="13.5" thickBot="1">
      <c r="A33" s="885"/>
      <c r="B33" s="795" t="s">
        <v>156</v>
      </c>
      <c r="C33" s="463" t="s">
        <v>157</v>
      </c>
      <c r="D33" s="464"/>
      <c r="E33" s="465"/>
      <c r="F33" s="516"/>
      <c r="G33" s="524">
        <f>'17 R1 INV COMP'!F62</f>
        <v>16260693.53017902</v>
      </c>
      <c r="H33" s="524" t="e">
        <f>'17 R1 INV COMP'!#REF!</f>
        <v>#REF!</v>
      </c>
      <c r="I33" s="524">
        <f>'17 R1 INV COMP'!G62</f>
        <v>37879.125589369905</v>
      </c>
      <c r="J33" s="524">
        <f>'17 R1 INV COMP'!H62</f>
        <v>571.94869673148537</v>
      </c>
      <c r="K33" s="524">
        <f>'17 R1 INV COMP'!I62</f>
        <v>9420.8028316306008</v>
      </c>
      <c r="L33" s="524">
        <f>'17 R1 INV COMP'!J62</f>
        <v>816</v>
      </c>
      <c r="M33" s="524">
        <f>'17 R1 INV COMP'!K62</f>
        <v>4753466.1814534497</v>
      </c>
      <c r="N33" s="524">
        <f>'17 R1 INV COMP'!L62</f>
        <v>595557.84756711626</v>
      </c>
      <c r="O33" s="524">
        <f>'17 R1 INV COMP'!M62</f>
        <v>1665461.7728142848</v>
      </c>
      <c r="P33" s="524">
        <f>'17 R1 INV COMP'!N62</f>
        <v>1144098.0717231876</v>
      </c>
      <c r="Q33" s="524">
        <f>'17 R1 INV COMP'!O62</f>
        <v>1876522.1650870387</v>
      </c>
      <c r="R33" s="524">
        <f>'17 R1 INV COMP'!P62</f>
        <v>951526.31680762395</v>
      </c>
      <c r="S33" s="524">
        <f>'17 R1 INV COMP'!Q62</f>
        <v>2605657.7258695289</v>
      </c>
      <c r="T33" s="524">
        <f>'17 R1 INV COMP'!R62</f>
        <v>2305672.4517390579</v>
      </c>
      <c r="U33" s="524">
        <f>'17 R1 INV COMP'!S62</f>
        <v>21049</v>
      </c>
      <c r="V33" s="524">
        <f>'17 R1 INV COMP'!T62</f>
        <v>21049</v>
      </c>
      <c r="W33" s="524">
        <f>'17 R1 INV COMP'!U62</f>
        <v>21049</v>
      </c>
      <c r="X33" s="524">
        <f>'17 R1 INV COMP'!V62</f>
        <v>17185</v>
      </c>
      <c r="Y33" s="524">
        <f>'17 R1 INV COMP'!W62</f>
        <v>17185</v>
      </c>
      <c r="Z33" s="524">
        <f>'17 R1 INV COMP'!X62</f>
        <v>17185</v>
      </c>
      <c r="AA33" s="524">
        <f>'17 R1 INV COMP'!Y62</f>
        <v>17185</v>
      </c>
      <c r="AB33" s="524">
        <f>'17 R1 INV COMP'!Z62</f>
        <v>17185</v>
      </c>
      <c r="AC33" s="524">
        <f>'17 R1 INV COMP'!AA62</f>
        <v>21354</v>
      </c>
      <c r="AD33" s="524">
        <f>'17 R1 INV COMP'!AB62</f>
        <v>14541</v>
      </c>
      <c r="AE33" s="524">
        <f>'17 R1 INV COMP'!AC62</f>
        <v>14541</v>
      </c>
      <c r="AF33" s="524">
        <f>'17 R1 INV COMP'!AD62</f>
        <v>14541</v>
      </c>
      <c r="AG33" s="524">
        <f>'17 R1 INV COMP'!AE62</f>
        <v>14541</v>
      </c>
      <c r="AH33" s="524">
        <f>'17 R1 INV COMP'!AF62</f>
        <v>21354</v>
      </c>
      <c r="AI33" s="524">
        <f>'17 R1 INV COMP'!AG62</f>
        <v>15151</v>
      </c>
      <c r="AJ33" s="524">
        <f>'17 R1 INV COMP'!AH62</f>
        <v>15761</v>
      </c>
      <c r="AK33" s="524">
        <f>'17 R1 INV COMP'!AI62</f>
        <v>16575</v>
      </c>
      <c r="AL33" s="524">
        <f>'17 R1 INV COMP'!AJ62</f>
        <v>16612.120000000003</v>
      </c>
      <c r="AM33" s="488"/>
      <c r="AN33" s="489">
        <f t="shared" si="0"/>
        <v>0</v>
      </c>
      <c r="AO33" s="488"/>
      <c r="AP33" s="488"/>
      <c r="AQ33" s="488"/>
      <c r="AR33" s="488"/>
      <c r="AS33" s="488"/>
      <c r="AT33" s="488"/>
      <c r="AU33" s="488"/>
      <c r="AV33" s="488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</row>
    <row r="34" spans="1:87">
      <c r="B34" s="184"/>
      <c r="C34" s="264" t="s">
        <v>457</v>
      </c>
      <c r="D34" s="271">
        <v>1955</v>
      </c>
      <c r="E34" s="251" t="s">
        <v>142</v>
      </c>
      <c r="F34" s="517">
        <v>204</v>
      </c>
      <c r="G34" s="504">
        <f>'17 R1 INV COMP'!F64</f>
        <v>398820</v>
      </c>
      <c r="H34" s="504" t="e">
        <f>'17 R1 INV COMP'!#REF!</f>
        <v>#REF!</v>
      </c>
      <c r="I34" s="504">
        <f>'17 R1 INV COMP'!G64</f>
        <v>0</v>
      </c>
      <c r="J34" s="504">
        <f>'17 R1 INV COMP'!H64</f>
        <v>0</v>
      </c>
      <c r="K34" s="504">
        <f>'17 R1 INV COMP'!I64</f>
        <v>0</v>
      </c>
      <c r="L34" s="504">
        <f>'17 R1 INV COMP'!J64</f>
        <v>816</v>
      </c>
      <c r="M34" s="504">
        <f>'17 R1 INV COMP'!K64</f>
        <v>816</v>
      </c>
      <c r="N34" s="504">
        <f>'17 R1 INV COMP'!L64</f>
        <v>17748</v>
      </c>
      <c r="O34" s="504">
        <f>'17 R1 INV COMP'!M64</f>
        <v>85272</v>
      </c>
      <c r="P34" s="504">
        <f>'17 R1 INV COMP'!N64</f>
        <v>34680</v>
      </c>
      <c r="Q34" s="504">
        <f>'17 R1 INV COMP'!O64</f>
        <v>26316</v>
      </c>
      <c r="R34" s="504">
        <f>'17 R1 INV COMP'!P64</f>
        <v>34884</v>
      </c>
      <c r="S34" s="504">
        <f>'17 R1 INV COMP'!Q64</f>
        <v>68952</v>
      </c>
      <c r="T34" s="504">
        <f>'17 R1 INV COMP'!R64</f>
        <v>103836</v>
      </c>
      <c r="U34" s="504">
        <f>'17 R1 INV COMP'!S64</f>
        <v>1224</v>
      </c>
      <c r="V34" s="504">
        <f>'17 R1 INV COMP'!T64</f>
        <v>1224</v>
      </c>
      <c r="W34" s="504">
        <f>'17 R1 INV COMP'!U64</f>
        <v>1224</v>
      </c>
      <c r="X34" s="504">
        <f>'17 R1 INV COMP'!V64</f>
        <v>1020</v>
      </c>
      <c r="Y34" s="504">
        <f>'17 R1 INV COMP'!W64</f>
        <v>1020</v>
      </c>
      <c r="Z34" s="504">
        <f>'17 R1 INV COMP'!X64</f>
        <v>1020</v>
      </c>
      <c r="AA34" s="504">
        <f>'17 R1 INV COMP'!Y64</f>
        <v>1020</v>
      </c>
      <c r="AB34" s="504">
        <f>'17 R1 INV COMP'!Z64</f>
        <v>1020</v>
      </c>
      <c r="AC34" s="504">
        <f>'17 R1 INV COMP'!AA64</f>
        <v>1224</v>
      </c>
      <c r="AD34" s="504">
        <f>'17 R1 INV COMP'!AB64</f>
        <v>816</v>
      </c>
      <c r="AE34" s="504">
        <f>'17 R1 INV COMP'!AC64</f>
        <v>816</v>
      </c>
      <c r="AF34" s="504">
        <f>'17 R1 INV COMP'!AD64</f>
        <v>816</v>
      </c>
      <c r="AG34" s="504">
        <f>'17 R1 INV COMP'!AE64</f>
        <v>816</v>
      </c>
      <c r="AH34" s="504">
        <f>'17 R1 INV COMP'!AF64</f>
        <v>1224</v>
      </c>
      <c r="AI34" s="504">
        <f>'17 R1 INV COMP'!AG64</f>
        <v>816</v>
      </c>
      <c r="AJ34" s="504">
        <f>'17 R1 INV COMP'!AH64</f>
        <v>816</v>
      </c>
      <c r="AK34" s="504">
        <f>'17 R1 INV COMP'!AI64</f>
        <v>1020</v>
      </c>
      <c r="AL34" s="504">
        <f>'17 R1 INV COMP'!AJ64</f>
        <v>8364</v>
      </c>
      <c r="AM34" s="487"/>
      <c r="AN34" s="489">
        <f t="shared" si="0"/>
        <v>0</v>
      </c>
      <c r="AO34" s="487"/>
      <c r="AP34" s="487"/>
      <c r="AQ34" s="487"/>
      <c r="AR34" s="487"/>
      <c r="AS34" s="487"/>
      <c r="AT34" s="487"/>
      <c r="AU34" s="487"/>
      <c r="AV34" s="487"/>
    </row>
    <row r="35" spans="1:87">
      <c r="B35" s="185"/>
      <c r="C35" s="265" t="s">
        <v>458</v>
      </c>
      <c r="D35" s="269">
        <v>19942.956974156499</v>
      </c>
      <c r="E35" s="253" t="s">
        <v>254</v>
      </c>
      <c r="F35" s="518">
        <v>305</v>
      </c>
      <c r="G35" s="502">
        <f>'17 R1 INV COMP'!F66</f>
        <v>6247639.1971177319</v>
      </c>
      <c r="H35" s="502" t="e">
        <f>'17 R1 INV COMP'!#REF!</f>
        <v>#REF!</v>
      </c>
      <c r="I35" s="502">
        <f>'17 R1 INV COMP'!G66</f>
        <v>37879.125589369905</v>
      </c>
      <c r="J35" s="502">
        <f>'17 R1 INV COMP'!H66</f>
        <v>571.94869673148537</v>
      </c>
      <c r="K35" s="502">
        <f>'17 R1 INV COMP'!I66</f>
        <v>9420.8028316306008</v>
      </c>
      <c r="L35" s="502">
        <f>'17 R1 INV COMP'!J66</f>
        <v>0</v>
      </c>
      <c r="M35" s="502">
        <f>'17 R1 INV COMP'!K66</f>
        <v>0</v>
      </c>
      <c r="N35" s="502">
        <f>'17 R1 INV COMP'!L66</f>
        <v>165024.20000000001</v>
      </c>
      <c r="O35" s="502">
        <f>'17 R1 INV COMP'!M66</f>
        <v>1211155</v>
      </c>
      <c r="P35" s="502">
        <f>'17 R1 INV COMP'!N66</f>
        <v>158905</v>
      </c>
      <c r="Q35" s="502">
        <f>'17 R1 INV COMP'!O66</f>
        <v>43310</v>
      </c>
      <c r="R35" s="502">
        <f>'17 R1 INV COMP'!P66</f>
        <v>493795</v>
      </c>
      <c r="S35" s="502">
        <f>'17 R1 INV COMP'!Q66</f>
        <v>2236870</v>
      </c>
      <c r="T35" s="502">
        <f>'17 R1 INV COMP'!R66</f>
        <v>1602165</v>
      </c>
      <c r="U35" s="502">
        <f>'17 R1 INV COMP'!S66</f>
        <v>19825</v>
      </c>
      <c r="V35" s="502">
        <f>'17 R1 INV COMP'!T66</f>
        <v>19825</v>
      </c>
      <c r="W35" s="502">
        <f>'17 R1 INV COMP'!U66</f>
        <v>19825</v>
      </c>
      <c r="X35" s="502">
        <f>'17 R1 INV COMP'!V66</f>
        <v>16165</v>
      </c>
      <c r="Y35" s="502">
        <f>'17 R1 INV COMP'!W66</f>
        <v>16165</v>
      </c>
      <c r="Z35" s="502">
        <f>'17 R1 INV COMP'!X66</f>
        <v>16165</v>
      </c>
      <c r="AA35" s="502">
        <f>'17 R1 INV COMP'!Y66</f>
        <v>16165</v>
      </c>
      <c r="AB35" s="502">
        <f>'17 R1 INV COMP'!Z66</f>
        <v>16165</v>
      </c>
      <c r="AC35" s="502">
        <f>'17 R1 INV COMP'!AA66</f>
        <v>20130</v>
      </c>
      <c r="AD35" s="502">
        <f>'17 R1 INV COMP'!AB66</f>
        <v>13725</v>
      </c>
      <c r="AE35" s="502">
        <f>'17 R1 INV COMP'!AC66</f>
        <v>13725</v>
      </c>
      <c r="AF35" s="502">
        <f>'17 R1 INV COMP'!AD66</f>
        <v>13725</v>
      </c>
      <c r="AG35" s="502">
        <f>'17 R1 INV COMP'!AE66</f>
        <v>13725</v>
      </c>
      <c r="AH35" s="502">
        <f>'17 R1 INV COMP'!AF66</f>
        <v>20130</v>
      </c>
      <c r="AI35" s="502">
        <f>'17 R1 INV COMP'!AG66</f>
        <v>14335</v>
      </c>
      <c r="AJ35" s="502">
        <f>'17 R1 INV COMP'!AH66</f>
        <v>14945</v>
      </c>
      <c r="AK35" s="502">
        <f>'17 R1 INV COMP'!AI66</f>
        <v>15555</v>
      </c>
      <c r="AL35" s="502">
        <f>'17 R1 INV COMP'!AJ66</f>
        <v>8248.1200000000008</v>
      </c>
      <c r="AM35" s="487"/>
      <c r="AN35" s="489">
        <f t="shared" si="0"/>
        <v>0</v>
      </c>
      <c r="AO35" s="487"/>
      <c r="AP35" s="487"/>
      <c r="AQ35" s="487"/>
      <c r="AR35" s="487"/>
      <c r="AS35" s="487"/>
      <c r="AT35" s="487"/>
      <c r="AU35" s="487"/>
      <c r="AV35" s="487"/>
    </row>
    <row r="36" spans="1:87">
      <c r="B36" s="185"/>
      <c r="C36" s="265" t="s">
        <v>407</v>
      </c>
      <c r="D36" s="269">
        <f>G36/F36</f>
        <v>9491.0000197629597</v>
      </c>
      <c r="E36" s="253" t="s">
        <v>254</v>
      </c>
      <c r="F36" s="518">
        <v>357.69986790911287</v>
      </c>
      <c r="G36" s="502">
        <f>'17 R1 INV COMP'!F68</f>
        <v>3394929.4533945983</v>
      </c>
      <c r="H36" s="502" t="e">
        <f>'17 R1 INV COMP'!#REF!</f>
        <v>#REF!</v>
      </c>
      <c r="I36" s="502">
        <f>'17 R1 INV COMP'!G68</f>
        <v>0</v>
      </c>
      <c r="J36" s="502">
        <f>'17 R1 INV COMP'!H68</f>
        <v>0</v>
      </c>
      <c r="K36" s="502">
        <f>'17 R1 INV COMP'!I68</f>
        <v>0</v>
      </c>
      <c r="L36" s="502">
        <f>'17 R1 INV COMP'!J68</f>
        <v>0</v>
      </c>
      <c r="M36" s="502">
        <f>'17 R1 INV COMP'!K68</f>
        <v>1016616.6586391644</v>
      </c>
      <c r="N36" s="502">
        <f>'17 R1 INV COMP'!L68</f>
        <v>412785.64756711625</v>
      </c>
      <c r="O36" s="502">
        <f>'17 R1 INV COMP'!M68</f>
        <v>0</v>
      </c>
      <c r="P36" s="502">
        <f>'17 R1 INV COMP'!N68</f>
        <v>704489.8898469978</v>
      </c>
      <c r="Q36" s="502">
        <f>'17 R1 INV COMP'!O68</f>
        <v>1261037.2573413199</v>
      </c>
      <c r="R36" s="502">
        <f>'17 R1 INV COMP'!P68</f>
        <v>0</v>
      </c>
      <c r="S36" s="502">
        <f>'17 R1 INV COMP'!Q68</f>
        <v>0</v>
      </c>
      <c r="T36" s="502">
        <f>'17 R1 INV COMP'!R68</f>
        <v>0</v>
      </c>
      <c r="U36" s="502">
        <f>'17 R1 INV COMP'!S68</f>
        <v>0</v>
      </c>
      <c r="V36" s="502">
        <f>'17 R1 INV COMP'!T68</f>
        <v>0</v>
      </c>
      <c r="W36" s="502">
        <f>'17 R1 INV COMP'!U68</f>
        <v>0</v>
      </c>
      <c r="X36" s="502">
        <f>'17 R1 INV COMP'!V68</f>
        <v>0</v>
      </c>
      <c r="Y36" s="502">
        <f>'17 R1 INV COMP'!W68</f>
        <v>0</v>
      </c>
      <c r="Z36" s="502">
        <f>'17 R1 INV COMP'!X68</f>
        <v>0</v>
      </c>
      <c r="AA36" s="502">
        <f>'17 R1 INV COMP'!Y68</f>
        <v>0</v>
      </c>
      <c r="AB36" s="502">
        <f>'17 R1 INV COMP'!Z68</f>
        <v>0</v>
      </c>
      <c r="AC36" s="502">
        <f>'17 R1 INV COMP'!AA68</f>
        <v>0</v>
      </c>
      <c r="AD36" s="502">
        <f>'17 R1 INV COMP'!AB68</f>
        <v>0</v>
      </c>
      <c r="AE36" s="502">
        <f>'17 R1 INV COMP'!AC68</f>
        <v>0</v>
      </c>
      <c r="AF36" s="502">
        <f>'17 R1 INV COMP'!AD68</f>
        <v>0</v>
      </c>
      <c r="AG36" s="502">
        <f>'17 R1 INV COMP'!AE68</f>
        <v>0</v>
      </c>
      <c r="AH36" s="502">
        <f>'17 R1 INV COMP'!AF68</f>
        <v>0</v>
      </c>
      <c r="AI36" s="502">
        <f>'17 R1 INV COMP'!AG68</f>
        <v>0</v>
      </c>
      <c r="AJ36" s="502">
        <f>'17 R1 INV COMP'!AH68</f>
        <v>0</v>
      </c>
      <c r="AK36" s="502">
        <f>'17 R1 INV COMP'!AI68</f>
        <v>0</v>
      </c>
      <c r="AL36" s="502">
        <f>'17 R1 INV COMP'!AJ68</f>
        <v>0</v>
      </c>
      <c r="AM36" s="487"/>
      <c r="AN36" s="489">
        <f t="shared" si="0"/>
        <v>0</v>
      </c>
      <c r="AO36" s="487"/>
      <c r="AP36" s="487"/>
      <c r="AQ36" s="487"/>
      <c r="AR36" s="487"/>
      <c r="AS36" s="487"/>
      <c r="AT36" s="487"/>
      <c r="AU36" s="487"/>
      <c r="AV36" s="487"/>
    </row>
    <row r="37" spans="1:87" ht="22.5">
      <c r="B37" s="185"/>
      <c r="C37" s="265" t="s">
        <v>459</v>
      </c>
      <c r="D37" s="269">
        <v>1</v>
      </c>
      <c r="E37" s="253" t="s">
        <v>249</v>
      </c>
      <c r="F37" s="518">
        <v>1353127.5003190441</v>
      </c>
      <c r="G37" s="502">
        <f>'17 R1 INV COMP'!F70</f>
        <v>1353127.5003190441</v>
      </c>
      <c r="H37" s="502" t="e">
        <f>'17 R1 INV COMP'!#REF!</f>
        <v>#REF!</v>
      </c>
      <c r="I37" s="502">
        <f>'17 R1 INV COMP'!G70</f>
        <v>0</v>
      </c>
      <c r="J37" s="502">
        <f>'17 R1 INV COMP'!H70</f>
        <v>0</v>
      </c>
      <c r="K37" s="502">
        <f>'17 R1 INV COMP'!I70</f>
        <v>0</v>
      </c>
      <c r="L37" s="502">
        <f>'17 R1 INV COMP'!J70</f>
        <v>0</v>
      </c>
      <c r="M37" s="502">
        <f>'17 R1 INV COMP'!K70</f>
        <v>369034.77281428478</v>
      </c>
      <c r="N37" s="502">
        <f>'17 R1 INV COMP'!L70</f>
        <v>0</v>
      </c>
      <c r="O37" s="502">
        <f>'17 R1 INV COMP'!M70</f>
        <v>369034.77281428478</v>
      </c>
      <c r="P37" s="502">
        <f>'17 R1 INV COMP'!N70</f>
        <v>246023.18187618983</v>
      </c>
      <c r="Q37" s="502">
        <f>'17 R1 INV COMP'!O70</f>
        <v>246023.18187618983</v>
      </c>
      <c r="R37" s="502">
        <f>'17 R1 INV COMP'!P70</f>
        <v>123011.59093809492</v>
      </c>
      <c r="S37" s="502">
        <f>'17 R1 INV COMP'!Q70</f>
        <v>0</v>
      </c>
      <c r="T37" s="502">
        <f>'17 R1 INV COMP'!R70</f>
        <v>0</v>
      </c>
      <c r="U37" s="502">
        <f>'17 R1 INV COMP'!S70</f>
        <v>0</v>
      </c>
      <c r="V37" s="502">
        <f>'17 R1 INV COMP'!T70</f>
        <v>0</v>
      </c>
      <c r="W37" s="502">
        <f>'17 R1 INV COMP'!U70</f>
        <v>0</v>
      </c>
      <c r="X37" s="502">
        <f>'17 R1 INV COMP'!V70</f>
        <v>0</v>
      </c>
      <c r="Y37" s="502">
        <f>'17 R1 INV COMP'!W70</f>
        <v>0</v>
      </c>
      <c r="Z37" s="502">
        <f>'17 R1 INV COMP'!X70</f>
        <v>0</v>
      </c>
      <c r="AA37" s="502">
        <f>'17 R1 INV COMP'!Y70</f>
        <v>0</v>
      </c>
      <c r="AB37" s="502">
        <f>'17 R1 INV COMP'!Z70</f>
        <v>0</v>
      </c>
      <c r="AC37" s="502">
        <f>'17 R1 INV COMP'!AA70</f>
        <v>0</v>
      </c>
      <c r="AD37" s="502">
        <f>'17 R1 INV COMP'!AB70</f>
        <v>0</v>
      </c>
      <c r="AE37" s="502">
        <f>'17 R1 INV COMP'!AC70</f>
        <v>0</v>
      </c>
      <c r="AF37" s="502">
        <f>'17 R1 INV COMP'!AD70</f>
        <v>0</v>
      </c>
      <c r="AG37" s="502">
        <f>'17 R1 INV COMP'!AE70</f>
        <v>0</v>
      </c>
      <c r="AH37" s="502">
        <f>'17 R1 INV COMP'!AF70</f>
        <v>0</v>
      </c>
      <c r="AI37" s="502">
        <f>'17 R1 INV COMP'!AG70</f>
        <v>0</v>
      </c>
      <c r="AJ37" s="502">
        <f>'17 R1 INV COMP'!AH70</f>
        <v>0</v>
      </c>
      <c r="AK37" s="502">
        <f>'17 R1 INV COMP'!AI70</f>
        <v>0</v>
      </c>
      <c r="AL37" s="502">
        <f>'17 R1 INV COMP'!AJ70</f>
        <v>0</v>
      </c>
      <c r="AM37" s="487"/>
      <c r="AN37" s="489">
        <f t="shared" si="0"/>
        <v>0</v>
      </c>
      <c r="AO37" s="487"/>
      <c r="AP37" s="487"/>
      <c r="AQ37" s="487"/>
      <c r="AR37" s="487"/>
      <c r="AS37" s="487"/>
      <c r="AT37" s="487"/>
      <c r="AU37" s="487"/>
      <c r="AV37" s="487"/>
    </row>
    <row r="38" spans="1:87" ht="22.5">
      <c r="B38" s="185"/>
      <c r="C38" s="265" t="s">
        <v>408</v>
      </c>
      <c r="D38" s="269">
        <v>1</v>
      </c>
      <c r="E38" s="253" t="s">
        <v>249</v>
      </c>
      <c r="F38" s="518">
        <v>3366998.75</v>
      </c>
      <c r="G38" s="502">
        <f>'17 R1 INV COMP'!F72</f>
        <v>3366998.75</v>
      </c>
      <c r="H38" s="502" t="e">
        <f>'17 R1 INV COMP'!#REF!</f>
        <v>#REF!</v>
      </c>
      <c r="I38" s="502">
        <f>'17 R1 INV COMP'!G72</f>
        <v>0</v>
      </c>
      <c r="J38" s="502">
        <f>'17 R1 INV COMP'!H72</f>
        <v>0</v>
      </c>
      <c r="K38" s="502">
        <f>'17 R1 INV COMP'!I72</f>
        <v>0</v>
      </c>
      <c r="L38" s="502">
        <v>0</v>
      </c>
      <c r="M38" s="502">
        <f>'17 R1 INV COMP'!K72</f>
        <v>3366998.75</v>
      </c>
      <c r="N38" s="502">
        <f>'17 R1 INV COMP'!L72</f>
        <v>0</v>
      </c>
      <c r="O38" s="502">
        <f>'17 R1 INV COMP'!M72</f>
        <v>0</v>
      </c>
      <c r="P38" s="502">
        <f>'17 R1 INV COMP'!N72</f>
        <v>0</v>
      </c>
      <c r="Q38" s="502">
        <f>'17 R1 INV COMP'!O72</f>
        <v>0</v>
      </c>
      <c r="R38" s="502">
        <f>'17 R1 INV COMP'!P72</f>
        <v>0</v>
      </c>
      <c r="S38" s="502">
        <f>'17 R1 INV COMP'!Q72</f>
        <v>0</v>
      </c>
      <c r="T38" s="502">
        <f>'17 R1 INV COMP'!R72</f>
        <v>0</v>
      </c>
      <c r="U38" s="502">
        <f>'17 R1 INV COMP'!S72</f>
        <v>0</v>
      </c>
      <c r="V38" s="502">
        <f>'17 R1 INV COMP'!T72</f>
        <v>0</v>
      </c>
      <c r="W38" s="502">
        <f>'17 R1 INV COMP'!U72</f>
        <v>0</v>
      </c>
      <c r="X38" s="502">
        <f>'17 R1 INV COMP'!V72</f>
        <v>0</v>
      </c>
      <c r="Y38" s="502">
        <f>'17 R1 INV COMP'!W72</f>
        <v>0</v>
      </c>
      <c r="Z38" s="502">
        <f>'17 R1 INV COMP'!X72</f>
        <v>0</v>
      </c>
      <c r="AA38" s="502">
        <f>'17 R1 INV COMP'!Y72</f>
        <v>0</v>
      </c>
      <c r="AB38" s="502">
        <f>'17 R1 INV COMP'!Z72</f>
        <v>0</v>
      </c>
      <c r="AC38" s="502">
        <f>'17 R1 INV COMP'!AA72</f>
        <v>0</v>
      </c>
      <c r="AD38" s="502">
        <f>'17 R1 INV COMP'!AB72</f>
        <v>0</v>
      </c>
      <c r="AE38" s="502">
        <f>'17 R1 INV COMP'!AC72</f>
        <v>0</v>
      </c>
      <c r="AF38" s="502">
        <f>'17 R1 INV COMP'!AD72</f>
        <v>0</v>
      </c>
      <c r="AG38" s="502">
        <f>'17 R1 INV COMP'!AE72</f>
        <v>0</v>
      </c>
      <c r="AH38" s="502">
        <f>'17 R1 INV COMP'!AF72</f>
        <v>0</v>
      </c>
      <c r="AI38" s="502">
        <f>'17 R1 INV COMP'!AG72</f>
        <v>0</v>
      </c>
      <c r="AJ38" s="502">
        <f>'17 R1 INV COMP'!AH72</f>
        <v>0</v>
      </c>
      <c r="AK38" s="502">
        <f>'17 R1 INV COMP'!AI72</f>
        <v>0</v>
      </c>
      <c r="AL38" s="502">
        <f>'17 R1 INV COMP'!AJ72</f>
        <v>0</v>
      </c>
      <c r="AM38" s="487"/>
      <c r="AN38" s="489">
        <f t="shared" si="0"/>
        <v>0</v>
      </c>
      <c r="AO38" s="487"/>
      <c r="AP38" s="487"/>
      <c r="AQ38" s="487"/>
      <c r="AR38" s="487"/>
      <c r="AS38" s="487"/>
      <c r="AT38" s="487"/>
      <c r="AU38" s="487"/>
      <c r="AV38" s="487"/>
    </row>
    <row r="39" spans="1:87" ht="23.25" thickBot="1">
      <c r="B39" s="192"/>
      <c r="C39" s="266" t="s">
        <v>460</v>
      </c>
      <c r="D39" s="198">
        <v>5</v>
      </c>
      <c r="E39" s="272" t="s">
        <v>142</v>
      </c>
      <c r="F39" s="519">
        <v>299835.72586952901</v>
      </c>
      <c r="G39" s="503">
        <f>'17 R1 INV COMP'!F74</f>
        <v>1499178.6293476452</v>
      </c>
      <c r="H39" s="503" t="e">
        <f>'17 R1 INV COMP'!#REF!</f>
        <v>#REF!</v>
      </c>
      <c r="I39" s="503">
        <f>'17 R1 INV COMP'!G74</f>
        <v>0</v>
      </c>
      <c r="J39" s="503">
        <f>'17 R1 INV COMP'!H74</f>
        <v>0</v>
      </c>
      <c r="K39" s="503">
        <f>'17 R1 INV COMP'!I74</f>
        <v>0</v>
      </c>
      <c r="L39" s="503">
        <f>'17 R1 INV COMP'!J74</f>
        <v>0</v>
      </c>
      <c r="M39" s="503">
        <f>'17 R1 INV COMP'!K74</f>
        <v>0</v>
      </c>
      <c r="N39" s="503">
        <f>'17 R1 INV COMP'!L74</f>
        <v>0</v>
      </c>
      <c r="O39" s="503">
        <f>'17 R1 INV COMP'!M74</f>
        <v>0</v>
      </c>
      <c r="P39" s="503">
        <f>'17 R1 INV COMP'!N74</f>
        <v>0</v>
      </c>
      <c r="Q39" s="503">
        <f>'17 R1 INV COMP'!O74</f>
        <v>299835.72586952901</v>
      </c>
      <c r="R39" s="503">
        <f>'17 R1 INV COMP'!P74</f>
        <v>299835.72586952901</v>
      </c>
      <c r="S39" s="503">
        <f>'17 R1 INV COMP'!Q74</f>
        <v>299835.72586952901</v>
      </c>
      <c r="T39" s="503">
        <f>'17 R1 INV COMP'!R74</f>
        <v>599671.45173905801</v>
      </c>
      <c r="U39" s="503">
        <f>'17 R1 INV COMP'!S74</f>
        <v>0</v>
      </c>
      <c r="V39" s="503">
        <f>'17 R1 INV COMP'!T74</f>
        <v>0</v>
      </c>
      <c r="W39" s="503">
        <f>'17 R1 INV COMP'!U74</f>
        <v>0</v>
      </c>
      <c r="X39" s="503">
        <f>'17 R1 INV COMP'!V74</f>
        <v>0</v>
      </c>
      <c r="Y39" s="503">
        <f>'17 R1 INV COMP'!W74</f>
        <v>0</v>
      </c>
      <c r="Z39" s="503">
        <f>'17 R1 INV COMP'!X74</f>
        <v>0</v>
      </c>
      <c r="AA39" s="503">
        <f>'17 R1 INV COMP'!Y74</f>
        <v>0</v>
      </c>
      <c r="AB39" s="503">
        <f>'17 R1 INV COMP'!Z74</f>
        <v>0</v>
      </c>
      <c r="AC39" s="503">
        <f>'17 R1 INV COMP'!AA74</f>
        <v>0</v>
      </c>
      <c r="AD39" s="503">
        <f>'17 R1 INV COMP'!AB74</f>
        <v>0</v>
      </c>
      <c r="AE39" s="503">
        <f>'17 R1 INV COMP'!AC74</f>
        <v>0</v>
      </c>
      <c r="AF39" s="503">
        <f>'17 R1 INV COMP'!AD74</f>
        <v>0</v>
      </c>
      <c r="AG39" s="503">
        <f>'17 R1 INV COMP'!AE74</f>
        <v>0</v>
      </c>
      <c r="AH39" s="503">
        <f>'17 R1 INV COMP'!AF74</f>
        <v>0</v>
      </c>
      <c r="AI39" s="503">
        <f>'17 R1 INV COMP'!AG74</f>
        <v>0</v>
      </c>
      <c r="AJ39" s="503">
        <f>'17 R1 INV COMP'!AH74</f>
        <v>0</v>
      </c>
      <c r="AK39" s="503">
        <f>'17 R1 INV COMP'!AI74</f>
        <v>0</v>
      </c>
      <c r="AL39" s="503">
        <f>'17 R1 INV COMP'!AJ74</f>
        <v>0</v>
      </c>
      <c r="AM39" s="487"/>
      <c r="AN39" s="489">
        <f t="shared" si="0"/>
        <v>0</v>
      </c>
      <c r="AO39" s="487"/>
      <c r="AP39" s="487"/>
      <c r="AQ39" s="487"/>
      <c r="AR39" s="487"/>
      <c r="AS39" s="487"/>
      <c r="AT39" s="487"/>
      <c r="AU39" s="487"/>
      <c r="AV39" s="487"/>
    </row>
    <row r="40" spans="1:87" ht="13.5" thickBot="1">
      <c r="E40" s="275"/>
      <c r="F40" s="511"/>
      <c r="G40" s="511"/>
      <c r="H40" s="511"/>
      <c r="I40" s="511"/>
      <c r="J40" s="511"/>
      <c r="K40" s="511"/>
      <c r="L40" s="511"/>
      <c r="M40" s="511"/>
      <c r="N40" s="511"/>
      <c r="O40" s="511"/>
      <c r="P40" s="511"/>
      <c r="Q40" s="511"/>
      <c r="R40" s="511"/>
      <c r="S40" s="511"/>
      <c r="T40" s="511"/>
      <c r="U40" s="511"/>
      <c r="V40" s="511"/>
      <c r="W40" s="511"/>
      <c r="X40" s="511"/>
      <c r="Y40" s="511"/>
      <c r="Z40" s="511"/>
      <c r="AA40" s="511"/>
      <c r="AB40" s="511"/>
      <c r="AC40" s="511"/>
      <c r="AD40" s="511"/>
      <c r="AE40" s="511"/>
      <c r="AF40" s="511"/>
      <c r="AG40" s="511"/>
      <c r="AH40" s="511"/>
      <c r="AI40" s="511"/>
      <c r="AJ40" s="511"/>
      <c r="AK40" s="511"/>
      <c r="AL40" s="511"/>
      <c r="AM40" s="487"/>
      <c r="AN40" s="489"/>
      <c r="AO40" s="487"/>
      <c r="AP40" s="487"/>
      <c r="AQ40" s="487"/>
      <c r="AR40" s="487"/>
      <c r="AS40" s="487"/>
      <c r="AT40" s="487"/>
      <c r="AU40" s="487"/>
      <c r="AV40" s="487"/>
    </row>
    <row r="41" spans="1:87" ht="13.5" thickBot="1">
      <c r="B41" s="357">
        <v>3</v>
      </c>
      <c r="C41" s="194" t="s">
        <v>391</v>
      </c>
      <c r="D41" s="180"/>
      <c r="E41" s="267"/>
      <c r="F41" s="512"/>
      <c r="G41" s="523">
        <f>'17 R1 INV COMP'!F77</f>
        <v>862632.65953346319</v>
      </c>
      <c r="H41" s="523" t="e">
        <f>'17 R1 INV COMP'!#REF!</f>
        <v>#REF!</v>
      </c>
      <c r="I41" s="523">
        <f>'17 R1 INV COMP'!G77</f>
        <v>87023.583369052707</v>
      </c>
      <c r="J41" s="523">
        <f>'17 R1 INV COMP'!H77</f>
        <v>43673.537443111301</v>
      </c>
      <c r="K41" s="523">
        <f>'17 R1 INV COMP'!I77</f>
        <v>85663.1968465932</v>
      </c>
      <c r="L41" s="523">
        <f>'17 R1 INV COMP'!J77</f>
        <v>478679.25959315657</v>
      </c>
      <c r="M41" s="523">
        <f>'17 R1 INV COMP'!K77</f>
        <v>6445.8877800595983</v>
      </c>
      <c r="N41" s="523">
        <f>'17 R1 INV COMP'!L77</f>
        <v>6445.8877800595983</v>
      </c>
      <c r="O41" s="523">
        <f>'17 R1 INV COMP'!M77</f>
        <v>6445.8877800595983</v>
      </c>
      <c r="P41" s="523">
        <f>'17 R1 INV COMP'!N77</f>
        <v>6445.8877800595983</v>
      </c>
      <c r="Q41" s="523">
        <f>'17 R1 INV COMP'!O77</f>
        <v>6445.8877800595983</v>
      </c>
      <c r="R41" s="523">
        <f>'17 R1 INV COMP'!P77</f>
        <v>6445.8877800595983</v>
      </c>
      <c r="S41" s="523">
        <f>'17 R1 INV COMP'!Q77</f>
        <v>6445.8877800595983</v>
      </c>
      <c r="T41" s="523">
        <f>'17 R1 INV COMP'!R77</f>
        <v>6445.8877800595983</v>
      </c>
      <c r="U41" s="523">
        <f>'17 R1 INV COMP'!S77</f>
        <v>6445.8877800595983</v>
      </c>
      <c r="V41" s="523">
        <f>'17 R1 INV COMP'!T77</f>
        <v>6445.8877800595983</v>
      </c>
      <c r="W41" s="523">
        <f>'17 R1 INV COMP'!U77</f>
        <v>6445.8877800595983</v>
      </c>
      <c r="X41" s="523">
        <f>'17 R1 INV COMP'!V77</f>
        <v>6445.8877800595983</v>
      </c>
      <c r="Y41" s="523">
        <f>'17 R1 INV COMP'!W77</f>
        <v>6445.8877800595983</v>
      </c>
      <c r="Z41" s="523">
        <f>'17 R1 INV COMP'!X77</f>
        <v>6445.8877800595983</v>
      </c>
      <c r="AA41" s="523">
        <f>'17 R1 INV COMP'!Y77</f>
        <v>6445.8877800595983</v>
      </c>
      <c r="AB41" s="523">
        <f>'17 R1 INV COMP'!Z77</f>
        <v>6445.8877800595983</v>
      </c>
      <c r="AC41" s="523">
        <f>'17 R1 INV COMP'!AA77</f>
        <v>6445.8877800595983</v>
      </c>
      <c r="AD41" s="523">
        <f>'17 R1 INV COMP'!AB77</f>
        <v>6445.8877800595983</v>
      </c>
      <c r="AE41" s="523">
        <f>'17 R1 INV COMP'!AC77</f>
        <v>6445.8877800595983</v>
      </c>
      <c r="AF41" s="523">
        <f>'17 R1 INV COMP'!AD77</f>
        <v>6445.8877800595983</v>
      </c>
      <c r="AG41" s="523">
        <f>'17 R1 INV COMP'!AE77</f>
        <v>6445.8877800595983</v>
      </c>
      <c r="AH41" s="523">
        <f>'17 R1 INV COMP'!AF77</f>
        <v>6445.8877800595983</v>
      </c>
      <c r="AI41" s="523">
        <f>'17 R1 INV COMP'!AG77</f>
        <v>6445.8877800595983</v>
      </c>
      <c r="AJ41" s="523">
        <f>'17 R1 INV COMP'!AH77</f>
        <v>6445.8877800595983</v>
      </c>
      <c r="AK41" s="523">
        <f>'17 R1 INV COMP'!AI77</f>
        <v>6445.8877800595983</v>
      </c>
      <c r="AL41" s="523">
        <f>'17 R1 INV COMP'!AJ77</f>
        <v>6445.8877800595983</v>
      </c>
      <c r="AM41" s="487"/>
      <c r="AN41" s="489">
        <f t="shared" si="0"/>
        <v>0</v>
      </c>
      <c r="AO41" s="487"/>
      <c r="AP41" s="487"/>
      <c r="AQ41" s="487"/>
      <c r="AR41" s="487"/>
      <c r="AS41" s="487"/>
      <c r="AT41" s="487"/>
      <c r="AU41" s="487"/>
      <c r="AV41" s="487"/>
    </row>
    <row r="42" spans="1:87" ht="13.5" thickBot="1">
      <c r="A42" s="885"/>
      <c r="B42" s="796" t="s">
        <v>158</v>
      </c>
      <c r="C42" s="797" t="s">
        <v>159</v>
      </c>
      <c r="D42" s="798"/>
      <c r="E42" s="799"/>
      <c r="F42" s="800"/>
      <c r="G42" s="801">
        <f>'17 R1 INV COMP'!F79</f>
        <v>862632.65953346319</v>
      </c>
      <c r="H42" s="801" t="e">
        <f>'17 R1 INV COMP'!#REF!</f>
        <v>#REF!</v>
      </c>
      <c r="I42" s="801">
        <f>'17 R1 INV COMP'!G79</f>
        <v>87023.583369052707</v>
      </c>
      <c r="J42" s="801">
        <f>'17 R1 INV COMP'!H79</f>
        <v>43673.537443111301</v>
      </c>
      <c r="K42" s="801">
        <f>'17 R1 INV COMP'!I79</f>
        <v>85663.1968465932</v>
      </c>
      <c r="L42" s="801">
        <f>'17 R1 INV COMP'!J79</f>
        <v>478679.25959315657</v>
      </c>
      <c r="M42" s="801">
        <f>'17 R1 INV COMP'!K79</f>
        <v>6445.8877800595983</v>
      </c>
      <c r="N42" s="801">
        <f>'17 R1 INV COMP'!L79</f>
        <v>6445.8877800595983</v>
      </c>
      <c r="O42" s="801">
        <f>'17 R1 INV COMP'!M79</f>
        <v>6445.8877800595983</v>
      </c>
      <c r="P42" s="801">
        <f>'17 R1 INV COMP'!N79</f>
        <v>6445.8877800595983</v>
      </c>
      <c r="Q42" s="801">
        <f>'17 R1 INV COMP'!O79</f>
        <v>6445.8877800595983</v>
      </c>
      <c r="R42" s="801">
        <f>'17 R1 INV COMP'!P79</f>
        <v>6445.8877800595983</v>
      </c>
      <c r="S42" s="801">
        <f>'17 R1 INV COMP'!Q79</f>
        <v>6445.8877800595983</v>
      </c>
      <c r="T42" s="801">
        <f>'17 R1 INV COMP'!R79</f>
        <v>6445.8877800595983</v>
      </c>
      <c r="U42" s="801">
        <f>'17 R1 INV COMP'!S79</f>
        <v>6445.8877800595983</v>
      </c>
      <c r="V42" s="801">
        <f>'17 R1 INV COMP'!T79</f>
        <v>6445.8877800595983</v>
      </c>
      <c r="W42" s="801">
        <f>'17 R1 INV COMP'!U79</f>
        <v>6445.8877800595983</v>
      </c>
      <c r="X42" s="801">
        <f>'17 R1 INV COMP'!V79</f>
        <v>6445.8877800595983</v>
      </c>
      <c r="Y42" s="801">
        <f>'17 R1 INV COMP'!W79</f>
        <v>6445.8877800595983</v>
      </c>
      <c r="Z42" s="801">
        <f>'17 R1 INV COMP'!X79</f>
        <v>6445.8877800595983</v>
      </c>
      <c r="AA42" s="801">
        <f>'17 R1 INV COMP'!Y79</f>
        <v>6445.8877800595983</v>
      </c>
      <c r="AB42" s="801">
        <f>'17 R1 INV COMP'!Z79</f>
        <v>6445.8877800595983</v>
      </c>
      <c r="AC42" s="801">
        <f>'17 R1 INV COMP'!AA79</f>
        <v>6445.8877800595983</v>
      </c>
      <c r="AD42" s="801">
        <f>'17 R1 INV COMP'!AB79</f>
        <v>6445.8877800595983</v>
      </c>
      <c r="AE42" s="801">
        <f>'17 R1 INV COMP'!AC79</f>
        <v>6445.8877800595983</v>
      </c>
      <c r="AF42" s="801">
        <f>'17 R1 INV COMP'!AD79</f>
        <v>6445.8877800595983</v>
      </c>
      <c r="AG42" s="801">
        <f>'17 R1 INV COMP'!AE79</f>
        <v>6445.8877800595983</v>
      </c>
      <c r="AH42" s="801">
        <f>'17 R1 INV COMP'!AF79</f>
        <v>6445.8877800595983</v>
      </c>
      <c r="AI42" s="801">
        <f>'17 R1 INV COMP'!AG79</f>
        <v>6445.8877800595983</v>
      </c>
      <c r="AJ42" s="801">
        <f>'17 R1 INV COMP'!AH79</f>
        <v>6445.8877800595983</v>
      </c>
      <c r="AK42" s="801">
        <f>'17 R1 INV COMP'!AI79</f>
        <v>6445.8877800595983</v>
      </c>
      <c r="AL42" s="801">
        <f>'17 R1 INV COMP'!AJ79</f>
        <v>6445.8877800595983</v>
      </c>
      <c r="AM42" s="488"/>
      <c r="AN42" s="489">
        <f t="shared" si="0"/>
        <v>0</v>
      </c>
      <c r="AO42" s="488"/>
      <c r="AP42" s="488"/>
      <c r="AQ42" s="488"/>
      <c r="AR42" s="488"/>
      <c r="AS42" s="488"/>
      <c r="AT42" s="488"/>
      <c r="AU42" s="488"/>
      <c r="AV42" s="488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</row>
    <row r="43" spans="1:87">
      <c r="B43" s="185"/>
      <c r="C43" s="273" t="s">
        <v>270</v>
      </c>
      <c r="D43" s="199">
        <v>6200</v>
      </c>
      <c r="E43" s="255" t="s">
        <v>142</v>
      </c>
      <c r="F43" s="520">
        <v>60.954164350464545</v>
      </c>
      <c r="G43" s="501">
        <f>'17 R1 INV COMP'!F81</f>
        <v>377915.81897288014</v>
      </c>
      <c r="H43" s="501" t="e">
        <f>'17 R1 INV COMP'!#REF!</f>
        <v>#REF!</v>
      </c>
      <c r="I43" s="501">
        <f>'17 R1 INV COMP'!G81</f>
        <v>87023.583369052707</v>
      </c>
      <c r="J43" s="501">
        <f>'17 R1 INV COMP'!H81</f>
        <v>43673.537443111301</v>
      </c>
      <c r="K43" s="501">
        <f>'17 R1 INV COMP'!I81</f>
        <v>73179.728099107073</v>
      </c>
      <c r="L43" s="501">
        <f>'17 R1 INV COMP'!J81</f>
        <v>6445.8877800595983</v>
      </c>
      <c r="M43" s="501">
        <f>'17 R1 INV COMP'!K81</f>
        <v>6445.8877800595983</v>
      </c>
      <c r="N43" s="501">
        <f>'17 R1 INV COMP'!L81</f>
        <v>6445.8877800595983</v>
      </c>
      <c r="O43" s="501">
        <f>'17 R1 INV COMP'!M81</f>
        <v>6445.8877800595983</v>
      </c>
      <c r="P43" s="501">
        <f>'17 R1 INV COMP'!N81</f>
        <v>6445.8877800595983</v>
      </c>
      <c r="Q43" s="501">
        <f>'17 R1 INV COMP'!O81</f>
        <v>6445.8877800595983</v>
      </c>
      <c r="R43" s="501">
        <f>'17 R1 INV COMP'!P81</f>
        <v>6445.8877800595983</v>
      </c>
      <c r="S43" s="501">
        <f>'17 R1 INV COMP'!Q81</f>
        <v>6445.8877800595983</v>
      </c>
      <c r="T43" s="501">
        <f>'17 R1 INV COMP'!R81</f>
        <v>6445.8877800595983</v>
      </c>
      <c r="U43" s="501">
        <f>'17 R1 INV COMP'!S81</f>
        <v>6445.8877800595983</v>
      </c>
      <c r="V43" s="501">
        <f>'17 R1 INV COMP'!T81</f>
        <v>6445.8877800595983</v>
      </c>
      <c r="W43" s="501">
        <f>'17 R1 INV COMP'!U81</f>
        <v>6445.8877800595983</v>
      </c>
      <c r="X43" s="501">
        <f>'17 R1 INV COMP'!V81</f>
        <v>6445.8877800595983</v>
      </c>
      <c r="Y43" s="501">
        <f>'17 R1 INV COMP'!W81</f>
        <v>6445.8877800595983</v>
      </c>
      <c r="Z43" s="501">
        <f>'17 R1 INV COMP'!X81</f>
        <v>6445.8877800595983</v>
      </c>
      <c r="AA43" s="501">
        <f>'17 R1 INV COMP'!Y81</f>
        <v>6445.8877800595983</v>
      </c>
      <c r="AB43" s="501">
        <f>'17 R1 INV COMP'!Z81</f>
        <v>6445.8877800595983</v>
      </c>
      <c r="AC43" s="501">
        <f>'17 R1 INV COMP'!AA81</f>
        <v>6445.8877800595983</v>
      </c>
      <c r="AD43" s="501">
        <f>'17 R1 INV COMP'!AB81</f>
        <v>6445.8877800595983</v>
      </c>
      <c r="AE43" s="501">
        <f>'17 R1 INV COMP'!AC81</f>
        <v>6445.8877800595983</v>
      </c>
      <c r="AF43" s="501">
        <f>'17 R1 INV COMP'!AD81</f>
        <v>6445.8877800595983</v>
      </c>
      <c r="AG43" s="501">
        <f>'17 R1 INV COMP'!AE81</f>
        <v>6445.8877800595983</v>
      </c>
      <c r="AH43" s="501">
        <f>'17 R1 INV COMP'!AF81</f>
        <v>6445.8877800595983</v>
      </c>
      <c r="AI43" s="501">
        <f>'17 R1 INV COMP'!AG81</f>
        <v>6445.8877800595983</v>
      </c>
      <c r="AJ43" s="501">
        <f>'17 R1 INV COMP'!AH81</f>
        <v>6445.8877800595983</v>
      </c>
      <c r="AK43" s="501">
        <f>'17 R1 INV COMP'!AI81</f>
        <v>6445.8877800595983</v>
      </c>
      <c r="AL43" s="501">
        <f>'17 R1 INV COMP'!AJ81</f>
        <v>6445.8877800595983</v>
      </c>
      <c r="AM43" s="487"/>
      <c r="AN43" s="489">
        <f t="shared" si="0"/>
        <v>0</v>
      </c>
      <c r="AO43" s="487"/>
      <c r="AP43" s="487"/>
      <c r="AQ43" s="487"/>
      <c r="AR43" s="487"/>
      <c r="AS43" s="487"/>
      <c r="AT43" s="487"/>
      <c r="AU43" s="487"/>
      <c r="AV43" s="487"/>
    </row>
    <row r="44" spans="1:87">
      <c r="B44" s="185"/>
      <c r="C44" s="265" t="s">
        <v>255</v>
      </c>
      <c r="D44" s="269">
        <f>G44/F44</f>
        <v>4763</v>
      </c>
      <c r="E44" s="253" t="s">
        <v>254</v>
      </c>
      <c r="F44" s="518">
        <v>101.76713007780455</v>
      </c>
      <c r="G44" s="502">
        <f>'17 R1 INV COMP'!F83</f>
        <v>484716.84056058311</v>
      </c>
      <c r="H44" s="502" t="e">
        <f>'17 R1 INV COMP'!#REF!</f>
        <v>#REF!</v>
      </c>
      <c r="I44" s="502">
        <f>'17 R1 INV COMP'!G83</f>
        <v>0</v>
      </c>
      <c r="J44" s="502">
        <f>'17 R1 INV COMP'!H83</f>
        <v>0</v>
      </c>
      <c r="K44" s="502">
        <f>'17 R1 INV COMP'!I83</f>
        <v>12483.468747486124</v>
      </c>
      <c r="L44" s="502">
        <f>'17 R1 INV COMP'!J83</f>
        <v>472233.37181309698</v>
      </c>
      <c r="M44" s="502">
        <f>'17 R1 INV COMP'!K83</f>
        <v>0</v>
      </c>
      <c r="N44" s="502">
        <f>'17 R1 INV COMP'!L83</f>
        <v>0</v>
      </c>
      <c r="O44" s="502">
        <f>'17 R1 INV COMP'!M83</f>
        <v>0</v>
      </c>
      <c r="P44" s="502">
        <f>'17 R1 INV COMP'!N83</f>
        <v>0</v>
      </c>
      <c r="Q44" s="502">
        <f>'17 R1 INV COMP'!O83</f>
        <v>0</v>
      </c>
      <c r="R44" s="502">
        <f>'17 R1 INV COMP'!P83</f>
        <v>0</v>
      </c>
      <c r="S44" s="502">
        <f>'17 R1 INV COMP'!Q83</f>
        <v>0</v>
      </c>
      <c r="T44" s="502">
        <f>'17 R1 INV COMP'!R83</f>
        <v>0</v>
      </c>
      <c r="U44" s="502">
        <f>'17 R1 INV COMP'!S83</f>
        <v>0</v>
      </c>
      <c r="V44" s="502">
        <f>'17 R1 INV COMP'!T83</f>
        <v>0</v>
      </c>
      <c r="W44" s="502">
        <f>'17 R1 INV COMP'!U83</f>
        <v>0</v>
      </c>
      <c r="X44" s="502">
        <f>'17 R1 INV COMP'!V83</f>
        <v>0</v>
      </c>
      <c r="Y44" s="502">
        <f>'17 R1 INV COMP'!W83</f>
        <v>0</v>
      </c>
      <c r="Z44" s="502">
        <f>'17 R1 INV COMP'!X83</f>
        <v>0</v>
      </c>
      <c r="AA44" s="502">
        <f>'17 R1 INV COMP'!Y83</f>
        <v>0</v>
      </c>
      <c r="AB44" s="502">
        <f>'17 R1 INV COMP'!Z83</f>
        <v>0</v>
      </c>
      <c r="AC44" s="502">
        <f>'17 R1 INV COMP'!AA83</f>
        <v>0</v>
      </c>
      <c r="AD44" s="502">
        <f>'17 R1 INV COMP'!AB83</f>
        <v>0</v>
      </c>
      <c r="AE44" s="502">
        <f>'17 R1 INV COMP'!AC83</f>
        <v>0</v>
      </c>
      <c r="AF44" s="502">
        <f>'17 R1 INV COMP'!AD83</f>
        <v>0</v>
      </c>
      <c r="AG44" s="502">
        <f>'17 R1 INV COMP'!AE83</f>
        <v>0</v>
      </c>
      <c r="AH44" s="502">
        <f>'17 R1 INV COMP'!AF83</f>
        <v>0</v>
      </c>
      <c r="AI44" s="502">
        <f>'17 R1 INV COMP'!AG83</f>
        <v>0</v>
      </c>
      <c r="AJ44" s="502">
        <f>'17 R1 INV COMP'!AH83</f>
        <v>0</v>
      </c>
      <c r="AK44" s="502">
        <f>'17 R1 INV COMP'!AI83</f>
        <v>0</v>
      </c>
      <c r="AL44" s="502">
        <f>'17 R1 INV COMP'!AJ83</f>
        <v>0</v>
      </c>
      <c r="AM44" s="487"/>
      <c r="AN44" s="489">
        <f t="shared" si="0"/>
        <v>0</v>
      </c>
      <c r="AO44" s="487"/>
      <c r="AP44" s="487"/>
      <c r="AQ44" s="487"/>
      <c r="AR44" s="487"/>
      <c r="AS44" s="487"/>
      <c r="AT44" s="487"/>
      <c r="AU44" s="487"/>
      <c r="AV44" s="487"/>
    </row>
    <row r="45" spans="1:87" ht="13.5" thickBot="1">
      <c r="B45" s="186"/>
      <c r="C45" s="187"/>
      <c r="D45" s="198"/>
      <c r="E45" s="272"/>
      <c r="F45" s="521"/>
      <c r="G45" s="525"/>
      <c r="H45" s="525"/>
      <c r="I45" s="525"/>
      <c r="J45" s="525"/>
      <c r="K45" s="525"/>
      <c r="L45" s="525"/>
      <c r="M45" s="525"/>
      <c r="N45" s="525"/>
      <c r="O45" s="525"/>
      <c r="P45" s="525"/>
      <c r="Q45" s="525"/>
      <c r="R45" s="525"/>
      <c r="S45" s="525"/>
      <c r="T45" s="525"/>
      <c r="U45" s="525"/>
      <c r="V45" s="525"/>
      <c r="W45" s="525"/>
      <c r="X45" s="525"/>
      <c r="Y45" s="525"/>
      <c r="Z45" s="525"/>
      <c r="AA45" s="525"/>
      <c r="AB45" s="525"/>
      <c r="AC45" s="525"/>
      <c r="AD45" s="525"/>
      <c r="AE45" s="525"/>
      <c r="AF45" s="525"/>
      <c r="AG45" s="525"/>
      <c r="AH45" s="525"/>
      <c r="AI45" s="525"/>
      <c r="AJ45" s="525"/>
      <c r="AK45" s="525"/>
      <c r="AL45" s="525"/>
      <c r="AM45" s="487"/>
      <c r="AN45" s="489">
        <f t="shared" si="0"/>
        <v>0</v>
      </c>
      <c r="AO45" s="487"/>
      <c r="AP45" s="487"/>
      <c r="AQ45" s="487"/>
      <c r="AR45" s="487"/>
      <c r="AS45" s="487"/>
      <c r="AT45" s="487"/>
      <c r="AU45" s="487"/>
      <c r="AV45" s="487"/>
    </row>
    <row r="46" spans="1:87" ht="13.5" thickBot="1">
      <c r="E46" s="275"/>
      <c r="F46" s="486"/>
      <c r="G46" s="511"/>
      <c r="H46" s="511"/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511"/>
      <c r="V46" s="511"/>
      <c r="W46" s="511"/>
      <c r="X46" s="511"/>
      <c r="Y46" s="511"/>
      <c r="Z46" s="511"/>
      <c r="AA46" s="511"/>
      <c r="AB46" s="511"/>
      <c r="AC46" s="511"/>
      <c r="AD46" s="511"/>
      <c r="AE46" s="511"/>
      <c r="AF46" s="511"/>
      <c r="AG46" s="511"/>
      <c r="AH46" s="511"/>
      <c r="AI46" s="511"/>
      <c r="AJ46" s="511"/>
      <c r="AK46" s="511"/>
      <c r="AL46" s="511"/>
      <c r="AM46" s="487"/>
      <c r="AN46" s="489">
        <f t="shared" si="0"/>
        <v>0</v>
      </c>
      <c r="AO46" s="487"/>
      <c r="AP46" s="487"/>
      <c r="AQ46" s="487"/>
      <c r="AR46" s="487"/>
      <c r="AS46" s="487"/>
      <c r="AT46" s="487"/>
      <c r="AU46" s="487"/>
      <c r="AV46" s="487"/>
    </row>
    <row r="47" spans="1:87" ht="13.5" hidden="1" thickBot="1">
      <c r="A47" s="885"/>
      <c r="B47" s="802" t="s">
        <v>160</v>
      </c>
      <c r="C47" s="460" t="s">
        <v>161</v>
      </c>
      <c r="D47" s="461"/>
      <c r="E47" s="462"/>
      <c r="F47" s="803"/>
      <c r="G47" s="524">
        <f>SUM(G48:G50)</f>
        <v>0</v>
      </c>
      <c r="H47" s="524">
        <f t="shared" ref="H47:AL47" si="2">SUM(H48:H50)</f>
        <v>0</v>
      </c>
      <c r="I47" s="524">
        <f t="shared" si="2"/>
        <v>0</v>
      </c>
      <c r="J47" s="524">
        <f t="shared" si="2"/>
        <v>0</v>
      </c>
      <c r="K47" s="524">
        <f t="shared" si="2"/>
        <v>0</v>
      </c>
      <c r="L47" s="524">
        <f t="shared" si="2"/>
        <v>0</v>
      </c>
      <c r="M47" s="524">
        <f t="shared" si="2"/>
        <v>0</v>
      </c>
      <c r="N47" s="524">
        <f t="shared" si="2"/>
        <v>0</v>
      </c>
      <c r="O47" s="524">
        <f t="shared" si="2"/>
        <v>0</v>
      </c>
      <c r="P47" s="524">
        <f t="shared" si="2"/>
        <v>0</v>
      </c>
      <c r="Q47" s="524">
        <f t="shared" si="2"/>
        <v>0</v>
      </c>
      <c r="R47" s="524">
        <f t="shared" si="2"/>
        <v>0</v>
      </c>
      <c r="S47" s="524">
        <f t="shared" si="2"/>
        <v>0</v>
      </c>
      <c r="T47" s="524">
        <f t="shared" si="2"/>
        <v>0</v>
      </c>
      <c r="U47" s="524">
        <f t="shared" si="2"/>
        <v>0</v>
      </c>
      <c r="V47" s="524">
        <f t="shared" si="2"/>
        <v>0</v>
      </c>
      <c r="W47" s="524">
        <f t="shared" si="2"/>
        <v>0</v>
      </c>
      <c r="X47" s="524">
        <f t="shared" si="2"/>
        <v>0</v>
      </c>
      <c r="Y47" s="524">
        <f t="shared" si="2"/>
        <v>0</v>
      </c>
      <c r="Z47" s="524">
        <f t="shared" si="2"/>
        <v>0</v>
      </c>
      <c r="AA47" s="524">
        <f t="shared" si="2"/>
        <v>0</v>
      </c>
      <c r="AB47" s="524">
        <f t="shared" si="2"/>
        <v>0</v>
      </c>
      <c r="AC47" s="524">
        <f t="shared" si="2"/>
        <v>0</v>
      </c>
      <c r="AD47" s="524">
        <f t="shared" si="2"/>
        <v>0</v>
      </c>
      <c r="AE47" s="524">
        <f t="shared" si="2"/>
        <v>0</v>
      </c>
      <c r="AF47" s="524">
        <f t="shared" si="2"/>
        <v>0</v>
      </c>
      <c r="AG47" s="524">
        <f t="shared" si="2"/>
        <v>0</v>
      </c>
      <c r="AH47" s="524">
        <f t="shared" si="2"/>
        <v>0</v>
      </c>
      <c r="AI47" s="524">
        <f t="shared" si="2"/>
        <v>0</v>
      </c>
      <c r="AJ47" s="524">
        <f t="shared" si="2"/>
        <v>0</v>
      </c>
      <c r="AK47" s="524">
        <f t="shared" si="2"/>
        <v>0</v>
      </c>
      <c r="AL47" s="524">
        <f t="shared" si="2"/>
        <v>0</v>
      </c>
      <c r="AM47" s="488"/>
      <c r="AN47" s="489">
        <f t="shared" si="0"/>
        <v>0</v>
      </c>
      <c r="AO47" s="488"/>
      <c r="AP47" s="488"/>
      <c r="AQ47" s="488"/>
      <c r="AR47" s="488"/>
      <c r="AS47" s="488"/>
      <c r="AT47" s="488"/>
      <c r="AU47" s="488"/>
      <c r="AV47" s="488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</row>
    <row r="48" spans="1:87" ht="14.25" hidden="1" thickTop="1" thickBot="1">
      <c r="B48" s="195"/>
      <c r="C48" s="196"/>
      <c r="D48" s="190"/>
      <c r="E48" s="274"/>
      <c r="F48" s="497"/>
      <c r="G48" s="501"/>
      <c r="H48" s="501"/>
      <c r="I48" s="501"/>
      <c r="J48" s="501"/>
      <c r="K48" s="501"/>
      <c r="L48" s="501"/>
      <c r="M48" s="501"/>
      <c r="N48" s="501"/>
      <c r="O48" s="501"/>
      <c r="P48" s="501"/>
      <c r="Q48" s="501"/>
      <c r="R48" s="501"/>
      <c r="S48" s="501"/>
      <c r="T48" s="501"/>
      <c r="U48" s="501"/>
      <c r="V48" s="501"/>
      <c r="W48" s="501"/>
      <c r="X48" s="501"/>
      <c r="Y48" s="501"/>
      <c r="Z48" s="501"/>
      <c r="AA48" s="501"/>
      <c r="AB48" s="501"/>
      <c r="AC48" s="501"/>
      <c r="AD48" s="501"/>
      <c r="AE48" s="501"/>
      <c r="AF48" s="501"/>
      <c r="AG48" s="501"/>
      <c r="AH48" s="501"/>
      <c r="AI48" s="501"/>
      <c r="AJ48" s="501"/>
      <c r="AK48" s="501"/>
      <c r="AL48" s="501"/>
      <c r="AM48" s="487"/>
      <c r="AN48" s="489">
        <f t="shared" si="0"/>
        <v>0</v>
      </c>
      <c r="AO48" s="487"/>
      <c r="AP48" s="487"/>
      <c r="AQ48" s="487"/>
      <c r="AR48" s="487"/>
      <c r="AS48" s="487"/>
      <c r="AT48" s="487"/>
      <c r="AU48" s="487"/>
      <c r="AV48" s="487"/>
    </row>
    <row r="49" spans="1:87" ht="13.5" hidden="1" thickBot="1">
      <c r="B49" s="185"/>
      <c r="C49" s="196"/>
      <c r="D49" s="191"/>
      <c r="E49" s="256"/>
      <c r="F49" s="498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  <c r="AD49" s="504"/>
      <c r="AE49" s="504"/>
      <c r="AF49" s="504"/>
      <c r="AG49" s="504"/>
      <c r="AH49" s="504"/>
      <c r="AI49" s="504"/>
      <c r="AJ49" s="504"/>
      <c r="AK49" s="504"/>
      <c r="AL49" s="504"/>
      <c r="AM49" s="487"/>
      <c r="AN49" s="489">
        <f t="shared" si="0"/>
        <v>0</v>
      </c>
      <c r="AO49" s="487"/>
      <c r="AP49" s="487"/>
      <c r="AQ49" s="487"/>
      <c r="AR49" s="487"/>
      <c r="AS49" s="487"/>
      <c r="AT49" s="487"/>
      <c r="AU49" s="487"/>
      <c r="AV49" s="487"/>
    </row>
    <row r="50" spans="1:87" ht="13.5" hidden="1" thickBot="1">
      <c r="B50" s="192"/>
      <c r="C50" s="197"/>
      <c r="D50" s="188"/>
      <c r="E50" s="272"/>
      <c r="F50" s="495"/>
      <c r="G50" s="499"/>
      <c r="H50" s="499"/>
      <c r="I50" s="499"/>
      <c r="J50" s="499"/>
      <c r="K50" s="499"/>
      <c r="L50" s="499"/>
      <c r="M50" s="499"/>
      <c r="N50" s="499"/>
      <c r="O50" s="499"/>
      <c r="P50" s="499"/>
      <c r="Q50" s="499"/>
      <c r="R50" s="499"/>
      <c r="S50" s="499"/>
      <c r="T50" s="499"/>
      <c r="U50" s="499"/>
      <c r="V50" s="499"/>
      <c r="W50" s="499"/>
      <c r="X50" s="499"/>
      <c r="Y50" s="499"/>
      <c r="Z50" s="499"/>
      <c r="AA50" s="499"/>
      <c r="AB50" s="499"/>
      <c r="AC50" s="499"/>
      <c r="AD50" s="499"/>
      <c r="AE50" s="499"/>
      <c r="AF50" s="499"/>
      <c r="AG50" s="499"/>
      <c r="AH50" s="499"/>
      <c r="AI50" s="499"/>
      <c r="AJ50" s="499"/>
      <c r="AK50" s="499"/>
      <c r="AL50" s="499"/>
      <c r="AM50" s="487"/>
      <c r="AN50" s="489">
        <f t="shared" si="0"/>
        <v>0</v>
      </c>
      <c r="AO50" s="487"/>
      <c r="AP50" s="487"/>
      <c r="AQ50" s="487"/>
      <c r="AR50" s="487"/>
      <c r="AS50" s="487"/>
      <c r="AT50" s="487"/>
      <c r="AU50" s="487"/>
      <c r="AV50" s="487"/>
    </row>
    <row r="51" spans="1:87" ht="13.5" hidden="1" thickBot="1">
      <c r="E51" s="275"/>
      <c r="F51" s="486"/>
      <c r="G51" s="511"/>
      <c r="H51" s="511"/>
      <c r="I51" s="511"/>
      <c r="J51" s="511"/>
      <c r="K51" s="511"/>
      <c r="L51" s="511"/>
      <c r="M51" s="511"/>
      <c r="N51" s="511"/>
      <c r="O51" s="511"/>
      <c r="P51" s="511"/>
      <c r="Q51" s="511"/>
      <c r="R51" s="511"/>
      <c r="S51" s="511"/>
      <c r="T51" s="511"/>
      <c r="U51" s="511"/>
      <c r="V51" s="511"/>
      <c r="W51" s="511"/>
      <c r="X51" s="511"/>
      <c r="Y51" s="511"/>
      <c r="Z51" s="511"/>
      <c r="AA51" s="511"/>
      <c r="AB51" s="511"/>
      <c r="AC51" s="511"/>
      <c r="AD51" s="511"/>
      <c r="AE51" s="511"/>
      <c r="AF51" s="511"/>
      <c r="AG51" s="511"/>
      <c r="AH51" s="511"/>
      <c r="AI51" s="511"/>
      <c r="AJ51" s="511"/>
      <c r="AK51" s="511"/>
      <c r="AL51" s="511"/>
      <c r="AM51" s="487"/>
      <c r="AN51" s="489">
        <f t="shared" si="0"/>
        <v>0</v>
      </c>
      <c r="AO51" s="487"/>
      <c r="AP51" s="487"/>
      <c r="AQ51" s="487"/>
      <c r="AR51" s="487"/>
      <c r="AS51" s="487"/>
      <c r="AT51" s="487"/>
      <c r="AU51" s="487"/>
      <c r="AV51" s="487"/>
    </row>
    <row r="52" spans="1:87" ht="13.5" hidden="1" thickBot="1">
      <c r="A52" s="885"/>
      <c r="B52" s="786" t="s">
        <v>162</v>
      </c>
      <c r="C52" s="804" t="s">
        <v>163</v>
      </c>
      <c r="D52" s="461"/>
      <c r="E52" s="462"/>
      <c r="F52" s="803"/>
      <c r="G52" s="524">
        <f>SUM(G53:G56)</f>
        <v>0</v>
      </c>
      <c r="H52" s="524">
        <f t="shared" ref="H52:AL52" si="3">SUM(H53:H56)</f>
        <v>0</v>
      </c>
      <c r="I52" s="524">
        <f t="shared" si="3"/>
        <v>0</v>
      </c>
      <c r="J52" s="524">
        <f t="shared" si="3"/>
        <v>0</v>
      </c>
      <c r="K52" s="524">
        <f t="shared" si="3"/>
        <v>0</v>
      </c>
      <c r="L52" s="524">
        <f t="shared" si="3"/>
        <v>0</v>
      </c>
      <c r="M52" s="524">
        <f t="shared" si="3"/>
        <v>0</v>
      </c>
      <c r="N52" s="524">
        <f t="shared" si="3"/>
        <v>0</v>
      </c>
      <c r="O52" s="524">
        <f t="shared" si="3"/>
        <v>0</v>
      </c>
      <c r="P52" s="524">
        <f t="shared" si="3"/>
        <v>0</v>
      </c>
      <c r="Q52" s="524">
        <f t="shared" si="3"/>
        <v>0</v>
      </c>
      <c r="R52" s="524">
        <f t="shared" si="3"/>
        <v>0</v>
      </c>
      <c r="S52" s="524">
        <f t="shared" si="3"/>
        <v>0</v>
      </c>
      <c r="T52" s="524">
        <f t="shared" si="3"/>
        <v>0</v>
      </c>
      <c r="U52" s="524">
        <f t="shared" si="3"/>
        <v>0</v>
      </c>
      <c r="V52" s="524">
        <f t="shared" si="3"/>
        <v>0</v>
      </c>
      <c r="W52" s="524">
        <f t="shared" si="3"/>
        <v>0</v>
      </c>
      <c r="X52" s="524">
        <f t="shared" si="3"/>
        <v>0</v>
      </c>
      <c r="Y52" s="524">
        <f t="shared" si="3"/>
        <v>0</v>
      </c>
      <c r="Z52" s="524">
        <f t="shared" si="3"/>
        <v>0</v>
      </c>
      <c r="AA52" s="524">
        <f t="shared" si="3"/>
        <v>0</v>
      </c>
      <c r="AB52" s="524">
        <f t="shared" si="3"/>
        <v>0</v>
      </c>
      <c r="AC52" s="524">
        <f t="shared" si="3"/>
        <v>0</v>
      </c>
      <c r="AD52" s="524">
        <f t="shared" si="3"/>
        <v>0</v>
      </c>
      <c r="AE52" s="524">
        <f t="shared" si="3"/>
        <v>0</v>
      </c>
      <c r="AF52" s="524">
        <f t="shared" si="3"/>
        <v>0</v>
      </c>
      <c r="AG52" s="524">
        <f t="shared" si="3"/>
        <v>0</v>
      </c>
      <c r="AH52" s="524">
        <f t="shared" si="3"/>
        <v>0</v>
      </c>
      <c r="AI52" s="524">
        <f t="shared" si="3"/>
        <v>0</v>
      </c>
      <c r="AJ52" s="524">
        <f t="shared" si="3"/>
        <v>0</v>
      </c>
      <c r="AK52" s="524">
        <f t="shared" si="3"/>
        <v>0</v>
      </c>
      <c r="AL52" s="524">
        <f t="shared" si="3"/>
        <v>0</v>
      </c>
      <c r="AM52" s="488"/>
      <c r="AN52" s="489">
        <f t="shared" si="0"/>
        <v>0</v>
      </c>
      <c r="AO52" s="488"/>
      <c r="AP52" s="488"/>
      <c r="AQ52" s="488"/>
      <c r="AR52" s="488"/>
      <c r="AS52" s="488"/>
      <c r="AT52" s="488"/>
      <c r="AU52" s="488"/>
      <c r="AV52" s="488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</row>
    <row r="53" spans="1:87" ht="13.5" hidden="1" thickBot="1">
      <c r="B53" s="185"/>
      <c r="C53" s="189"/>
      <c r="D53" s="190"/>
      <c r="E53" s="255"/>
      <c r="F53" s="497"/>
      <c r="G53" s="501"/>
      <c r="H53" s="501"/>
      <c r="I53" s="501"/>
      <c r="J53" s="501"/>
      <c r="K53" s="501"/>
      <c r="L53" s="501"/>
      <c r="M53" s="501"/>
      <c r="N53" s="501"/>
      <c r="O53" s="501"/>
      <c r="P53" s="501"/>
      <c r="Q53" s="501"/>
      <c r="R53" s="501"/>
      <c r="S53" s="501"/>
      <c r="T53" s="501"/>
      <c r="U53" s="501"/>
      <c r="V53" s="501"/>
      <c r="W53" s="501"/>
      <c r="X53" s="501"/>
      <c r="Y53" s="501"/>
      <c r="Z53" s="501"/>
      <c r="AA53" s="501"/>
      <c r="AB53" s="501"/>
      <c r="AC53" s="501"/>
      <c r="AD53" s="501"/>
      <c r="AE53" s="501"/>
      <c r="AF53" s="501"/>
      <c r="AG53" s="501"/>
      <c r="AH53" s="501"/>
      <c r="AI53" s="501"/>
      <c r="AJ53" s="501"/>
      <c r="AK53" s="501"/>
      <c r="AL53" s="501"/>
      <c r="AM53" s="487"/>
      <c r="AN53" s="489">
        <f t="shared" si="0"/>
        <v>0</v>
      </c>
      <c r="AO53" s="487"/>
      <c r="AP53" s="487"/>
      <c r="AQ53" s="487"/>
      <c r="AR53" s="487"/>
      <c r="AS53" s="487"/>
      <c r="AT53" s="487"/>
      <c r="AU53" s="487"/>
      <c r="AV53" s="487"/>
    </row>
    <row r="54" spans="1:87" ht="13.5" hidden="1" thickBot="1">
      <c r="B54" s="185"/>
      <c r="C54" s="189"/>
      <c r="D54" s="191"/>
      <c r="E54" s="256"/>
      <c r="F54" s="498"/>
      <c r="G54" s="526"/>
      <c r="H54" s="526"/>
      <c r="I54" s="526"/>
      <c r="J54" s="526"/>
      <c r="K54" s="526"/>
      <c r="L54" s="526"/>
      <c r="M54" s="526"/>
      <c r="N54" s="526"/>
      <c r="O54" s="526"/>
      <c r="P54" s="526"/>
      <c r="Q54" s="526"/>
      <c r="R54" s="526"/>
      <c r="S54" s="526"/>
      <c r="T54" s="526"/>
      <c r="U54" s="526"/>
      <c r="V54" s="526"/>
      <c r="W54" s="526"/>
      <c r="X54" s="526"/>
      <c r="Y54" s="526"/>
      <c r="Z54" s="526"/>
      <c r="AA54" s="526"/>
      <c r="AB54" s="526"/>
      <c r="AC54" s="526"/>
      <c r="AD54" s="526"/>
      <c r="AE54" s="526"/>
      <c r="AF54" s="526"/>
      <c r="AG54" s="526"/>
      <c r="AH54" s="526"/>
      <c r="AI54" s="526"/>
      <c r="AJ54" s="526"/>
      <c r="AK54" s="526"/>
      <c r="AL54" s="526"/>
      <c r="AM54" s="487"/>
      <c r="AN54" s="489">
        <f t="shared" si="0"/>
        <v>0</v>
      </c>
      <c r="AO54" s="487"/>
      <c r="AP54" s="487"/>
      <c r="AQ54" s="487"/>
      <c r="AR54" s="487"/>
      <c r="AS54" s="487"/>
      <c r="AT54" s="487"/>
      <c r="AU54" s="487"/>
      <c r="AV54" s="487"/>
    </row>
    <row r="55" spans="1:87" ht="13.5" hidden="1" thickBot="1">
      <c r="B55" s="185"/>
      <c r="C55" s="189"/>
      <c r="D55" s="191"/>
      <c r="E55" s="256"/>
      <c r="F55" s="498"/>
      <c r="G55" s="526"/>
      <c r="H55" s="526"/>
      <c r="I55" s="526"/>
      <c r="J55" s="526"/>
      <c r="K55" s="526"/>
      <c r="L55" s="526"/>
      <c r="M55" s="526"/>
      <c r="N55" s="526"/>
      <c r="O55" s="526"/>
      <c r="P55" s="526"/>
      <c r="Q55" s="526"/>
      <c r="R55" s="526"/>
      <c r="S55" s="526"/>
      <c r="T55" s="526"/>
      <c r="U55" s="526"/>
      <c r="V55" s="526"/>
      <c r="W55" s="526"/>
      <c r="X55" s="526"/>
      <c r="Y55" s="526"/>
      <c r="Z55" s="526"/>
      <c r="AA55" s="526"/>
      <c r="AB55" s="526"/>
      <c r="AC55" s="526"/>
      <c r="AD55" s="526"/>
      <c r="AE55" s="526"/>
      <c r="AF55" s="526"/>
      <c r="AG55" s="526"/>
      <c r="AH55" s="526"/>
      <c r="AI55" s="526"/>
      <c r="AJ55" s="526"/>
      <c r="AK55" s="526"/>
      <c r="AL55" s="526"/>
      <c r="AM55" s="487"/>
      <c r="AN55" s="489">
        <f t="shared" si="0"/>
        <v>0</v>
      </c>
      <c r="AO55" s="487"/>
      <c r="AP55" s="487"/>
      <c r="AQ55" s="487"/>
      <c r="AR55" s="487"/>
      <c r="AS55" s="487"/>
      <c r="AT55" s="487"/>
      <c r="AU55" s="487"/>
      <c r="AV55" s="487"/>
    </row>
    <row r="56" spans="1:87" ht="13.5" hidden="1" thickBot="1">
      <c r="B56" s="192"/>
      <c r="C56" s="187"/>
      <c r="D56" s="188"/>
      <c r="E56" s="254"/>
      <c r="F56" s="495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487"/>
      <c r="AN56" s="489">
        <f t="shared" si="0"/>
        <v>0</v>
      </c>
      <c r="AO56" s="487"/>
      <c r="AP56" s="487"/>
      <c r="AQ56" s="487"/>
      <c r="AR56" s="487"/>
      <c r="AS56" s="487"/>
      <c r="AT56" s="487"/>
      <c r="AU56" s="487"/>
      <c r="AV56" s="487"/>
    </row>
    <row r="57" spans="1:87" ht="13.5" hidden="1" thickBot="1">
      <c r="E57" s="275"/>
      <c r="F57" s="486"/>
      <c r="G57" s="511"/>
      <c r="H57" s="511"/>
      <c r="I57" s="511"/>
      <c r="J57" s="511"/>
      <c r="K57" s="511"/>
      <c r="L57" s="511"/>
      <c r="M57" s="511"/>
      <c r="N57" s="511"/>
      <c r="O57" s="511"/>
      <c r="P57" s="511"/>
      <c r="Q57" s="511"/>
      <c r="R57" s="511"/>
      <c r="S57" s="511"/>
      <c r="T57" s="511"/>
      <c r="U57" s="511"/>
      <c r="V57" s="511"/>
      <c r="W57" s="511"/>
      <c r="X57" s="511"/>
      <c r="Y57" s="511"/>
      <c r="Z57" s="511"/>
      <c r="AA57" s="511"/>
      <c r="AB57" s="511"/>
      <c r="AC57" s="511"/>
      <c r="AD57" s="511"/>
      <c r="AE57" s="511"/>
      <c r="AF57" s="511"/>
      <c r="AG57" s="511"/>
      <c r="AH57" s="511"/>
      <c r="AI57" s="511"/>
      <c r="AJ57" s="511"/>
      <c r="AK57" s="511"/>
      <c r="AL57" s="511"/>
      <c r="AM57" s="487"/>
      <c r="AN57" s="489">
        <f t="shared" si="0"/>
        <v>0</v>
      </c>
      <c r="AO57" s="487"/>
      <c r="AP57" s="487"/>
      <c r="AQ57" s="487"/>
      <c r="AR57" s="487"/>
      <c r="AS57" s="487"/>
      <c r="AT57" s="487"/>
      <c r="AU57" s="487"/>
      <c r="AV57" s="487"/>
    </row>
    <row r="58" spans="1:87" ht="13.5" hidden="1" thickBot="1">
      <c r="B58" s="202" t="s">
        <v>164</v>
      </c>
      <c r="C58" s="194" t="s">
        <v>165</v>
      </c>
      <c r="D58" s="180"/>
      <c r="E58" s="267"/>
      <c r="F58" s="500"/>
      <c r="G58" s="527">
        <f>SUM(G59:G65)</f>
        <v>0</v>
      </c>
      <c r="H58" s="527">
        <f t="shared" ref="H58:AL58" si="4">SUM(H59:H65)</f>
        <v>0</v>
      </c>
      <c r="I58" s="527">
        <f t="shared" si="4"/>
        <v>0</v>
      </c>
      <c r="J58" s="527">
        <f t="shared" si="4"/>
        <v>0</v>
      </c>
      <c r="K58" s="527">
        <f t="shared" si="4"/>
        <v>0</v>
      </c>
      <c r="L58" s="527">
        <f t="shared" si="4"/>
        <v>0</v>
      </c>
      <c r="M58" s="527">
        <f t="shared" si="4"/>
        <v>0</v>
      </c>
      <c r="N58" s="527">
        <f t="shared" si="4"/>
        <v>0</v>
      </c>
      <c r="O58" s="527">
        <f t="shared" si="4"/>
        <v>0</v>
      </c>
      <c r="P58" s="527">
        <f t="shared" si="4"/>
        <v>0</v>
      </c>
      <c r="Q58" s="527">
        <f t="shared" si="4"/>
        <v>0</v>
      </c>
      <c r="R58" s="527">
        <f t="shared" si="4"/>
        <v>0</v>
      </c>
      <c r="S58" s="527">
        <f t="shared" si="4"/>
        <v>0</v>
      </c>
      <c r="T58" s="527">
        <f t="shared" si="4"/>
        <v>0</v>
      </c>
      <c r="U58" s="527">
        <f t="shared" si="4"/>
        <v>0</v>
      </c>
      <c r="V58" s="527">
        <f t="shared" si="4"/>
        <v>0</v>
      </c>
      <c r="W58" s="527">
        <f t="shared" si="4"/>
        <v>0</v>
      </c>
      <c r="X58" s="527">
        <f t="shared" si="4"/>
        <v>0</v>
      </c>
      <c r="Y58" s="527">
        <f t="shared" si="4"/>
        <v>0</v>
      </c>
      <c r="Z58" s="527">
        <f t="shared" si="4"/>
        <v>0</v>
      </c>
      <c r="AA58" s="527">
        <f t="shared" si="4"/>
        <v>0</v>
      </c>
      <c r="AB58" s="527">
        <f t="shared" si="4"/>
        <v>0</v>
      </c>
      <c r="AC58" s="527">
        <f t="shared" si="4"/>
        <v>0</v>
      </c>
      <c r="AD58" s="527">
        <f t="shared" si="4"/>
        <v>0</v>
      </c>
      <c r="AE58" s="527">
        <f t="shared" si="4"/>
        <v>0</v>
      </c>
      <c r="AF58" s="527">
        <f t="shared" si="4"/>
        <v>0</v>
      </c>
      <c r="AG58" s="527">
        <f t="shared" si="4"/>
        <v>0</v>
      </c>
      <c r="AH58" s="527">
        <f t="shared" si="4"/>
        <v>0</v>
      </c>
      <c r="AI58" s="527">
        <f t="shared" si="4"/>
        <v>0</v>
      </c>
      <c r="AJ58" s="527">
        <f t="shared" si="4"/>
        <v>0</v>
      </c>
      <c r="AK58" s="527">
        <f t="shared" si="4"/>
        <v>0</v>
      </c>
      <c r="AL58" s="527">
        <f t="shared" si="4"/>
        <v>0</v>
      </c>
      <c r="AM58" s="487"/>
      <c r="AN58" s="489">
        <f t="shared" si="0"/>
        <v>0</v>
      </c>
      <c r="AO58" s="487"/>
      <c r="AP58" s="487"/>
      <c r="AQ58" s="487"/>
      <c r="AR58" s="487"/>
      <c r="AS58" s="487"/>
      <c r="AT58" s="487"/>
      <c r="AU58" s="487"/>
      <c r="AV58" s="487"/>
    </row>
    <row r="59" spans="1:87" ht="14.25" hidden="1" thickTop="1" thickBot="1">
      <c r="B59" s="185"/>
      <c r="C59" s="196"/>
      <c r="D59" s="190"/>
      <c r="E59" s="255"/>
      <c r="F59" s="497"/>
      <c r="G59" s="528"/>
      <c r="H59" s="528"/>
      <c r="I59" s="528"/>
      <c r="J59" s="528"/>
      <c r="K59" s="528"/>
      <c r="L59" s="528"/>
      <c r="M59" s="528"/>
      <c r="N59" s="528"/>
      <c r="O59" s="528"/>
      <c r="P59" s="528"/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488"/>
      <c r="AN59" s="489">
        <f t="shared" si="0"/>
        <v>0</v>
      </c>
      <c r="AO59" s="488"/>
      <c r="AP59" s="488"/>
      <c r="AQ59" s="488"/>
      <c r="AR59" s="488"/>
      <c r="AS59" s="488"/>
      <c r="AT59" s="488"/>
      <c r="AU59" s="488"/>
      <c r="AV59" s="488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</row>
    <row r="60" spans="1:87" ht="13.5" hidden="1" thickBot="1">
      <c r="B60" s="185"/>
      <c r="C60" s="196"/>
      <c r="D60" s="190"/>
      <c r="E60" s="255"/>
      <c r="F60" s="497"/>
      <c r="G60" s="501"/>
      <c r="H60" s="501"/>
      <c r="I60" s="501"/>
      <c r="J60" s="501"/>
      <c r="K60" s="501"/>
      <c r="L60" s="501"/>
      <c r="M60" s="501"/>
      <c r="N60" s="501"/>
      <c r="O60" s="501"/>
      <c r="P60" s="501"/>
      <c r="Q60" s="501"/>
      <c r="R60" s="501"/>
      <c r="S60" s="501"/>
      <c r="T60" s="501"/>
      <c r="U60" s="501"/>
      <c r="V60" s="501"/>
      <c r="W60" s="501"/>
      <c r="X60" s="501"/>
      <c r="Y60" s="501"/>
      <c r="Z60" s="501"/>
      <c r="AA60" s="501"/>
      <c r="AB60" s="501"/>
      <c r="AC60" s="501"/>
      <c r="AD60" s="501"/>
      <c r="AE60" s="501"/>
      <c r="AF60" s="501"/>
      <c r="AG60" s="501"/>
      <c r="AH60" s="501"/>
      <c r="AI60" s="501"/>
      <c r="AJ60" s="501"/>
      <c r="AK60" s="501"/>
      <c r="AL60" s="501"/>
      <c r="AM60" s="488"/>
      <c r="AN60" s="489">
        <f t="shared" si="0"/>
        <v>0</v>
      </c>
      <c r="AO60" s="488"/>
      <c r="AP60" s="488"/>
      <c r="AQ60" s="488"/>
      <c r="AR60" s="488"/>
      <c r="AS60" s="488"/>
      <c r="AT60" s="488"/>
      <c r="AU60" s="488"/>
      <c r="AV60" s="488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R60" s="173"/>
      <c r="BS60" s="173"/>
      <c r="BT60" s="173"/>
      <c r="BU60" s="173"/>
      <c r="BV60" s="173"/>
      <c r="BW60" s="173"/>
      <c r="BX60" s="173"/>
      <c r="BY60" s="173"/>
      <c r="BZ60" s="173"/>
      <c r="CA60" s="173"/>
      <c r="CB60" s="173"/>
      <c r="CC60" s="173"/>
      <c r="CD60" s="173"/>
      <c r="CE60" s="173"/>
      <c r="CF60" s="173"/>
      <c r="CG60" s="173"/>
      <c r="CH60" s="173"/>
      <c r="CI60" s="173"/>
    </row>
    <row r="61" spans="1:87" ht="13.5" hidden="1" thickBot="1">
      <c r="B61" s="185"/>
      <c r="C61" s="196"/>
      <c r="D61" s="190"/>
      <c r="E61" s="255"/>
      <c r="F61" s="497"/>
      <c r="G61" s="501"/>
      <c r="H61" s="501"/>
      <c r="I61" s="501"/>
      <c r="J61" s="501"/>
      <c r="K61" s="501"/>
      <c r="L61" s="501"/>
      <c r="M61" s="501"/>
      <c r="N61" s="501"/>
      <c r="O61" s="501"/>
      <c r="P61" s="501"/>
      <c r="Q61" s="501"/>
      <c r="R61" s="501"/>
      <c r="S61" s="501"/>
      <c r="T61" s="501"/>
      <c r="U61" s="501"/>
      <c r="V61" s="501"/>
      <c r="W61" s="501"/>
      <c r="X61" s="501"/>
      <c r="Y61" s="501"/>
      <c r="Z61" s="501"/>
      <c r="AA61" s="501"/>
      <c r="AB61" s="501"/>
      <c r="AC61" s="501"/>
      <c r="AD61" s="501"/>
      <c r="AE61" s="501"/>
      <c r="AF61" s="501"/>
      <c r="AG61" s="501"/>
      <c r="AH61" s="501"/>
      <c r="AI61" s="501"/>
      <c r="AJ61" s="501"/>
      <c r="AK61" s="501"/>
      <c r="AL61" s="501"/>
      <c r="AM61" s="488"/>
      <c r="AN61" s="489">
        <f t="shared" si="0"/>
        <v>0</v>
      </c>
      <c r="AO61" s="488"/>
      <c r="AP61" s="488"/>
      <c r="AQ61" s="488"/>
      <c r="AR61" s="488"/>
      <c r="AS61" s="488"/>
      <c r="AT61" s="488"/>
      <c r="AU61" s="488"/>
      <c r="AV61" s="488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</row>
    <row r="62" spans="1:87" ht="13.5" hidden="1" thickBot="1">
      <c r="B62" s="185"/>
      <c r="C62" s="196"/>
      <c r="D62" s="190"/>
      <c r="E62" s="255"/>
      <c r="F62" s="497"/>
      <c r="G62" s="501"/>
      <c r="H62" s="501"/>
      <c r="I62" s="501"/>
      <c r="J62" s="501"/>
      <c r="K62" s="501"/>
      <c r="L62" s="501"/>
      <c r="M62" s="501"/>
      <c r="N62" s="501"/>
      <c r="O62" s="501"/>
      <c r="P62" s="501"/>
      <c r="Q62" s="501"/>
      <c r="R62" s="501"/>
      <c r="S62" s="501"/>
      <c r="T62" s="501"/>
      <c r="U62" s="501"/>
      <c r="V62" s="501"/>
      <c r="W62" s="501"/>
      <c r="X62" s="501"/>
      <c r="Y62" s="501"/>
      <c r="Z62" s="501"/>
      <c r="AA62" s="501"/>
      <c r="AB62" s="501"/>
      <c r="AC62" s="501"/>
      <c r="AD62" s="501"/>
      <c r="AE62" s="501"/>
      <c r="AF62" s="501"/>
      <c r="AG62" s="501"/>
      <c r="AH62" s="501"/>
      <c r="AI62" s="501"/>
      <c r="AJ62" s="501"/>
      <c r="AK62" s="501"/>
      <c r="AL62" s="501"/>
      <c r="AM62" s="488"/>
      <c r="AN62" s="489">
        <f t="shared" si="0"/>
        <v>0</v>
      </c>
      <c r="AO62" s="488"/>
      <c r="AP62" s="488"/>
      <c r="AQ62" s="488"/>
      <c r="AR62" s="488"/>
      <c r="AS62" s="488"/>
      <c r="AT62" s="488"/>
      <c r="AU62" s="488"/>
      <c r="AV62" s="488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R62" s="173"/>
      <c r="BS62" s="173"/>
      <c r="BT62" s="173"/>
      <c r="BU62" s="173"/>
      <c r="BV62" s="173"/>
      <c r="BW62" s="173"/>
      <c r="BX62" s="173"/>
      <c r="BY62" s="173"/>
      <c r="BZ62" s="173"/>
      <c r="CA62" s="173"/>
      <c r="CB62" s="173"/>
      <c r="CC62" s="173"/>
      <c r="CD62" s="173"/>
      <c r="CE62" s="173"/>
      <c r="CF62" s="173"/>
      <c r="CG62" s="173"/>
      <c r="CH62" s="173"/>
      <c r="CI62" s="173"/>
    </row>
    <row r="63" spans="1:87" ht="13.5" hidden="1" thickBot="1">
      <c r="B63" s="185"/>
      <c r="C63" s="196"/>
      <c r="D63" s="190"/>
      <c r="E63" s="255"/>
      <c r="F63" s="497"/>
      <c r="G63" s="501"/>
      <c r="H63" s="501"/>
      <c r="I63" s="501"/>
      <c r="J63" s="501"/>
      <c r="K63" s="501"/>
      <c r="L63" s="501"/>
      <c r="M63" s="501"/>
      <c r="N63" s="501"/>
      <c r="O63" s="501"/>
      <c r="P63" s="501"/>
      <c r="Q63" s="501"/>
      <c r="R63" s="501"/>
      <c r="S63" s="501"/>
      <c r="T63" s="501"/>
      <c r="U63" s="501"/>
      <c r="V63" s="501"/>
      <c r="W63" s="501"/>
      <c r="X63" s="501"/>
      <c r="Y63" s="501"/>
      <c r="Z63" s="501"/>
      <c r="AA63" s="501"/>
      <c r="AB63" s="501"/>
      <c r="AC63" s="501"/>
      <c r="AD63" s="501"/>
      <c r="AE63" s="501"/>
      <c r="AF63" s="501"/>
      <c r="AG63" s="501"/>
      <c r="AH63" s="501"/>
      <c r="AI63" s="501"/>
      <c r="AJ63" s="501"/>
      <c r="AK63" s="501"/>
      <c r="AL63" s="501"/>
      <c r="AM63" s="488"/>
      <c r="AN63" s="489">
        <f t="shared" si="0"/>
        <v>0</v>
      </c>
      <c r="AO63" s="488"/>
      <c r="AP63" s="488"/>
      <c r="AQ63" s="488"/>
      <c r="AR63" s="488"/>
      <c r="AS63" s="488"/>
      <c r="AT63" s="488"/>
      <c r="AU63" s="488"/>
      <c r="AV63" s="488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</row>
    <row r="64" spans="1:87" ht="13.5" hidden="1" thickBot="1">
      <c r="B64" s="185"/>
      <c r="C64" s="196"/>
      <c r="D64" s="191"/>
      <c r="E64" s="256"/>
      <c r="F64" s="498"/>
      <c r="G64" s="526"/>
      <c r="H64" s="526"/>
      <c r="I64" s="526"/>
      <c r="J64" s="526"/>
      <c r="K64" s="526"/>
      <c r="L64" s="526"/>
      <c r="M64" s="526"/>
      <c r="N64" s="526"/>
      <c r="O64" s="526"/>
      <c r="P64" s="526"/>
      <c r="Q64" s="526"/>
      <c r="R64" s="526"/>
      <c r="S64" s="526"/>
      <c r="T64" s="526"/>
      <c r="U64" s="526"/>
      <c r="V64" s="526"/>
      <c r="W64" s="526"/>
      <c r="X64" s="526"/>
      <c r="Y64" s="526"/>
      <c r="Z64" s="526"/>
      <c r="AA64" s="526"/>
      <c r="AB64" s="526"/>
      <c r="AC64" s="526"/>
      <c r="AD64" s="526"/>
      <c r="AE64" s="526"/>
      <c r="AF64" s="526"/>
      <c r="AG64" s="526"/>
      <c r="AH64" s="526"/>
      <c r="AI64" s="526"/>
      <c r="AJ64" s="526"/>
      <c r="AK64" s="526"/>
      <c r="AL64" s="526"/>
      <c r="AM64" s="488"/>
      <c r="AN64" s="489">
        <f t="shared" si="0"/>
        <v>0</v>
      </c>
      <c r="AO64" s="488"/>
      <c r="AP64" s="488"/>
      <c r="AQ64" s="488"/>
      <c r="AR64" s="488"/>
      <c r="AS64" s="488"/>
      <c r="AT64" s="488"/>
      <c r="AU64" s="488"/>
      <c r="AV64" s="488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R64" s="173"/>
      <c r="BS64" s="173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</row>
    <row r="65" spans="2:87" ht="13.5" hidden="1" thickBot="1">
      <c r="B65" s="192"/>
      <c r="C65" s="197"/>
      <c r="D65" s="193"/>
      <c r="E65" s="257"/>
      <c r="F65" s="496"/>
      <c r="G65" s="503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  <c r="AA65" s="503"/>
      <c r="AB65" s="503"/>
      <c r="AC65" s="503"/>
      <c r="AD65" s="503"/>
      <c r="AE65" s="503"/>
      <c r="AF65" s="503"/>
      <c r="AG65" s="503"/>
      <c r="AH65" s="503"/>
      <c r="AI65" s="503"/>
      <c r="AJ65" s="503"/>
      <c r="AK65" s="503"/>
      <c r="AL65" s="503"/>
      <c r="AM65" s="488"/>
      <c r="AN65" s="489">
        <f t="shared" si="0"/>
        <v>0</v>
      </c>
      <c r="AO65" s="488"/>
      <c r="AP65" s="488"/>
      <c r="AQ65" s="488"/>
      <c r="AR65" s="488"/>
      <c r="AS65" s="488"/>
      <c r="AT65" s="488"/>
      <c r="AU65" s="488"/>
      <c r="AV65" s="488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</row>
    <row r="66" spans="2:87" ht="13.5" hidden="1" thickBot="1">
      <c r="F66" s="486"/>
      <c r="G66" s="511"/>
      <c r="H66" s="511"/>
      <c r="I66" s="511"/>
      <c r="J66" s="511"/>
      <c r="K66" s="511"/>
      <c r="L66" s="511"/>
      <c r="M66" s="511"/>
      <c r="N66" s="511"/>
      <c r="O66" s="511"/>
      <c r="P66" s="511"/>
      <c r="Q66" s="511"/>
      <c r="R66" s="511"/>
      <c r="S66" s="511"/>
      <c r="T66" s="511"/>
      <c r="U66" s="511"/>
      <c r="V66" s="511"/>
      <c r="W66" s="511"/>
      <c r="X66" s="511"/>
      <c r="Y66" s="511"/>
      <c r="Z66" s="511"/>
      <c r="AA66" s="511"/>
      <c r="AB66" s="511"/>
      <c r="AC66" s="511"/>
      <c r="AD66" s="511"/>
      <c r="AE66" s="511"/>
      <c r="AF66" s="511"/>
      <c r="AG66" s="511"/>
      <c r="AH66" s="511"/>
      <c r="AI66" s="511"/>
      <c r="AJ66" s="511"/>
      <c r="AK66" s="511"/>
      <c r="AL66" s="511"/>
      <c r="AM66" s="487"/>
      <c r="AN66" s="489">
        <f t="shared" si="0"/>
        <v>0</v>
      </c>
      <c r="AO66" s="487"/>
      <c r="AP66" s="487"/>
      <c r="AQ66" s="487"/>
      <c r="AR66" s="487"/>
      <c r="AS66" s="487"/>
      <c r="AT66" s="487"/>
      <c r="AU66" s="487"/>
      <c r="AV66" s="487"/>
    </row>
    <row r="67" spans="2:87" ht="13.5" thickBot="1">
      <c r="B67" s="178"/>
      <c r="C67" s="179" t="s">
        <v>166</v>
      </c>
      <c r="D67" s="180"/>
      <c r="E67" s="181"/>
      <c r="F67" s="500"/>
      <c r="G67" s="523">
        <f>'17 R1 INV COMP'!F95</f>
        <v>20517119.663628098</v>
      </c>
      <c r="H67" s="523" t="e">
        <f>'17 R1 INV COMP'!#REF!</f>
        <v>#REF!</v>
      </c>
      <c r="I67" s="523">
        <f>'17 R1 INV COMP'!G95</f>
        <v>563262.22957299976</v>
      </c>
      <c r="J67" s="523">
        <f>'17 R1 INV COMP'!H95</f>
        <v>345639.16425320646</v>
      </c>
      <c r="K67" s="523">
        <f>'17 R1 INV COMP'!I95</f>
        <v>302337.51106105704</v>
      </c>
      <c r="L67" s="523">
        <f>'17 R1 INV COMP'!J95</f>
        <v>1393737.2138793976</v>
      </c>
      <c r="M67" s="523">
        <f>'17 R1 INV COMP'!K95</f>
        <v>5209890.1252055867</v>
      </c>
      <c r="N67" s="523">
        <f>'17 R1 INV COMP'!L95</f>
        <v>727898.33131925284</v>
      </c>
      <c r="O67" s="523">
        <f>'17 R1 INV COMP'!M95</f>
        <v>1713105.5265664214</v>
      </c>
      <c r="P67" s="523">
        <f>'17 R1 INV COMP'!N95</f>
        <v>1191741.8254753242</v>
      </c>
      <c r="Q67" s="523">
        <f>'17 R1 INV COMP'!O95</f>
        <v>1924165.9188391753</v>
      </c>
      <c r="R67" s="523">
        <f>'17 R1 INV COMP'!P95</f>
        <v>999778.07055976056</v>
      </c>
      <c r="S67" s="523">
        <f>'17 R1 INV COMP'!Q95</f>
        <v>2653505.4796216656</v>
      </c>
      <c r="T67" s="523">
        <f>'17 R1 INV COMP'!R95</f>
        <v>2353010.2054911945</v>
      </c>
      <c r="U67" s="523">
        <f>'17 R1 INV COMP'!S95</f>
        <v>68386.753752136574</v>
      </c>
      <c r="V67" s="523">
        <f>'17 R1 INV COMP'!T95</f>
        <v>68386.753752136574</v>
      </c>
      <c r="W67" s="523">
        <f>'17 R1 INV COMP'!U95</f>
        <v>68386.753752136574</v>
      </c>
      <c r="X67" s="523">
        <f>'17 R1 INV COMP'!V95</f>
        <v>63098.753752136574</v>
      </c>
      <c r="Y67" s="523">
        <f>'17 R1 INV COMP'!W95</f>
        <v>63098.753752136574</v>
      </c>
      <c r="Z67" s="523">
        <f>'17 R1 INV COMP'!X95</f>
        <v>63098.753752136574</v>
      </c>
      <c r="AA67" s="523">
        <f>'17 R1 INV COMP'!Y95</f>
        <v>63098.753752136574</v>
      </c>
      <c r="AB67" s="523">
        <f>'17 R1 INV COMP'!Z95</f>
        <v>63098.753752136574</v>
      </c>
      <c r="AC67" s="523">
        <f>'17 R1 INV COMP'!AA95</f>
        <v>68793.753752136574</v>
      </c>
      <c r="AD67" s="523">
        <f>'17 R1 INV COMP'!AB95</f>
        <v>59438.753752136574</v>
      </c>
      <c r="AE67" s="523">
        <f>'17 R1 INV COMP'!AC95</f>
        <v>59438.753752136574</v>
      </c>
      <c r="AF67" s="523">
        <f>'17 R1 INV COMP'!AD95</f>
        <v>59438.753752136574</v>
      </c>
      <c r="AG67" s="523">
        <f>'17 R1 INV COMP'!AE95</f>
        <v>59438.753752136574</v>
      </c>
      <c r="AH67" s="523">
        <f>'17 R1 INV COMP'!AF95</f>
        <v>68793.753752136574</v>
      </c>
      <c r="AI67" s="523">
        <f>'17 R1 INV COMP'!AG95</f>
        <v>60252.753752136574</v>
      </c>
      <c r="AJ67" s="523">
        <f>'17 R1 INV COMP'!AH95</f>
        <v>61066.753752136574</v>
      </c>
      <c r="AK67" s="523">
        <f>'17 R1 INV COMP'!AI95</f>
        <v>62284.753752136574</v>
      </c>
      <c r="AL67" s="523">
        <f>'17 R1 INV COMP'!AJ95</f>
        <v>59447.247996732927</v>
      </c>
      <c r="AM67" s="487"/>
      <c r="AN67" s="489">
        <f t="shared" si="0"/>
        <v>-3.3527612686157227E-8</v>
      </c>
      <c r="AO67" s="487"/>
      <c r="AP67" s="487"/>
      <c r="AQ67" s="487"/>
      <c r="AR67" s="487"/>
      <c r="AS67" s="487"/>
      <c r="AT67" s="487"/>
      <c r="AU67" s="487"/>
      <c r="AV67" s="487"/>
    </row>
    <row r="68" spans="2:87">
      <c r="AM68" s="487"/>
      <c r="AN68" s="489">
        <f t="shared" si="0"/>
        <v>0</v>
      </c>
      <c r="AO68" s="487"/>
      <c r="AP68" s="487"/>
      <c r="AQ68" s="487"/>
      <c r="AR68" s="487"/>
      <c r="AS68" s="487"/>
      <c r="AT68" s="487"/>
      <c r="AU68" s="487"/>
      <c r="AV68" s="487"/>
    </row>
    <row r="69" spans="2:87" ht="13.5" thickBot="1">
      <c r="I69" s="574" t="s">
        <v>361</v>
      </c>
      <c r="J69" s="574" t="s">
        <v>362</v>
      </c>
      <c r="K69" s="574" t="s">
        <v>363</v>
      </c>
      <c r="L69" s="574" t="s">
        <v>364</v>
      </c>
      <c r="M69" s="574" t="s">
        <v>365</v>
      </c>
      <c r="N69" s="574" t="s">
        <v>366</v>
      </c>
      <c r="O69" s="574" t="s">
        <v>367</v>
      </c>
      <c r="P69" s="574" t="s">
        <v>368</v>
      </c>
      <c r="Q69" s="574" t="s">
        <v>369</v>
      </c>
      <c r="R69" s="574" t="s">
        <v>370</v>
      </c>
      <c r="S69" s="574" t="s">
        <v>371</v>
      </c>
      <c r="T69" s="574" t="s">
        <v>372</v>
      </c>
      <c r="U69" s="574" t="s">
        <v>373</v>
      </c>
      <c r="V69" s="574" t="s">
        <v>374</v>
      </c>
      <c r="W69" s="574" t="s">
        <v>375</v>
      </c>
      <c r="X69" s="574" t="s">
        <v>376</v>
      </c>
      <c r="Y69" s="574" t="s">
        <v>377</v>
      </c>
      <c r="Z69" s="574" t="s">
        <v>378</v>
      </c>
      <c r="AA69" s="574" t="s">
        <v>379</v>
      </c>
      <c r="AB69" s="574" t="s">
        <v>380</v>
      </c>
      <c r="AC69" s="574" t="s">
        <v>381</v>
      </c>
      <c r="AD69" s="574" t="s">
        <v>382</v>
      </c>
      <c r="AE69" s="574" t="s">
        <v>383</v>
      </c>
      <c r="AF69" s="574" t="s">
        <v>384</v>
      </c>
      <c r="AG69" s="574" t="s">
        <v>385</v>
      </c>
      <c r="AH69" s="574" t="s">
        <v>386</v>
      </c>
      <c r="AI69" s="574" t="s">
        <v>387</v>
      </c>
      <c r="AJ69" s="574" t="s">
        <v>388</v>
      </c>
      <c r="AK69" s="574" t="s">
        <v>389</v>
      </c>
      <c r="AL69" s="574" t="s">
        <v>390</v>
      </c>
      <c r="AM69" s="487"/>
      <c r="AN69" s="489">
        <f t="shared" ref="AN69:AN74" si="5">SUM(I69:AM69)-G69</f>
        <v>0</v>
      </c>
      <c r="AO69" s="487"/>
      <c r="AP69" s="487"/>
      <c r="AQ69" s="487"/>
      <c r="AR69" s="487"/>
      <c r="AS69" s="487"/>
      <c r="AT69" s="487"/>
      <c r="AU69" s="487"/>
      <c r="AV69" s="487"/>
    </row>
    <row r="70" spans="2:87" ht="13.5" thickBot="1">
      <c r="D70" s="877"/>
      <c r="F70" s="786" t="s">
        <v>87</v>
      </c>
      <c r="G70" s="873">
        <f>G5+G18+G28+G42</f>
        <v>3165202.4287026972</v>
      </c>
      <c r="H70" s="874" t="e">
        <f t="shared" ref="H70:AL70" si="6">H5+H18+H28+H42</f>
        <v>#REF!</v>
      </c>
      <c r="I70" s="875">
        <f t="shared" si="6"/>
        <v>408428.3754822117</v>
      </c>
      <c r="J70" s="875">
        <f t="shared" si="6"/>
        <v>329783.01199834509</v>
      </c>
      <c r="K70" s="875">
        <f t="shared" si="6"/>
        <v>226602.31678867349</v>
      </c>
      <c r="L70" s="875">
        <f t="shared" si="6"/>
        <v>1359859.3479073208</v>
      </c>
      <c r="M70" s="875">
        <f t="shared" si="6"/>
        <v>423362.0777800596</v>
      </c>
      <c r="N70" s="875">
        <f t="shared" si="6"/>
        <v>99278.617780059591</v>
      </c>
      <c r="O70" s="875">
        <f t="shared" si="6"/>
        <v>14581.887780059598</v>
      </c>
      <c r="P70" s="875">
        <f t="shared" si="6"/>
        <v>14581.887780059598</v>
      </c>
      <c r="Q70" s="875">
        <f t="shared" si="6"/>
        <v>14581.887780059598</v>
      </c>
      <c r="R70" s="875">
        <f t="shared" si="6"/>
        <v>15189.887780059598</v>
      </c>
      <c r="S70" s="875">
        <f t="shared" si="6"/>
        <v>14785.887780059598</v>
      </c>
      <c r="T70" s="875">
        <f t="shared" si="6"/>
        <v>14275.887780059598</v>
      </c>
      <c r="U70" s="875">
        <f t="shared" si="6"/>
        <v>14275.887780059598</v>
      </c>
      <c r="V70" s="875">
        <f t="shared" si="6"/>
        <v>14275.887780059598</v>
      </c>
      <c r="W70" s="875">
        <f t="shared" si="6"/>
        <v>14275.887780059598</v>
      </c>
      <c r="X70" s="875">
        <f t="shared" si="6"/>
        <v>12851.887780059598</v>
      </c>
      <c r="Y70" s="875">
        <f t="shared" si="6"/>
        <v>12851.887780059598</v>
      </c>
      <c r="Z70" s="875">
        <f t="shared" si="6"/>
        <v>12851.887780059598</v>
      </c>
      <c r="AA70" s="875">
        <f t="shared" si="6"/>
        <v>12851.887780059598</v>
      </c>
      <c r="AB70" s="875">
        <f t="shared" si="6"/>
        <v>12851.887780059598</v>
      </c>
      <c r="AC70" s="875">
        <f t="shared" si="6"/>
        <v>14377.887780059598</v>
      </c>
      <c r="AD70" s="875">
        <f t="shared" si="6"/>
        <v>11835.887780059598</v>
      </c>
      <c r="AE70" s="875">
        <f t="shared" si="6"/>
        <v>11835.887780059598</v>
      </c>
      <c r="AF70" s="875">
        <f t="shared" si="6"/>
        <v>11835.887780059598</v>
      </c>
      <c r="AG70" s="875">
        <f t="shared" si="6"/>
        <v>11835.887780059598</v>
      </c>
      <c r="AH70" s="875">
        <f t="shared" si="6"/>
        <v>14377.887780059598</v>
      </c>
      <c r="AI70" s="875">
        <f t="shared" si="6"/>
        <v>12039.887780059598</v>
      </c>
      <c r="AJ70" s="875">
        <f t="shared" si="6"/>
        <v>12243.887780059598</v>
      </c>
      <c r="AK70" s="875">
        <f t="shared" si="6"/>
        <v>12647.887780059598</v>
      </c>
      <c r="AL70" s="875">
        <f t="shared" si="6"/>
        <v>9773.2620246559418</v>
      </c>
      <c r="AM70" s="487"/>
      <c r="AN70" s="489">
        <f t="shared" si="5"/>
        <v>0</v>
      </c>
      <c r="AO70" s="487"/>
      <c r="AP70" s="487"/>
      <c r="AQ70" s="487"/>
      <c r="AR70" s="487"/>
      <c r="AS70" s="487"/>
      <c r="AT70" s="487"/>
      <c r="AU70" s="487"/>
      <c r="AV70" s="487"/>
    </row>
    <row r="71" spans="2:87" ht="13.5" thickBot="1">
      <c r="D71" s="877"/>
      <c r="F71" s="786" t="s">
        <v>88</v>
      </c>
      <c r="G71" s="873">
        <f>G15+G33</f>
        <v>16260693.53017902</v>
      </c>
      <c r="H71" s="874" t="e">
        <f t="shared" ref="H71:AL71" si="7">H15+H33</f>
        <v>#REF!</v>
      </c>
      <c r="I71" s="875">
        <f t="shared" si="7"/>
        <v>37879.125589369905</v>
      </c>
      <c r="J71" s="875">
        <f t="shared" si="7"/>
        <v>571.94869673148537</v>
      </c>
      <c r="K71" s="875">
        <f t="shared" si="7"/>
        <v>9420.8028316306008</v>
      </c>
      <c r="L71" s="875">
        <f t="shared" si="7"/>
        <v>816</v>
      </c>
      <c r="M71" s="875">
        <f t="shared" si="7"/>
        <v>4753466.1814534497</v>
      </c>
      <c r="N71" s="875">
        <f t="shared" si="7"/>
        <v>595557.84756711626</v>
      </c>
      <c r="O71" s="875">
        <f t="shared" si="7"/>
        <v>1665461.7728142848</v>
      </c>
      <c r="P71" s="875">
        <f t="shared" si="7"/>
        <v>1144098.0717231876</v>
      </c>
      <c r="Q71" s="875">
        <f t="shared" si="7"/>
        <v>1876522.1650870387</v>
      </c>
      <c r="R71" s="875">
        <f t="shared" si="7"/>
        <v>951526.31680762395</v>
      </c>
      <c r="S71" s="875">
        <f t="shared" si="7"/>
        <v>2605657.7258695289</v>
      </c>
      <c r="T71" s="875">
        <f t="shared" si="7"/>
        <v>2305672.4517390579</v>
      </c>
      <c r="U71" s="875">
        <f t="shared" si="7"/>
        <v>21049</v>
      </c>
      <c r="V71" s="875">
        <f t="shared" si="7"/>
        <v>21049</v>
      </c>
      <c r="W71" s="875">
        <f t="shared" si="7"/>
        <v>21049</v>
      </c>
      <c r="X71" s="875">
        <f t="shared" si="7"/>
        <v>17185</v>
      </c>
      <c r="Y71" s="875">
        <f t="shared" si="7"/>
        <v>17185</v>
      </c>
      <c r="Z71" s="875">
        <f t="shared" si="7"/>
        <v>17185</v>
      </c>
      <c r="AA71" s="875">
        <f t="shared" si="7"/>
        <v>17185</v>
      </c>
      <c r="AB71" s="875">
        <f t="shared" si="7"/>
        <v>17185</v>
      </c>
      <c r="AC71" s="875">
        <f t="shared" si="7"/>
        <v>21354</v>
      </c>
      <c r="AD71" s="875">
        <f t="shared" si="7"/>
        <v>14541</v>
      </c>
      <c r="AE71" s="875">
        <f t="shared" si="7"/>
        <v>14541</v>
      </c>
      <c r="AF71" s="875">
        <f t="shared" si="7"/>
        <v>14541</v>
      </c>
      <c r="AG71" s="875">
        <f t="shared" si="7"/>
        <v>14541</v>
      </c>
      <c r="AH71" s="875">
        <f t="shared" si="7"/>
        <v>21354</v>
      </c>
      <c r="AI71" s="875">
        <f t="shared" si="7"/>
        <v>15151</v>
      </c>
      <c r="AJ71" s="875">
        <f t="shared" si="7"/>
        <v>15761</v>
      </c>
      <c r="AK71" s="875">
        <f t="shared" si="7"/>
        <v>16575</v>
      </c>
      <c r="AL71" s="875">
        <f t="shared" si="7"/>
        <v>16612.120000000003</v>
      </c>
      <c r="AM71" s="487"/>
      <c r="AN71" s="489">
        <f t="shared" si="5"/>
        <v>0</v>
      </c>
      <c r="AO71" s="487"/>
      <c r="AP71" s="487"/>
      <c r="AQ71" s="487"/>
      <c r="AR71" s="487"/>
      <c r="AS71" s="487"/>
      <c r="AT71" s="487"/>
      <c r="AU71" s="487"/>
      <c r="AV71" s="487"/>
    </row>
    <row r="72" spans="2:87" ht="13.5" thickBot="1">
      <c r="D72" s="877"/>
      <c r="F72" s="786" t="s">
        <v>171</v>
      </c>
      <c r="G72" s="873">
        <f>G22</f>
        <v>1091223.70474638</v>
      </c>
      <c r="H72" s="874" t="e">
        <f t="shared" ref="H72:AL72" si="8">H22</f>
        <v>#REF!</v>
      </c>
      <c r="I72" s="875">
        <f t="shared" si="8"/>
        <v>116954.72850141811</v>
      </c>
      <c r="J72" s="875">
        <f t="shared" si="8"/>
        <v>15284.203558129915</v>
      </c>
      <c r="K72" s="875">
        <f t="shared" si="8"/>
        <v>66314.391440752952</v>
      </c>
      <c r="L72" s="875">
        <f t="shared" si="8"/>
        <v>33061.865972076979</v>
      </c>
      <c r="M72" s="875">
        <f t="shared" si="8"/>
        <v>33061.865972076979</v>
      </c>
      <c r="N72" s="875">
        <f t="shared" si="8"/>
        <v>33061.865972076979</v>
      </c>
      <c r="O72" s="875">
        <f t="shared" si="8"/>
        <v>33061.865972076979</v>
      </c>
      <c r="P72" s="875">
        <f t="shared" si="8"/>
        <v>33061.865972076979</v>
      </c>
      <c r="Q72" s="875">
        <f t="shared" si="8"/>
        <v>33061.865972076979</v>
      </c>
      <c r="R72" s="875">
        <f t="shared" si="8"/>
        <v>33061.865972076979</v>
      </c>
      <c r="S72" s="875">
        <f t="shared" si="8"/>
        <v>33061.865972076979</v>
      </c>
      <c r="T72" s="875">
        <f t="shared" si="8"/>
        <v>33061.865972076979</v>
      </c>
      <c r="U72" s="875">
        <f t="shared" si="8"/>
        <v>33061.865972076979</v>
      </c>
      <c r="V72" s="875">
        <f t="shared" si="8"/>
        <v>33061.865972076979</v>
      </c>
      <c r="W72" s="875">
        <f t="shared" si="8"/>
        <v>33061.865972076979</v>
      </c>
      <c r="X72" s="875">
        <f t="shared" si="8"/>
        <v>33061.865972076979</v>
      </c>
      <c r="Y72" s="875">
        <f t="shared" si="8"/>
        <v>33061.865972076979</v>
      </c>
      <c r="Z72" s="875">
        <f t="shared" si="8"/>
        <v>33061.865972076979</v>
      </c>
      <c r="AA72" s="875">
        <f t="shared" si="8"/>
        <v>33061.865972076979</v>
      </c>
      <c r="AB72" s="875">
        <f t="shared" si="8"/>
        <v>33061.865972076979</v>
      </c>
      <c r="AC72" s="875">
        <f t="shared" si="8"/>
        <v>33061.865972076979</v>
      </c>
      <c r="AD72" s="875">
        <f t="shared" si="8"/>
        <v>33061.865972076979</v>
      </c>
      <c r="AE72" s="875">
        <f t="shared" si="8"/>
        <v>33061.865972076979</v>
      </c>
      <c r="AF72" s="875">
        <f t="shared" si="8"/>
        <v>33061.865972076979</v>
      </c>
      <c r="AG72" s="875">
        <f t="shared" si="8"/>
        <v>33061.865972076979</v>
      </c>
      <c r="AH72" s="875">
        <f t="shared" si="8"/>
        <v>33061.865972076979</v>
      </c>
      <c r="AI72" s="875">
        <f t="shared" si="8"/>
        <v>33061.865972076979</v>
      </c>
      <c r="AJ72" s="875">
        <f t="shared" si="8"/>
        <v>33061.865972076979</v>
      </c>
      <c r="AK72" s="875">
        <f t="shared" si="8"/>
        <v>33061.865972076979</v>
      </c>
      <c r="AL72" s="875">
        <f t="shared" si="8"/>
        <v>33061.865972076979</v>
      </c>
      <c r="AM72" s="487"/>
      <c r="AN72" s="489">
        <f t="shared" si="5"/>
        <v>0</v>
      </c>
      <c r="AO72" s="487"/>
      <c r="AP72" s="487"/>
      <c r="AQ72" s="487"/>
      <c r="AR72" s="487"/>
      <c r="AS72" s="487"/>
      <c r="AT72" s="487"/>
      <c r="AU72" s="487"/>
      <c r="AV72" s="487"/>
    </row>
    <row r="73" spans="2:87" ht="13.5" thickBot="1">
      <c r="D73" s="877"/>
      <c r="G73" s="485">
        <f>SUM(G70:G72)</f>
        <v>20517119.663628098</v>
      </c>
      <c r="H73" s="183" t="e">
        <f t="shared" ref="H73:AL73" si="9">SUM(H70:H72)</f>
        <v>#REF!</v>
      </c>
      <c r="I73" s="494">
        <f t="shared" si="9"/>
        <v>563262.22957299976</v>
      </c>
      <c r="J73" s="494">
        <f t="shared" si="9"/>
        <v>345639.16425320646</v>
      </c>
      <c r="K73" s="494">
        <f t="shared" si="9"/>
        <v>302337.51106105704</v>
      </c>
      <c r="L73" s="494">
        <f t="shared" si="9"/>
        <v>1393737.2138793978</v>
      </c>
      <c r="M73" s="494">
        <f t="shared" si="9"/>
        <v>5209890.1252055857</v>
      </c>
      <c r="N73" s="494">
        <f t="shared" si="9"/>
        <v>727898.33131925284</v>
      </c>
      <c r="O73" s="494">
        <f t="shared" si="9"/>
        <v>1713105.5265664214</v>
      </c>
      <c r="P73" s="494">
        <f t="shared" si="9"/>
        <v>1191741.8254753242</v>
      </c>
      <c r="Q73" s="494">
        <f t="shared" si="9"/>
        <v>1924165.9188391753</v>
      </c>
      <c r="R73" s="494">
        <f t="shared" si="9"/>
        <v>999778.07055976056</v>
      </c>
      <c r="S73" s="494">
        <f t="shared" si="9"/>
        <v>2653505.4796216656</v>
      </c>
      <c r="T73" s="494">
        <f t="shared" si="9"/>
        <v>2353010.2054911945</v>
      </c>
      <c r="U73" s="494">
        <f t="shared" si="9"/>
        <v>68386.753752136574</v>
      </c>
      <c r="V73" s="494">
        <f t="shared" si="9"/>
        <v>68386.753752136574</v>
      </c>
      <c r="W73" s="494">
        <f t="shared" si="9"/>
        <v>68386.753752136574</v>
      </c>
      <c r="X73" s="494">
        <f t="shared" si="9"/>
        <v>63098.753752136574</v>
      </c>
      <c r="Y73" s="494">
        <f t="shared" si="9"/>
        <v>63098.753752136574</v>
      </c>
      <c r="Z73" s="494">
        <f t="shared" si="9"/>
        <v>63098.753752136574</v>
      </c>
      <c r="AA73" s="494">
        <f t="shared" si="9"/>
        <v>63098.753752136574</v>
      </c>
      <c r="AB73" s="494">
        <f t="shared" si="9"/>
        <v>63098.753752136574</v>
      </c>
      <c r="AC73" s="494">
        <f t="shared" si="9"/>
        <v>68793.753752136574</v>
      </c>
      <c r="AD73" s="494">
        <f t="shared" si="9"/>
        <v>59438.753752136574</v>
      </c>
      <c r="AE73" s="494">
        <f t="shared" si="9"/>
        <v>59438.753752136574</v>
      </c>
      <c r="AF73" s="494">
        <f t="shared" si="9"/>
        <v>59438.753752136574</v>
      </c>
      <c r="AG73" s="494">
        <f t="shared" si="9"/>
        <v>59438.753752136574</v>
      </c>
      <c r="AH73" s="494">
        <f t="shared" si="9"/>
        <v>68793.753752136574</v>
      </c>
      <c r="AI73" s="494">
        <f t="shared" si="9"/>
        <v>60252.753752136574</v>
      </c>
      <c r="AJ73" s="494">
        <f t="shared" si="9"/>
        <v>61066.753752136574</v>
      </c>
      <c r="AK73" s="494">
        <f t="shared" si="9"/>
        <v>62284.753752136574</v>
      </c>
      <c r="AL73" s="494">
        <f t="shared" si="9"/>
        <v>59447.247996732927</v>
      </c>
      <c r="AM73" s="487"/>
      <c r="AN73" s="489">
        <f t="shared" si="5"/>
        <v>-3.3527612686157227E-8</v>
      </c>
      <c r="AO73" s="487"/>
      <c r="AP73" s="487"/>
      <c r="AQ73" s="487"/>
      <c r="AR73" s="487"/>
      <c r="AS73" s="487"/>
      <c r="AT73" s="487"/>
      <c r="AU73" s="487"/>
      <c r="AV73" s="487"/>
    </row>
    <row r="74" spans="2:87" ht="13.5" thickBot="1">
      <c r="G74" s="183"/>
      <c r="AM74" s="487"/>
      <c r="AN74" s="489">
        <f t="shared" si="5"/>
        <v>0</v>
      </c>
      <c r="AO74" s="487"/>
      <c r="AP74" s="487"/>
      <c r="AQ74" s="487"/>
      <c r="AR74" s="487"/>
      <c r="AS74" s="487"/>
      <c r="AT74" s="487"/>
      <c r="AU74" s="487"/>
      <c r="AV74" s="487"/>
    </row>
    <row r="75" spans="2:87">
      <c r="AM75" s="487"/>
      <c r="AO75" s="487"/>
      <c r="AP75" s="487"/>
      <c r="AQ75" s="487"/>
      <c r="AR75" s="487"/>
      <c r="AS75" s="487"/>
      <c r="AT75" s="487"/>
      <c r="AU75" s="487"/>
      <c r="AV75" s="487"/>
    </row>
    <row r="76" spans="2:87">
      <c r="AM76" s="487"/>
      <c r="AO76" s="487"/>
      <c r="AP76" s="487"/>
      <c r="AQ76" s="487"/>
      <c r="AR76" s="487"/>
      <c r="AS76" s="487"/>
      <c r="AT76" s="487"/>
      <c r="AU76" s="487"/>
      <c r="AV76" s="487"/>
    </row>
  </sheetData>
  <conditionalFormatting sqref="I17 K17 M17:N17 P17 R17:T17 V17 X17:Z17 AB17 AD17:AE17 AG17:AH17 AJ17 AL17">
    <cfRule type="cellIs" dxfId="3" priority="2" stopIfTrue="1" operator="equal">
      <formula>"N"</formula>
    </cfRule>
  </conditionalFormatting>
  <conditionalFormatting sqref="I21 K21 M21:N21 P21 R21:T21 V21 X21:Z21 AB21 AD21:AE21 AG21:AH21 AJ21 AL21">
    <cfRule type="cellIs" dxfId="2" priority="3" stopIfTrue="1" operator="equal">
      <formula>"N"</formula>
    </cfRule>
  </conditionalFormatting>
  <conditionalFormatting sqref="I69 K69 M69:N69 P69 R69:T69 V69 X69:Z69 AB69 AD69:AE69 AG69:AH69 AJ69 AL69">
    <cfRule type="cellIs" dxfId="1" priority="7" stopIfTrue="1" operator="equal">
      <formula>"N"</formula>
    </cfRule>
  </conditionalFormatting>
  <conditionalFormatting sqref="I2:AK2 I3:AL3">
    <cfRule type="cellIs" dxfId="0" priority="9" stopIfTrue="1" operator="equal">
      <formula>"N"</formula>
    </cfRule>
  </conditionalFormatting>
  <dataValidations count="1">
    <dataValidation type="list" allowBlank="1" showInputMessage="1" showErrorMessage="1" sqref="A65301:A65390 IW65301:IW65390 SS65301:SS65390 ACO65301:ACO65390 AMK65301:AMK65390 AWG65301:AWG65390 BGC65301:BGC65390 BPY65301:BPY65390 BZU65301:BZU65390 CJQ65301:CJQ65390 CTM65301:CTM65390 DDI65301:DDI65390 DNE65301:DNE65390 DXA65301:DXA65390 EGW65301:EGW65390 EQS65301:EQS65390 FAO65301:FAO65390 FKK65301:FKK65390 FUG65301:FUG65390 GEC65301:GEC65390 GNY65301:GNY65390 GXU65301:GXU65390 HHQ65301:HHQ65390 HRM65301:HRM65390 IBI65301:IBI65390 ILE65301:ILE65390 IVA65301:IVA65390 JEW65301:JEW65390 JOS65301:JOS65390 JYO65301:JYO65390 KIK65301:KIK65390 KSG65301:KSG65390 LCC65301:LCC65390 LLY65301:LLY65390 LVU65301:LVU65390 MFQ65301:MFQ65390 MPM65301:MPM65390 MZI65301:MZI65390 NJE65301:NJE65390 NTA65301:NTA65390 OCW65301:OCW65390 OMS65301:OMS65390 OWO65301:OWO65390 PGK65301:PGK65390 PQG65301:PQG65390 QAC65301:QAC65390 QJY65301:QJY65390 QTU65301:QTU65390 RDQ65301:RDQ65390 RNM65301:RNM65390 RXI65301:RXI65390 SHE65301:SHE65390 SRA65301:SRA65390 TAW65301:TAW65390 TKS65301:TKS65390 TUO65301:TUO65390 UEK65301:UEK65390 UOG65301:UOG65390 UYC65301:UYC65390 VHY65301:VHY65390 VRU65301:VRU65390 WBQ65301:WBQ65390 WLM65301:WLM65390 WVI65301:WVI65390 A130837:A130926 IW130837:IW130926 SS130837:SS130926 ACO130837:ACO130926 AMK130837:AMK130926 AWG130837:AWG130926 BGC130837:BGC130926 BPY130837:BPY130926 BZU130837:BZU130926 CJQ130837:CJQ130926 CTM130837:CTM130926 DDI130837:DDI130926 DNE130837:DNE130926 DXA130837:DXA130926 EGW130837:EGW130926 EQS130837:EQS130926 FAO130837:FAO130926 FKK130837:FKK130926 FUG130837:FUG130926 GEC130837:GEC130926 GNY130837:GNY130926 GXU130837:GXU130926 HHQ130837:HHQ130926 HRM130837:HRM130926 IBI130837:IBI130926 ILE130837:ILE130926 IVA130837:IVA130926 JEW130837:JEW130926 JOS130837:JOS130926 JYO130837:JYO130926 KIK130837:KIK130926 KSG130837:KSG130926 LCC130837:LCC130926 LLY130837:LLY130926 LVU130837:LVU130926 MFQ130837:MFQ130926 MPM130837:MPM130926 MZI130837:MZI130926 NJE130837:NJE130926 NTA130837:NTA130926 OCW130837:OCW130926 OMS130837:OMS130926 OWO130837:OWO130926 PGK130837:PGK130926 PQG130837:PQG130926 QAC130837:QAC130926 QJY130837:QJY130926 QTU130837:QTU130926 RDQ130837:RDQ130926 RNM130837:RNM130926 RXI130837:RXI130926 SHE130837:SHE130926 SRA130837:SRA130926 TAW130837:TAW130926 TKS130837:TKS130926 TUO130837:TUO130926 UEK130837:UEK130926 UOG130837:UOG130926 UYC130837:UYC130926 VHY130837:VHY130926 VRU130837:VRU130926 WBQ130837:WBQ130926 WLM130837:WLM130926 WVI130837:WVI130926 A196373:A196462 IW196373:IW196462 SS196373:SS196462 ACO196373:ACO196462 AMK196373:AMK196462 AWG196373:AWG196462 BGC196373:BGC196462 BPY196373:BPY196462 BZU196373:BZU196462 CJQ196373:CJQ196462 CTM196373:CTM196462 DDI196373:DDI196462 DNE196373:DNE196462 DXA196373:DXA196462 EGW196373:EGW196462 EQS196373:EQS196462 FAO196373:FAO196462 FKK196373:FKK196462 FUG196373:FUG196462 GEC196373:GEC196462 GNY196373:GNY196462 GXU196373:GXU196462 HHQ196373:HHQ196462 HRM196373:HRM196462 IBI196373:IBI196462 ILE196373:ILE196462 IVA196373:IVA196462 JEW196373:JEW196462 JOS196373:JOS196462 JYO196373:JYO196462 KIK196373:KIK196462 KSG196373:KSG196462 LCC196373:LCC196462 LLY196373:LLY196462 LVU196373:LVU196462 MFQ196373:MFQ196462 MPM196373:MPM196462 MZI196373:MZI196462 NJE196373:NJE196462 NTA196373:NTA196462 OCW196373:OCW196462 OMS196373:OMS196462 OWO196373:OWO196462 PGK196373:PGK196462 PQG196373:PQG196462 QAC196373:QAC196462 QJY196373:QJY196462 QTU196373:QTU196462 RDQ196373:RDQ196462 RNM196373:RNM196462 RXI196373:RXI196462 SHE196373:SHE196462 SRA196373:SRA196462 TAW196373:TAW196462 TKS196373:TKS196462 TUO196373:TUO196462 UEK196373:UEK196462 UOG196373:UOG196462 UYC196373:UYC196462 VHY196373:VHY196462 VRU196373:VRU196462 WBQ196373:WBQ196462 WLM196373:WLM196462 WVI196373:WVI196462 A261909:A261998 IW261909:IW261998 SS261909:SS261998 ACO261909:ACO261998 AMK261909:AMK261998 AWG261909:AWG261998 BGC261909:BGC261998 BPY261909:BPY261998 BZU261909:BZU261998 CJQ261909:CJQ261998 CTM261909:CTM261998 DDI261909:DDI261998 DNE261909:DNE261998 DXA261909:DXA261998 EGW261909:EGW261998 EQS261909:EQS261998 FAO261909:FAO261998 FKK261909:FKK261998 FUG261909:FUG261998 GEC261909:GEC261998 GNY261909:GNY261998 GXU261909:GXU261998 HHQ261909:HHQ261998 HRM261909:HRM261998 IBI261909:IBI261998 ILE261909:ILE261998 IVA261909:IVA261998 JEW261909:JEW261998 JOS261909:JOS261998 JYO261909:JYO261998 KIK261909:KIK261998 KSG261909:KSG261998 LCC261909:LCC261998 LLY261909:LLY261998 LVU261909:LVU261998 MFQ261909:MFQ261998 MPM261909:MPM261998 MZI261909:MZI261998 NJE261909:NJE261998 NTA261909:NTA261998 OCW261909:OCW261998 OMS261909:OMS261998 OWO261909:OWO261998 PGK261909:PGK261998 PQG261909:PQG261998 QAC261909:QAC261998 QJY261909:QJY261998 QTU261909:QTU261998 RDQ261909:RDQ261998 RNM261909:RNM261998 RXI261909:RXI261998 SHE261909:SHE261998 SRA261909:SRA261998 TAW261909:TAW261998 TKS261909:TKS261998 TUO261909:TUO261998 UEK261909:UEK261998 UOG261909:UOG261998 UYC261909:UYC261998 VHY261909:VHY261998 VRU261909:VRU261998 WBQ261909:WBQ261998 WLM261909:WLM261998 WVI261909:WVI261998 A327445:A327534 IW327445:IW327534 SS327445:SS327534 ACO327445:ACO327534 AMK327445:AMK327534 AWG327445:AWG327534 BGC327445:BGC327534 BPY327445:BPY327534 BZU327445:BZU327534 CJQ327445:CJQ327534 CTM327445:CTM327534 DDI327445:DDI327534 DNE327445:DNE327534 DXA327445:DXA327534 EGW327445:EGW327534 EQS327445:EQS327534 FAO327445:FAO327534 FKK327445:FKK327534 FUG327445:FUG327534 GEC327445:GEC327534 GNY327445:GNY327534 GXU327445:GXU327534 HHQ327445:HHQ327534 HRM327445:HRM327534 IBI327445:IBI327534 ILE327445:ILE327534 IVA327445:IVA327534 JEW327445:JEW327534 JOS327445:JOS327534 JYO327445:JYO327534 KIK327445:KIK327534 KSG327445:KSG327534 LCC327445:LCC327534 LLY327445:LLY327534 LVU327445:LVU327534 MFQ327445:MFQ327534 MPM327445:MPM327534 MZI327445:MZI327534 NJE327445:NJE327534 NTA327445:NTA327534 OCW327445:OCW327534 OMS327445:OMS327534 OWO327445:OWO327534 PGK327445:PGK327534 PQG327445:PQG327534 QAC327445:QAC327534 QJY327445:QJY327534 QTU327445:QTU327534 RDQ327445:RDQ327534 RNM327445:RNM327534 RXI327445:RXI327534 SHE327445:SHE327534 SRA327445:SRA327534 TAW327445:TAW327534 TKS327445:TKS327534 TUO327445:TUO327534 UEK327445:UEK327534 UOG327445:UOG327534 UYC327445:UYC327534 VHY327445:VHY327534 VRU327445:VRU327534 WBQ327445:WBQ327534 WLM327445:WLM327534 WVI327445:WVI327534 A392981:A393070 IW392981:IW393070 SS392981:SS393070 ACO392981:ACO393070 AMK392981:AMK393070 AWG392981:AWG393070 BGC392981:BGC393070 BPY392981:BPY393070 BZU392981:BZU393070 CJQ392981:CJQ393070 CTM392981:CTM393070 DDI392981:DDI393070 DNE392981:DNE393070 DXA392981:DXA393070 EGW392981:EGW393070 EQS392981:EQS393070 FAO392981:FAO393070 FKK392981:FKK393070 FUG392981:FUG393070 GEC392981:GEC393070 GNY392981:GNY393070 GXU392981:GXU393070 HHQ392981:HHQ393070 HRM392981:HRM393070 IBI392981:IBI393070 ILE392981:ILE393070 IVA392981:IVA393070 JEW392981:JEW393070 JOS392981:JOS393070 JYO392981:JYO393070 KIK392981:KIK393070 KSG392981:KSG393070 LCC392981:LCC393070 LLY392981:LLY393070 LVU392981:LVU393070 MFQ392981:MFQ393070 MPM392981:MPM393070 MZI392981:MZI393070 NJE392981:NJE393070 NTA392981:NTA393070 OCW392981:OCW393070 OMS392981:OMS393070 OWO392981:OWO393070 PGK392981:PGK393070 PQG392981:PQG393070 QAC392981:QAC393070 QJY392981:QJY393070 QTU392981:QTU393070 RDQ392981:RDQ393070 RNM392981:RNM393070 RXI392981:RXI393070 SHE392981:SHE393070 SRA392981:SRA393070 TAW392981:TAW393070 TKS392981:TKS393070 TUO392981:TUO393070 UEK392981:UEK393070 UOG392981:UOG393070 UYC392981:UYC393070 VHY392981:VHY393070 VRU392981:VRU393070 WBQ392981:WBQ393070 WLM392981:WLM393070 WVI392981:WVI393070 A458517:A458606 IW458517:IW458606 SS458517:SS458606 ACO458517:ACO458606 AMK458517:AMK458606 AWG458517:AWG458606 BGC458517:BGC458606 BPY458517:BPY458606 BZU458517:BZU458606 CJQ458517:CJQ458606 CTM458517:CTM458606 DDI458517:DDI458606 DNE458517:DNE458606 DXA458517:DXA458606 EGW458517:EGW458606 EQS458517:EQS458606 FAO458517:FAO458606 FKK458517:FKK458606 FUG458517:FUG458606 GEC458517:GEC458606 GNY458517:GNY458606 GXU458517:GXU458606 HHQ458517:HHQ458606 HRM458517:HRM458606 IBI458517:IBI458606 ILE458517:ILE458606 IVA458517:IVA458606 JEW458517:JEW458606 JOS458517:JOS458606 JYO458517:JYO458606 KIK458517:KIK458606 KSG458517:KSG458606 LCC458517:LCC458606 LLY458517:LLY458606 LVU458517:LVU458606 MFQ458517:MFQ458606 MPM458517:MPM458606 MZI458517:MZI458606 NJE458517:NJE458606 NTA458517:NTA458606 OCW458517:OCW458606 OMS458517:OMS458606 OWO458517:OWO458606 PGK458517:PGK458606 PQG458517:PQG458606 QAC458517:QAC458606 QJY458517:QJY458606 QTU458517:QTU458606 RDQ458517:RDQ458606 RNM458517:RNM458606 RXI458517:RXI458606 SHE458517:SHE458606 SRA458517:SRA458606 TAW458517:TAW458606 TKS458517:TKS458606 TUO458517:TUO458606 UEK458517:UEK458606 UOG458517:UOG458606 UYC458517:UYC458606 VHY458517:VHY458606 VRU458517:VRU458606 WBQ458517:WBQ458606 WLM458517:WLM458606 WVI458517:WVI458606 A524053:A524142 IW524053:IW524142 SS524053:SS524142 ACO524053:ACO524142 AMK524053:AMK524142 AWG524053:AWG524142 BGC524053:BGC524142 BPY524053:BPY524142 BZU524053:BZU524142 CJQ524053:CJQ524142 CTM524053:CTM524142 DDI524053:DDI524142 DNE524053:DNE524142 DXA524053:DXA524142 EGW524053:EGW524142 EQS524053:EQS524142 FAO524053:FAO524142 FKK524053:FKK524142 FUG524053:FUG524142 GEC524053:GEC524142 GNY524053:GNY524142 GXU524053:GXU524142 HHQ524053:HHQ524142 HRM524053:HRM524142 IBI524053:IBI524142 ILE524053:ILE524142 IVA524053:IVA524142 JEW524053:JEW524142 JOS524053:JOS524142 JYO524053:JYO524142 KIK524053:KIK524142 KSG524053:KSG524142 LCC524053:LCC524142 LLY524053:LLY524142 LVU524053:LVU524142 MFQ524053:MFQ524142 MPM524053:MPM524142 MZI524053:MZI524142 NJE524053:NJE524142 NTA524053:NTA524142 OCW524053:OCW524142 OMS524053:OMS524142 OWO524053:OWO524142 PGK524053:PGK524142 PQG524053:PQG524142 QAC524053:QAC524142 QJY524053:QJY524142 QTU524053:QTU524142 RDQ524053:RDQ524142 RNM524053:RNM524142 RXI524053:RXI524142 SHE524053:SHE524142 SRA524053:SRA524142 TAW524053:TAW524142 TKS524053:TKS524142 TUO524053:TUO524142 UEK524053:UEK524142 UOG524053:UOG524142 UYC524053:UYC524142 VHY524053:VHY524142 VRU524053:VRU524142 WBQ524053:WBQ524142 WLM524053:WLM524142 WVI524053:WVI524142 A589589:A589678 IW589589:IW589678 SS589589:SS589678 ACO589589:ACO589678 AMK589589:AMK589678 AWG589589:AWG589678 BGC589589:BGC589678 BPY589589:BPY589678 BZU589589:BZU589678 CJQ589589:CJQ589678 CTM589589:CTM589678 DDI589589:DDI589678 DNE589589:DNE589678 DXA589589:DXA589678 EGW589589:EGW589678 EQS589589:EQS589678 FAO589589:FAO589678 FKK589589:FKK589678 FUG589589:FUG589678 GEC589589:GEC589678 GNY589589:GNY589678 GXU589589:GXU589678 HHQ589589:HHQ589678 HRM589589:HRM589678 IBI589589:IBI589678 ILE589589:ILE589678 IVA589589:IVA589678 JEW589589:JEW589678 JOS589589:JOS589678 JYO589589:JYO589678 KIK589589:KIK589678 KSG589589:KSG589678 LCC589589:LCC589678 LLY589589:LLY589678 LVU589589:LVU589678 MFQ589589:MFQ589678 MPM589589:MPM589678 MZI589589:MZI589678 NJE589589:NJE589678 NTA589589:NTA589678 OCW589589:OCW589678 OMS589589:OMS589678 OWO589589:OWO589678 PGK589589:PGK589678 PQG589589:PQG589678 QAC589589:QAC589678 QJY589589:QJY589678 QTU589589:QTU589678 RDQ589589:RDQ589678 RNM589589:RNM589678 RXI589589:RXI589678 SHE589589:SHE589678 SRA589589:SRA589678 TAW589589:TAW589678 TKS589589:TKS589678 TUO589589:TUO589678 UEK589589:UEK589678 UOG589589:UOG589678 UYC589589:UYC589678 VHY589589:VHY589678 VRU589589:VRU589678 WBQ589589:WBQ589678 WLM589589:WLM589678 WVI589589:WVI589678 A655125:A655214 IW655125:IW655214 SS655125:SS655214 ACO655125:ACO655214 AMK655125:AMK655214 AWG655125:AWG655214 BGC655125:BGC655214 BPY655125:BPY655214 BZU655125:BZU655214 CJQ655125:CJQ655214 CTM655125:CTM655214 DDI655125:DDI655214 DNE655125:DNE655214 DXA655125:DXA655214 EGW655125:EGW655214 EQS655125:EQS655214 FAO655125:FAO655214 FKK655125:FKK655214 FUG655125:FUG655214 GEC655125:GEC655214 GNY655125:GNY655214 GXU655125:GXU655214 HHQ655125:HHQ655214 HRM655125:HRM655214 IBI655125:IBI655214 ILE655125:ILE655214 IVA655125:IVA655214 JEW655125:JEW655214 JOS655125:JOS655214 JYO655125:JYO655214 KIK655125:KIK655214 KSG655125:KSG655214 LCC655125:LCC655214 LLY655125:LLY655214 LVU655125:LVU655214 MFQ655125:MFQ655214 MPM655125:MPM655214 MZI655125:MZI655214 NJE655125:NJE655214 NTA655125:NTA655214 OCW655125:OCW655214 OMS655125:OMS655214 OWO655125:OWO655214 PGK655125:PGK655214 PQG655125:PQG655214 QAC655125:QAC655214 QJY655125:QJY655214 QTU655125:QTU655214 RDQ655125:RDQ655214 RNM655125:RNM655214 RXI655125:RXI655214 SHE655125:SHE655214 SRA655125:SRA655214 TAW655125:TAW655214 TKS655125:TKS655214 TUO655125:TUO655214 UEK655125:UEK655214 UOG655125:UOG655214 UYC655125:UYC655214 VHY655125:VHY655214 VRU655125:VRU655214 WBQ655125:WBQ655214 WLM655125:WLM655214 WVI655125:WVI655214 A720661:A720750 IW720661:IW720750 SS720661:SS720750 ACO720661:ACO720750 AMK720661:AMK720750 AWG720661:AWG720750 BGC720661:BGC720750 BPY720661:BPY720750 BZU720661:BZU720750 CJQ720661:CJQ720750 CTM720661:CTM720750 DDI720661:DDI720750 DNE720661:DNE720750 DXA720661:DXA720750 EGW720661:EGW720750 EQS720661:EQS720750 FAO720661:FAO720750 FKK720661:FKK720750 FUG720661:FUG720750 GEC720661:GEC720750 GNY720661:GNY720750 GXU720661:GXU720750 HHQ720661:HHQ720750 HRM720661:HRM720750 IBI720661:IBI720750 ILE720661:ILE720750 IVA720661:IVA720750 JEW720661:JEW720750 JOS720661:JOS720750 JYO720661:JYO720750 KIK720661:KIK720750 KSG720661:KSG720750 LCC720661:LCC720750 LLY720661:LLY720750 LVU720661:LVU720750 MFQ720661:MFQ720750 MPM720661:MPM720750 MZI720661:MZI720750 NJE720661:NJE720750 NTA720661:NTA720750 OCW720661:OCW720750 OMS720661:OMS720750 OWO720661:OWO720750 PGK720661:PGK720750 PQG720661:PQG720750 QAC720661:QAC720750 QJY720661:QJY720750 QTU720661:QTU720750 RDQ720661:RDQ720750 RNM720661:RNM720750 RXI720661:RXI720750 SHE720661:SHE720750 SRA720661:SRA720750 TAW720661:TAW720750 TKS720661:TKS720750 TUO720661:TUO720750 UEK720661:UEK720750 UOG720661:UOG720750 UYC720661:UYC720750 VHY720661:VHY720750 VRU720661:VRU720750 WBQ720661:WBQ720750 WLM720661:WLM720750 WVI720661:WVI720750 A786197:A786286 IW786197:IW786286 SS786197:SS786286 ACO786197:ACO786286 AMK786197:AMK786286 AWG786197:AWG786286 BGC786197:BGC786286 BPY786197:BPY786286 BZU786197:BZU786286 CJQ786197:CJQ786286 CTM786197:CTM786286 DDI786197:DDI786286 DNE786197:DNE786286 DXA786197:DXA786286 EGW786197:EGW786286 EQS786197:EQS786286 FAO786197:FAO786286 FKK786197:FKK786286 FUG786197:FUG786286 GEC786197:GEC786286 GNY786197:GNY786286 GXU786197:GXU786286 HHQ786197:HHQ786286 HRM786197:HRM786286 IBI786197:IBI786286 ILE786197:ILE786286 IVA786197:IVA786286 JEW786197:JEW786286 JOS786197:JOS786286 JYO786197:JYO786286 KIK786197:KIK786286 KSG786197:KSG786286 LCC786197:LCC786286 LLY786197:LLY786286 LVU786197:LVU786286 MFQ786197:MFQ786286 MPM786197:MPM786286 MZI786197:MZI786286 NJE786197:NJE786286 NTA786197:NTA786286 OCW786197:OCW786286 OMS786197:OMS786286 OWO786197:OWO786286 PGK786197:PGK786286 PQG786197:PQG786286 QAC786197:QAC786286 QJY786197:QJY786286 QTU786197:QTU786286 RDQ786197:RDQ786286 RNM786197:RNM786286 RXI786197:RXI786286 SHE786197:SHE786286 SRA786197:SRA786286 TAW786197:TAW786286 TKS786197:TKS786286 TUO786197:TUO786286 UEK786197:UEK786286 UOG786197:UOG786286 UYC786197:UYC786286 VHY786197:VHY786286 VRU786197:VRU786286 WBQ786197:WBQ786286 WLM786197:WLM786286 WVI786197:WVI786286 A851733:A851822 IW851733:IW851822 SS851733:SS851822 ACO851733:ACO851822 AMK851733:AMK851822 AWG851733:AWG851822 BGC851733:BGC851822 BPY851733:BPY851822 BZU851733:BZU851822 CJQ851733:CJQ851822 CTM851733:CTM851822 DDI851733:DDI851822 DNE851733:DNE851822 DXA851733:DXA851822 EGW851733:EGW851822 EQS851733:EQS851822 FAO851733:FAO851822 FKK851733:FKK851822 FUG851733:FUG851822 GEC851733:GEC851822 GNY851733:GNY851822 GXU851733:GXU851822 HHQ851733:HHQ851822 HRM851733:HRM851822 IBI851733:IBI851822 ILE851733:ILE851822 IVA851733:IVA851822 JEW851733:JEW851822 JOS851733:JOS851822 JYO851733:JYO851822 KIK851733:KIK851822 KSG851733:KSG851822 LCC851733:LCC851822 LLY851733:LLY851822 LVU851733:LVU851822 MFQ851733:MFQ851822 MPM851733:MPM851822 MZI851733:MZI851822 NJE851733:NJE851822 NTA851733:NTA851822 OCW851733:OCW851822 OMS851733:OMS851822 OWO851733:OWO851822 PGK851733:PGK851822 PQG851733:PQG851822 QAC851733:QAC851822 QJY851733:QJY851822 QTU851733:QTU851822 RDQ851733:RDQ851822 RNM851733:RNM851822 RXI851733:RXI851822 SHE851733:SHE851822 SRA851733:SRA851822 TAW851733:TAW851822 TKS851733:TKS851822 TUO851733:TUO851822 UEK851733:UEK851822 UOG851733:UOG851822 UYC851733:UYC851822 VHY851733:VHY851822 VRU851733:VRU851822 WBQ851733:WBQ851822 WLM851733:WLM851822 WVI851733:WVI851822 A917269:A917358 IW917269:IW917358 SS917269:SS917358 ACO917269:ACO917358 AMK917269:AMK917358 AWG917269:AWG917358 BGC917269:BGC917358 BPY917269:BPY917358 BZU917269:BZU917358 CJQ917269:CJQ917358 CTM917269:CTM917358 DDI917269:DDI917358 DNE917269:DNE917358 DXA917269:DXA917358 EGW917269:EGW917358 EQS917269:EQS917358 FAO917269:FAO917358 FKK917269:FKK917358 FUG917269:FUG917358 GEC917269:GEC917358 GNY917269:GNY917358 GXU917269:GXU917358 HHQ917269:HHQ917358 HRM917269:HRM917358 IBI917269:IBI917358 ILE917269:ILE917358 IVA917269:IVA917358 JEW917269:JEW917358 JOS917269:JOS917358 JYO917269:JYO917358 KIK917269:KIK917358 KSG917269:KSG917358 LCC917269:LCC917358 LLY917269:LLY917358 LVU917269:LVU917358 MFQ917269:MFQ917358 MPM917269:MPM917358 MZI917269:MZI917358 NJE917269:NJE917358 NTA917269:NTA917358 OCW917269:OCW917358 OMS917269:OMS917358 OWO917269:OWO917358 PGK917269:PGK917358 PQG917269:PQG917358 QAC917269:QAC917358 QJY917269:QJY917358 QTU917269:QTU917358 RDQ917269:RDQ917358 RNM917269:RNM917358 RXI917269:RXI917358 SHE917269:SHE917358 SRA917269:SRA917358 TAW917269:TAW917358 TKS917269:TKS917358 TUO917269:TUO917358 UEK917269:UEK917358 UOG917269:UOG917358 UYC917269:UYC917358 VHY917269:VHY917358 VRU917269:VRU917358 WBQ917269:WBQ917358 WLM917269:WLM917358 WVI917269:WVI917358 A982805:A982894 IW982805:IW982894 SS982805:SS982894 ACO982805:ACO982894 AMK982805:AMK982894 AWG982805:AWG982894 BGC982805:BGC982894 BPY982805:BPY982894 BZU982805:BZU982894 CJQ982805:CJQ982894 CTM982805:CTM982894 DDI982805:DDI982894 DNE982805:DNE982894 DXA982805:DXA982894 EGW982805:EGW982894 EQS982805:EQS982894 FAO982805:FAO982894 FKK982805:FKK982894 FUG982805:FUG982894 GEC982805:GEC982894 GNY982805:GNY982894 GXU982805:GXU982894 HHQ982805:HHQ982894 HRM982805:HRM982894 IBI982805:IBI982894 ILE982805:ILE982894 IVA982805:IVA982894 JEW982805:JEW982894 JOS982805:JOS982894 JYO982805:JYO982894 KIK982805:KIK982894 KSG982805:KSG982894 LCC982805:LCC982894 LLY982805:LLY982894 LVU982805:LVU982894 MFQ982805:MFQ982894 MPM982805:MPM982894 MZI982805:MZI982894 NJE982805:NJE982894 NTA982805:NTA982894 OCW982805:OCW982894 OMS982805:OMS982894 OWO982805:OWO982894 PGK982805:PGK982894 PQG982805:PQG982894 QAC982805:QAC982894 QJY982805:QJY982894 QTU982805:QTU982894 RDQ982805:RDQ982894 RNM982805:RNM982894 RXI982805:RXI982894 SHE982805:SHE982894 SRA982805:SRA982894 TAW982805:TAW982894 TKS982805:TKS982894 TUO982805:TUO982894 UEK982805:UEK982894 UOG982805:UOG982894 UYC982805:UYC982894 VHY982805:VHY982894 VRU982805:VRU982894 WBQ982805:WBQ982894 WLM982805:WLM982894 WVI982805:WVI982894 A1048341:A1048430 IW1048341:IW1048430 SS1048341:SS1048430 ACO1048341:ACO1048430 AMK1048341:AMK1048430 AWG1048341:AWG1048430 BGC1048341:BGC1048430 BPY1048341:BPY1048430 BZU1048341:BZU1048430 CJQ1048341:CJQ1048430 CTM1048341:CTM1048430 DDI1048341:DDI1048430 DNE1048341:DNE1048430 DXA1048341:DXA1048430 EGW1048341:EGW1048430 EQS1048341:EQS1048430 FAO1048341:FAO1048430 FKK1048341:FKK1048430 FUG1048341:FUG1048430 GEC1048341:GEC1048430 GNY1048341:GNY1048430 GXU1048341:GXU1048430 HHQ1048341:HHQ1048430 HRM1048341:HRM1048430 IBI1048341:IBI1048430 ILE1048341:ILE1048430 IVA1048341:IVA1048430 JEW1048341:JEW1048430 JOS1048341:JOS1048430 JYO1048341:JYO1048430 KIK1048341:KIK1048430 KSG1048341:KSG1048430 LCC1048341:LCC1048430 LLY1048341:LLY1048430 LVU1048341:LVU1048430 MFQ1048341:MFQ1048430 MPM1048341:MPM1048430 MZI1048341:MZI1048430 NJE1048341:NJE1048430 NTA1048341:NTA1048430 OCW1048341:OCW1048430 OMS1048341:OMS1048430 OWO1048341:OWO1048430 PGK1048341:PGK1048430 PQG1048341:PQG1048430 QAC1048341:QAC1048430 QJY1048341:QJY1048430 QTU1048341:QTU1048430 RDQ1048341:RDQ1048430 RNM1048341:RNM1048430 RXI1048341:RXI1048430 SHE1048341:SHE1048430 SRA1048341:SRA1048430 TAW1048341:TAW1048430 TKS1048341:TKS1048430 TUO1048341:TUO1048430 UEK1048341:UEK1048430 UOG1048341:UOG1048430 UYC1048341:UYC1048430 VHY1048341:VHY1048430 VRU1048341:VRU1048430 WBQ1048341:WBQ1048430 WLM1048341:WLM1048430 WVI1048341:WVI1048430 A65535:A65585 IW65535:IW65585 SS65535:SS65585 ACO65535:ACO65585 AMK65535:AMK65585 AWG65535:AWG65585 BGC65535:BGC65585 BPY65535:BPY65585 BZU65535:BZU65585 CJQ65535:CJQ65585 CTM65535:CTM65585 DDI65535:DDI65585 DNE65535:DNE65585 DXA65535:DXA65585 EGW65535:EGW65585 EQS65535:EQS65585 FAO65535:FAO65585 FKK65535:FKK65585 FUG65535:FUG65585 GEC65535:GEC65585 GNY65535:GNY65585 GXU65535:GXU65585 HHQ65535:HHQ65585 HRM65535:HRM65585 IBI65535:IBI65585 ILE65535:ILE65585 IVA65535:IVA65585 JEW65535:JEW65585 JOS65535:JOS65585 JYO65535:JYO65585 KIK65535:KIK65585 KSG65535:KSG65585 LCC65535:LCC65585 LLY65535:LLY65585 LVU65535:LVU65585 MFQ65535:MFQ65585 MPM65535:MPM65585 MZI65535:MZI65585 NJE65535:NJE65585 NTA65535:NTA65585 OCW65535:OCW65585 OMS65535:OMS65585 OWO65535:OWO65585 PGK65535:PGK65585 PQG65535:PQG65585 QAC65535:QAC65585 QJY65535:QJY65585 QTU65535:QTU65585 RDQ65535:RDQ65585 RNM65535:RNM65585 RXI65535:RXI65585 SHE65535:SHE65585 SRA65535:SRA65585 TAW65535:TAW65585 TKS65535:TKS65585 TUO65535:TUO65585 UEK65535:UEK65585 UOG65535:UOG65585 UYC65535:UYC65585 VHY65535:VHY65585 VRU65535:VRU65585 WBQ65535:WBQ65585 WLM65535:WLM65585 WVI65535:WVI65585 A131071:A131121 IW131071:IW131121 SS131071:SS131121 ACO131071:ACO131121 AMK131071:AMK131121 AWG131071:AWG131121 BGC131071:BGC131121 BPY131071:BPY131121 BZU131071:BZU131121 CJQ131071:CJQ131121 CTM131071:CTM131121 DDI131071:DDI131121 DNE131071:DNE131121 DXA131071:DXA131121 EGW131071:EGW131121 EQS131071:EQS131121 FAO131071:FAO131121 FKK131071:FKK131121 FUG131071:FUG131121 GEC131071:GEC131121 GNY131071:GNY131121 GXU131071:GXU131121 HHQ131071:HHQ131121 HRM131071:HRM131121 IBI131071:IBI131121 ILE131071:ILE131121 IVA131071:IVA131121 JEW131071:JEW131121 JOS131071:JOS131121 JYO131071:JYO131121 KIK131071:KIK131121 KSG131071:KSG131121 LCC131071:LCC131121 LLY131071:LLY131121 LVU131071:LVU131121 MFQ131071:MFQ131121 MPM131071:MPM131121 MZI131071:MZI131121 NJE131071:NJE131121 NTA131071:NTA131121 OCW131071:OCW131121 OMS131071:OMS131121 OWO131071:OWO131121 PGK131071:PGK131121 PQG131071:PQG131121 QAC131071:QAC131121 QJY131071:QJY131121 QTU131071:QTU131121 RDQ131071:RDQ131121 RNM131071:RNM131121 RXI131071:RXI131121 SHE131071:SHE131121 SRA131071:SRA131121 TAW131071:TAW131121 TKS131071:TKS131121 TUO131071:TUO131121 UEK131071:UEK131121 UOG131071:UOG131121 UYC131071:UYC131121 VHY131071:VHY131121 VRU131071:VRU131121 WBQ131071:WBQ131121 WLM131071:WLM131121 WVI131071:WVI131121 A196607:A196657 IW196607:IW196657 SS196607:SS196657 ACO196607:ACO196657 AMK196607:AMK196657 AWG196607:AWG196657 BGC196607:BGC196657 BPY196607:BPY196657 BZU196607:BZU196657 CJQ196607:CJQ196657 CTM196607:CTM196657 DDI196607:DDI196657 DNE196607:DNE196657 DXA196607:DXA196657 EGW196607:EGW196657 EQS196607:EQS196657 FAO196607:FAO196657 FKK196607:FKK196657 FUG196607:FUG196657 GEC196607:GEC196657 GNY196607:GNY196657 GXU196607:GXU196657 HHQ196607:HHQ196657 HRM196607:HRM196657 IBI196607:IBI196657 ILE196607:ILE196657 IVA196607:IVA196657 JEW196607:JEW196657 JOS196607:JOS196657 JYO196607:JYO196657 KIK196607:KIK196657 KSG196607:KSG196657 LCC196607:LCC196657 LLY196607:LLY196657 LVU196607:LVU196657 MFQ196607:MFQ196657 MPM196607:MPM196657 MZI196607:MZI196657 NJE196607:NJE196657 NTA196607:NTA196657 OCW196607:OCW196657 OMS196607:OMS196657 OWO196607:OWO196657 PGK196607:PGK196657 PQG196607:PQG196657 QAC196607:QAC196657 QJY196607:QJY196657 QTU196607:QTU196657 RDQ196607:RDQ196657 RNM196607:RNM196657 RXI196607:RXI196657 SHE196607:SHE196657 SRA196607:SRA196657 TAW196607:TAW196657 TKS196607:TKS196657 TUO196607:TUO196657 UEK196607:UEK196657 UOG196607:UOG196657 UYC196607:UYC196657 VHY196607:VHY196657 VRU196607:VRU196657 WBQ196607:WBQ196657 WLM196607:WLM196657 WVI196607:WVI196657 A262143:A262193 IW262143:IW262193 SS262143:SS262193 ACO262143:ACO262193 AMK262143:AMK262193 AWG262143:AWG262193 BGC262143:BGC262193 BPY262143:BPY262193 BZU262143:BZU262193 CJQ262143:CJQ262193 CTM262143:CTM262193 DDI262143:DDI262193 DNE262143:DNE262193 DXA262143:DXA262193 EGW262143:EGW262193 EQS262143:EQS262193 FAO262143:FAO262193 FKK262143:FKK262193 FUG262143:FUG262193 GEC262143:GEC262193 GNY262143:GNY262193 GXU262143:GXU262193 HHQ262143:HHQ262193 HRM262143:HRM262193 IBI262143:IBI262193 ILE262143:ILE262193 IVA262143:IVA262193 JEW262143:JEW262193 JOS262143:JOS262193 JYO262143:JYO262193 KIK262143:KIK262193 KSG262143:KSG262193 LCC262143:LCC262193 LLY262143:LLY262193 LVU262143:LVU262193 MFQ262143:MFQ262193 MPM262143:MPM262193 MZI262143:MZI262193 NJE262143:NJE262193 NTA262143:NTA262193 OCW262143:OCW262193 OMS262143:OMS262193 OWO262143:OWO262193 PGK262143:PGK262193 PQG262143:PQG262193 QAC262143:QAC262193 QJY262143:QJY262193 QTU262143:QTU262193 RDQ262143:RDQ262193 RNM262143:RNM262193 RXI262143:RXI262193 SHE262143:SHE262193 SRA262143:SRA262193 TAW262143:TAW262193 TKS262143:TKS262193 TUO262143:TUO262193 UEK262143:UEK262193 UOG262143:UOG262193 UYC262143:UYC262193 VHY262143:VHY262193 VRU262143:VRU262193 WBQ262143:WBQ262193 WLM262143:WLM262193 WVI262143:WVI262193 A327679:A327729 IW327679:IW327729 SS327679:SS327729 ACO327679:ACO327729 AMK327679:AMK327729 AWG327679:AWG327729 BGC327679:BGC327729 BPY327679:BPY327729 BZU327679:BZU327729 CJQ327679:CJQ327729 CTM327679:CTM327729 DDI327679:DDI327729 DNE327679:DNE327729 DXA327679:DXA327729 EGW327679:EGW327729 EQS327679:EQS327729 FAO327679:FAO327729 FKK327679:FKK327729 FUG327679:FUG327729 GEC327679:GEC327729 GNY327679:GNY327729 GXU327679:GXU327729 HHQ327679:HHQ327729 HRM327679:HRM327729 IBI327679:IBI327729 ILE327679:ILE327729 IVA327679:IVA327729 JEW327679:JEW327729 JOS327679:JOS327729 JYO327679:JYO327729 KIK327679:KIK327729 KSG327679:KSG327729 LCC327679:LCC327729 LLY327679:LLY327729 LVU327679:LVU327729 MFQ327679:MFQ327729 MPM327679:MPM327729 MZI327679:MZI327729 NJE327679:NJE327729 NTA327679:NTA327729 OCW327679:OCW327729 OMS327679:OMS327729 OWO327679:OWO327729 PGK327679:PGK327729 PQG327679:PQG327729 QAC327679:QAC327729 QJY327679:QJY327729 QTU327679:QTU327729 RDQ327679:RDQ327729 RNM327679:RNM327729 RXI327679:RXI327729 SHE327679:SHE327729 SRA327679:SRA327729 TAW327679:TAW327729 TKS327679:TKS327729 TUO327679:TUO327729 UEK327679:UEK327729 UOG327679:UOG327729 UYC327679:UYC327729 VHY327679:VHY327729 VRU327679:VRU327729 WBQ327679:WBQ327729 WLM327679:WLM327729 WVI327679:WVI327729 A393215:A393265 IW393215:IW393265 SS393215:SS393265 ACO393215:ACO393265 AMK393215:AMK393265 AWG393215:AWG393265 BGC393215:BGC393265 BPY393215:BPY393265 BZU393215:BZU393265 CJQ393215:CJQ393265 CTM393215:CTM393265 DDI393215:DDI393265 DNE393215:DNE393265 DXA393215:DXA393265 EGW393215:EGW393265 EQS393215:EQS393265 FAO393215:FAO393265 FKK393215:FKK393265 FUG393215:FUG393265 GEC393215:GEC393265 GNY393215:GNY393265 GXU393215:GXU393265 HHQ393215:HHQ393265 HRM393215:HRM393265 IBI393215:IBI393265 ILE393215:ILE393265 IVA393215:IVA393265 JEW393215:JEW393265 JOS393215:JOS393265 JYO393215:JYO393265 KIK393215:KIK393265 KSG393215:KSG393265 LCC393215:LCC393265 LLY393215:LLY393265 LVU393215:LVU393265 MFQ393215:MFQ393265 MPM393215:MPM393265 MZI393215:MZI393265 NJE393215:NJE393265 NTA393215:NTA393265 OCW393215:OCW393265 OMS393215:OMS393265 OWO393215:OWO393265 PGK393215:PGK393265 PQG393215:PQG393265 QAC393215:QAC393265 QJY393215:QJY393265 QTU393215:QTU393265 RDQ393215:RDQ393265 RNM393215:RNM393265 RXI393215:RXI393265 SHE393215:SHE393265 SRA393215:SRA393265 TAW393215:TAW393265 TKS393215:TKS393265 TUO393215:TUO393265 UEK393215:UEK393265 UOG393215:UOG393265 UYC393215:UYC393265 VHY393215:VHY393265 VRU393215:VRU393265 WBQ393215:WBQ393265 WLM393215:WLM393265 WVI393215:WVI393265 A458751:A458801 IW458751:IW458801 SS458751:SS458801 ACO458751:ACO458801 AMK458751:AMK458801 AWG458751:AWG458801 BGC458751:BGC458801 BPY458751:BPY458801 BZU458751:BZU458801 CJQ458751:CJQ458801 CTM458751:CTM458801 DDI458751:DDI458801 DNE458751:DNE458801 DXA458751:DXA458801 EGW458751:EGW458801 EQS458751:EQS458801 FAO458751:FAO458801 FKK458751:FKK458801 FUG458751:FUG458801 GEC458751:GEC458801 GNY458751:GNY458801 GXU458751:GXU458801 HHQ458751:HHQ458801 HRM458751:HRM458801 IBI458751:IBI458801 ILE458751:ILE458801 IVA458751:IVA458801 JEW458751:JEW458801 JOS458751:JOS458801 JYO458751:JYO458801 KIK458751:KIK458801 KSG458751:KSG458801 LCC458751:LCC458801 LLY458751:LLY458801 LVU458751:LVU458801 MFQ458751:MFQ458801 MPM458751:MPM458801 MZI458751:MZI458801 NJE458751:NJE458801 NTA458751:NTA458801 OCW458751:OCW458801 OMS458751:OMS458801 OWO458751:OWO458801 PGK458751:PGK458801 PQG458751:PQG458801 QAC458751:QAC458801 QJY458751:QJY458801 QTU458751:QTU458801 RDQ458751:RDQ458801 RNM458751:RNM458801 RXI458751:RXI458801 SHE458751:SHE458801 SRA458751:SRA458801 TAW458751:TAW458801 TKS458751:TKS458801 TUO458751:TUO458801 UEK458751:UEK458801 UOG458751:UOG458801 UYC458751:UYC458801 VHY458751:VHY458801 VRU458751:VRU458801 WBQ458751:WBQ458801 WLM458751:WLM458801 WVI458751:WVI458801 A524287:A524337 IW524287:IW524337 SS524287:SS524337 ACO524287:ACO524337 AMK524287:AMK524337 AWG524287:AWG524337 BGC524287:BGC524337 BPY524287:BPY524337 BZU524287:BZU524337 CJQ524287:CJQ524337 CTM524287:CTM524337 DDI524287:DDI524337 DNE524287:DNE524337 DXA524287:DXA524337 EGW524287:EGW524337 EQS524287:EQS524337 FAO524287:FAO524337 FKK524287:FKK524337 FUG524287:FUG524337 GEC524287:GEC524337 GNY524287:GNY524337 GXU524287:GXU524337 HHQ524287:HHQ524337 HRM524287:HRM524337 IBI524287:IBI524337 ILE524287:ILE524337 IVA524287:IVA524337 JEW524287:JEW524337 JOS524287:JOS524337 JYO524287:JYO524337 KIK524287:KIK524337 KSG524287:KSG524337 LCC524287:LCC524337 LLY524287:LLY524337 LVU524287:LVU524337 MFQ524287:MFQ524337 MPM524287:MPM524337 MZI524287:MZI524337 NJE524287:NJE524337 NTA524287:NTA524337 OCW524287:OCW524337 OMS524287:OMS524337 OWO524287:OWO524337 PGK524287:PGK524337 PQG524287:PQG524337 QAC524287:QAC524337 QJY524287:QJY524337 QTU524287:QTU524337 RDQ524287:RDQ524337 RNM524287:RNM524337 RXI524287:RXI524337 SHE524287:SHE524337 SRA524287:SRA524337 TAW524287:TAW524337 TKS524287:TKS524337 TUO524287:TUO524337 UEK524287:UEK524337 UOG524287:UOG524337 UYC524287:UYC524337 VHY524287:VHY524337 VRU524287:VRU524337 WBQ524287:WBQ524337 WLM524287:WLM524337 WVI524287:WVI524337 A589823:A589873 IW589823:IW589873 SS589823:SS589873 ACO589823:ACO589873 AMK589823:AMK589873 AWG589823:AWG589873 BGC589823:BGC589873 BPY589823:BPY589873 BZU589823:BZU589873 CJQ589823:CJQ589873 CTM589823:CTM589873 DDI589823:DDI589873 DNE589823:DNE589873 DXA589823:DXA589873 EGW589823:EGW589873 EQS589823:EQS589873 FAO589823:FAO589873 FKK589823:FKK589873 FUG589823:FUG589873 GEC589823:GEC589873 GNY589823:GNY589873 GXU589823:GXU589873 HHQ589823:HHQ589873 HRM589823:HRM589873 IBI589823:IBI589873 ILE589823:ILE589873 IVA589823:IVA589873 JEW589823:JEW589873 JOS589823:JOS589873 JYO589823:JYO589873 KIK589823:KIK589873 KSG589823:KSG589873 LCC589823:LCC589873 LLY589823:LLY589873 LVU589823:LVU589873 MFQ589823:MFQ589873 MPM589823:MPM589873 MZI589823:MZI589873 NJE589823:NJE589873 NTA589823:NTA589873 OCW589823:OCW589873 OMS589823:OMS589873 OWO589823:OWO589873 PGK589823:PGK589873 PQG589823:PQG589873 QAC589823:QAC589873 QJY589823:QJY589873 QTU589823:QTU589873 RDQ589823:RDQ589873 RNM589823:RNM589873 RXI589823:RXI589873 SHE589823:SHE589873 SRA589823:SRA589873 TAW589823:TAW589873 TKS589823:TKS589873 TUO589823:TUO589873 UEK589823:UEK589873 UOG589823:UOG589873 UYC589823:UYC589873 VHY589823:VHY589873 VRU589823:VRU589873 WBQ589823:WBQ589873 WLM589823:WLM589873 WVI589823:WVI589873 A655359:A655409 IW655359:IW655409 SS655359:SS655409 ACO655359:ACO655409 AMK655359:AMK655409 AWG655359:AWG655409 BGC655359:BGC655409 BPY655359:BPY655409 BZU655359:BZU655409 CJQ655359:CJQ655409 CTM655359:CTM655409 DDI655359:DDI655409 DNE655359:DNE655409 DXA655359:DXA655409 EGW655359:EGW655409 EQS655359:EQS655409 FAO655359:FAO655409 FKK655359:FKK655409 FUG655359:FUG655409 GEC655359:GEC655409 GNY655359:GNY655409 GXU655359:GXU655409 HHQ655359:HHQ655409 HRM655359:HRM655409 IBI655359:IBI655409 ILE655359:ILE655409 IVA655359:IVA655409 JEW655359:JEW655409 JOS655359:JOS655409 JYO655359:JYO655409 KIK655359:KIK655409 KSG655359:KSG655409 LCC655359:LCC655409 LLY655359:LLY655409 LVU655359:LVU655409 MFQ655359:MFQ655409 MPM655359:MPM655409 MZI655359:MZI655409 NJE655359:NJE655409 NTA655359:NTA655409 OCW655359:OCW655409 OMS655359:OMS655409 OWO655359:OWO655409 PGK655359:PGK655409 PQG655359:PQG655409 QAC655359:QAC655409 QJY655359:QJY655409 QTU655359:QTU655409 RDQ655359:RDQ655409 RNM655359:RNM655409 RXI655359:RXI655409 SHE655359:SHE655409 SRA655359:SRA655409 TAW655359:TAW655409 TKS655359:TKS655409 TUO655359:TUO655409 UEK655359:UEK655409 UOG655359:UOG655409 UYC655359:UYC655409 VHY655359:VHY655409 VRU655359:VRU655409 WBQ655359:WBQ655409 WLM655359:WLM655409 WVI655359:WVI655409 A720895:A720945 IW720895:IW720945 SS720895:SS720945 ACO720895:ACO720945 AMK720895:AMK720945 AWG720895:AWG720945 BGC720895:BGC720945 BPY720895:BPY720945 BZU720895:BZU720945 CJQ720895:CJQ720945 CTM720895:CTM720945 DDI720895:DDI720945 DNE720895:DNE720945 DXA720895:DXA720945 EGW720895:EGW720945 EQS720895:EQS720945 FAO720895:FAO720945 FKK720895:FKK720945 FUG720895:FUG720945 GEC720895:GEC720945 GNY720895:GNY720945 GXU720895:GXU720945 HHQ720895:HHQ720945 HRM720895:HRM720945 IBI720895:IBI720945 ILE720895:ILE720945 IVA720895:IVA720945 JEW720895:JEW720945 JOS720895:JOS720945 JYO720895:JYO720945 KIK720895:KIK720945 KSG720895:KSG720945 LCC720895:LCC720945 LLY720895:LLY720945 LVU720895:LVU720945 MFQ720895:MFQ720945 MPM720895:MPM720945 MZI720895:MZI720945 NJE720895:NJE720945 NTA720895:NTA720945 OCW720895:OCW720945 OMS720895:OMS720945 OWO720895:OWO720945 PGK720895:PGK720945 PQG720895:PQG720945 QAC720895:QAC720945 QJY720895:QJY720945 QTU720895:QTU720945 RDQ720895:RDQ720945 RNM720895:RNM720945 RXI720895:RXI720945 SHE720895:SHE720945 SRA720895:SRA720945 TAW720895:TAW720945 TKS720895:TKS720945 TUO720895:TUO720945 UEK720895:UEK720945 UOG720895:UOG720945 UYC720895:UYC720945 VHY720895:VHY720945 VRU720895:VRU720945 WBQ720895:WBQ720945 WLM720895:WLM720945 WVI720895:WVI720945 A786431:A786481 IW786431:IW786481 SS786431:SS786481 ACO786431:ACO786481 AMK786431:AMK786481 AWG786431:AWG786481 BGC786431:BGC786481 BPY786431:BPY786481 BZU786431:BZU786481 CJQ786431:CJQ786481 CTM786431:CTM786481 DDI786431:DDI786481 DNE786431:DNE786481 DXA786431:DXA786481 EGW786431:EGW786481 EQS786431:EQS786481 FAO786431:FAO786481 FKK786431:FKK786481 FUG786431:FUG786481 GEC786431:GEC786481 GNY786431:GNY786481 GXU786431:GXU786481 HHQ786431:HHQ786481 HRM786431:HRM786481 IBI786431:IBI786481 ILE786431:ILE786481 IVA786431:IVA786481 JEW786431:JEW786481 JOS786431:JOS786481 JYO786431:JYO786481 KIK786431:KIK786481 KSG786431:KSG786481 LCC786431:LCC786481 LLY786431:LLY786481 LVU786431:LVU786481 MFQ786431:MFQ786481 MPM786431:MPM786481 MZI786431:MZI786481 NJE786431:NJE786481 NTA786431:NTA786481 OCW786431:OCW786481 OMS786431:OMS786481 OWO786431:OWO786481 PGK786431:PGK786481 PQG786431:PQG786481 QAC786431:QAC786481 QJY786431:QJY786481 QTU786431:QTU786481 RDQ786431:RDQ786481 RNM786431:RNM786481 RXI786431:RXI786481 SHE786431:SHE786481 SRA786431:SRA786481 TAW786431:TAW786481 TKS786431:TKS786481 TUO786431:TUO786481 UEK786431:UEK786481 UOG786431:UOG786481 UYC786431:UYC786481 VHY786431:VHY786481 VRU786431:VRU786481 WBQ786431:WBQ786481 WLM786431:WLM786481 WVI786431:WVI786481 A851967:A852017 IW851967:IW852017 SS851967:SS852017 ACO851967:ACO852017 AMK851967:AMK852017 AWG851967:AWG852017 BGC851967:BGC852017 BPY851967:BPY852017 BZU851967:BZU852017 CJQ851967:CJQ852017 CTM851967:CTM852017 DDI851967:DDI852017 DNE851967:DNE852017 DXA851967:DXA852017 EGW851967:EGW852017 EQS851967:EQS852017 FAO851967:FAO852017 FKK851967:FKK852017 FUG851967:FUG852017 GEC851967:GEC852017 GNY851967:GNY852017 GXU851967:GXU852017 HHQ851967:HHQ852017 HRM851967:HRM852017 IBI851967:IBI852017 ILE851967:ILE852017 IVA851967:IVA852017 JEW851967:JEW852017 JOS851967:JOS852017 JYO851967:JYO852017 KIK851967:KIK852017 KSG851967:KSG852017 LCC851967:LCC852017 LLY851967:LLY852017 LVU851967:LVU852017 MFQ851967:MFQ852017 MPM851967:MPM852017 MZI851967:MZI852017 NJE851967:NJE852017 NTA851967:NTA852017 OCW851967:OCW852017 OMS851967:OMS852017 OWO851967:OWO852017 PGK851967:PGK852017 PQG851967:PQG852017 QAC851967:QAC852017 QJY851967:QJY852017 QTU851967:QTU852017 RDQ851967:RDQ852017 RNM851967:RNM852017 RXI851967:RXI852017 SHE851967:SHE852017 SRA851967:SRA852017 TAW851967:TAW852017 TKS851967:TKS852017 TUO851967:TUO852017 UEK851967:UEK852017 UOG851967:UOG852017 UYC851967:UYC852017 VHY851967:VHY852017 VRU851967:VRU852017 WBQ851967:WBQ852017 WLM851967:WLM852017 WVI851967:WVI852017 A917503:A917553 IW917503:IW917553 SS917503:SS917553 ACO917503:ACO917553 AMK917503:AMK917553 AWG917503:AWG917553 BGC917503:BGC917553 BPY917503:BPY917553 BZU917503:BZU917553 CJQ917503:CJQ917553 CTM917503:CTM917553 DDI917503:DDI917553 DNE917503:DNE917553 DXA917503:DXA917553 EGW917503:EGW917553 EQS917503:EQS917553 FAO917503:FAO917553 FKK917503:FKK917553 FUG917503:FUG917553 GEC917503:GEC917553 GNY917503:GNY917553 GXU917503:GXU917553 HHQ917503:HHQ917553 HRM917503:HRM917553 IBI917503:IBI917553 ILE917503:ILE917553 IVA917503:IVA917553 JEW917503:JEW917553 JOS917503:JOS917553 JYO917503:JYO917553 KIK917503:KIK917553 KSG917503:KSG917553 LCC917503:LCC917553 LLY917503:LLY917553 LVU917503:LVU917553 MFQ917503:MFQ917553 MPM917503:MPM917553 MZI917503:MZI917553 NJE917503:NJE917553 NTA917503:NTA917553 OCW917503:OCW917553 OMS917503:OMS917553 OWO917503:OWO917553 PGK917503:PGK917553 PQG917503:PQG917553 QAC917503:QAC917553 QJY917503:QJY917553 QTU917503:QTU917553 RDQ917503:RDQ917553 RNM917503:RNM917553 RXI917503:RXI917553 SHE917503:SHE917553 SRA917503:SRA917553 TAW917503:TAW917553 TKS917503:TKS917553 TUO917503:TUO917553 UEK917503:UEK917553 UOG917503:UOG917553 UYC917503:UYC917553 VHY917503:VHY917553 VRU917503:VRU917553 WBQ917503:WBQ917553 WLM917503:WLM917553 WVI917503:WVI917553 A983039:A983089 IW983039:IW983089 SS983039:SS983089 ACO983039:ACO983089 AMK983039:AMK983089 AWG983039:AWG983089 BGC983039:BGC983089 BPY983039:BPY983089 BZU983039:BZU983089 CJQ983039:CJQ983089 CTM983039:CTM983089 DDI983039:DDI983089 DNE983039:DNE983089 DXA983039:DXA983089 EGW983039:EGW983089 EQS983039:EQS983089 FAO983039:FAO983089 FKK983039:FKK983089 FUG983039:FUG983089 GEC983039:GEC983089 GNY983039:GNY983089 GXU983039:GXU983089 HHQ983039:HHQ983089 HRM983039:HRM983089 IBI983039:IBI983089 ILE983039:ILE983089 IVA983039:IVA983089 JEW983039:JEW983089 JOS983039:JOS983089 JYO983039:JYO983089 KIK983039:KIK983089 KSG983039:KSG983089 LCC983039:LCC983089 LLY983039:LLY983089 LVU983039:LVU983089 MFQ983039:MFQ983089 MPM983039:MPM983089 MZI983039:MZI983089 NJE983039:NJE983089 NTA983039:NTA983089 OCW983039:OCW983089 OMS983039:OMS983089 OWO983039:OWO983089 PGK983039:PGK983089 PQG983039:PQG983089 QAC983039:QAC983089 QJY983039:QJY983089 QTU983039:QTU983089 RDQ983039:RDQ983089 RNM983039:RNM983089 RXI983039:RXI983089 SHE983039:SHE983089 SRA983039:SRA983089 TAW983039:TAW983089 TKS983039:TKS983089 TUO983039:TUO983089 UEK983039:UEK983089 UOG983039:UOG983089 UYC983039:UYC983089 VHY983039:VHY983089 VRU983039:VRU983089 WBQ983039:WBQ983089 WLM983039:WLM983089 WVI983039:WVI983089 A6:A65 IW6:IW65 SS6:SS65 ACO6:ACO65 AMK6:AMK65 AWG6:AWG65 BGC6:BGC65 BPY6:BPY65 BZU6:BZU65 CJQ6:CJQ65 CTM6:CTM65 DDI6:DDI65 DNE6:DNE65 DXA6:DXA65 EGW6:EGW65 EQS6:EQS65 FAO6:FAO65 FKK6:FKK65 FUG6:FUG65 GEC6:GEC65 GNY6:GNY65 GXU6:GXU65 HHQ6:HHQ65 HRM6:HRM65 IBI6:IBI65 ILE6:ILE65 IVA6:IVA65 JEW6:JEW65 JOS6:JOS65 JYO6:JYO65 KIK6:KIK65 KSG6:KSG65 LCC6:LCC65 LLY6:LLY65 LVU6:LVU65 MFQ6:MFQ65 MPM6:MPM65 MZI6:MZI65 NJE6:NJE65 NTA6:NTA65 OCW6:OCW65 OMS6:OMS65 OWO6:OWO65 PGK6:PGK65 PQG6:PQG65 QAC6:QAC65 QJY6:QJY65 QTU6:QTU65 RDQ6:RDQ65 RNM6:RNM65 RXI6:RXI65 SHE6:SHE65 SRA6:SRA65 TAW6:TAW65 TKS6:TKS65 TUO6:TUO65 UEK6:UEK65 UOG6:UOG65 UYC6:UYC65 VHY6:VHY65 VRU6:VRU65 WBQ6:WBQ65 WLM6:WLM65 WVI6:WVI65" xr:uid="{00000000-0002-0000-1600-000000000000}">
      <formula1>"0,3,5,7,10,12,15,20,25,30"</formula1>
    </dataValidation>
  </dataValidations>
  <printOptions horizontalCentered="1" verticalCentered="1"/>
  <pageMargins left="0.98425196850393704" right="0.59055118110236227" top="1.1811023622047245" bottom="1.1811023622047245" header="0.39370078740157483" footer="0.39370078740157483"/>
  <pageSetup paperSize="8" scale="75" orientation="landscape" r:id="rId1"/>
  <headerFooter alignWithMargins="0"/>
  <colBreaks count="2" manualBreakCount="2">
    <brk id="18" max="66" man="1"/>
    <brk id="28" max="66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</sheetPr>
  <dimension ref="A2:V88"/>
  <sheetViews>
    <sheetView zoomScaleNormal="100" workbookViewId="0">
      <selection activeCell="B20" sqref="B20"/>
    </sheetView>
  </sheetViews>
  <sheetFormatPr defaultColWidth="9.140625" defaultRowHeight="12.75"/>
  <cols>
    <col min="1" max="1" width="2.7109375" style="677" customWidth="1"/>
    <col min="2" max="2" width="4.7109375" style="677" customWidth="1"/>
    <col min="3" max="3" width="38.140625" style="677" customWidth="1"/>
    <col min="4" max="4" width="9.42578125" style="677" hidden="1" customWidth="1"/>
    <col min="5" max="5" width="7.140625" style="677" hidden="1" customWidth="1"/>
    <col min="6" max="6" width="14.42578125" style="677" hidden="1" customWidth="1"/>
    <col min="7" max="7" width="17.42578125" style="677" hidden="1" customWidth="1"/>
    <col min="8" max="8" width="2.5703125" style="677" hidden="1" customWidth="1"/>
    <col min="9" max="11" width="18.7109375" style="677" customWidth="1"/>
    <col min="12" max="12" width="2.7109375" style="677" customWidth="1"/>
    <col min="13" max="13" width="4.7109375" style="677" customWidth="1"/>
    <col min="14" max="14" width="38.140625" style="677" customWidth="1"/>
    <col min="15" max="15" width="9.42578125" style="677" hidden="1" customWidth="1"/>
    <col min="16" max="16" width="7.140625" style="677" hidden="1" customWidth="1"/>
    <col min="17" max="17" width="14.42578125" style="677" hidden="1" customWidth="1"/>
    <col min="18" max="18" width="17.42578125" style="677" hidden="1" customWidth="1"/>
    <col min="19" max="19" width="2.5703125" style="677" hidden="1" customWidth="1"/>
    <col min="20" max="22" width="18.7109375" style="677" customWidth="1"/>
    <col min="23" max="23" width="2.7109375" style="677" customWidth="1"/>
    <col min="24" max="16384" width="9.140625" style="677"/>
  </cols>
  <sheetData>
    <row r="2" spans="1:22" s="621" customFormat="1" ht="20.100000000000001" customHeight="1">
      <c r="A2" s="619"/>
      <c r="B2" s="1726" t="s">
        <v>462</v>
      </c>
      <c r="C2" s="1726"/>
      <c r="D2" s="1726"/>
      <c r="E2" s="1726"/>
      <c r="F2" s="1726"/>
      <c r="G2" s="1726"/>
      <c r="H2" s="1726"/>
      <c r="I2" s="1726"/>
      <c r="J2" s="1726"/>
      <c r="K2" s="1726"/>
      <c r="M2" s="1726" t="s">
        <v>461</v>
      </c>
      <c r="N2" s="1726"/>
      <c r="O2" s="1726"/>
      <c r="P2" s="1726"/>
      <c r="Q2" s="1726"/>
      <c r="R2" s="1726"/>
      <c r="S2" s="1726"/>
      <c r="T2" s="1726"/>
      <c r="U2" s="1726"/>
      <c r="V2" s="1726"/>
    </row>
    <row r="3" spans="1:22" s="621" customFormat="1" ht="20.100000000000001" customHeight="1">
      <c r="A3" s="619"/>
      <c r="B3" s="618" t="s">
        <v>411</v>
      </c>
      <c r="C3" s="618"/>
      <c r="D3" s="618"/>
      <c r="E3" s="618"/>
      <c r="F3" s="618"/>
      <c r="G3" s="618"/>
      <c r="H3" s="618"/>
      <c r="I3" s="618"/>
      <c r="J3" s="618"/>
      <c r="K3" s="618"/>
      <c r="M3" s="618" t="s">
        <v>411</v>
      </c>
      <c r="N3" s="618"/>
      <c r="O3" s="618"/>
      <c r="P3" s="618"/>
      <c r="Q3" s="618"/>
      <c r="R3" s="618"/>
      <c r="S3" s="618"/>
      <c r="T3" s="618"/>
      <c r="U3" s="618"/>
      <c r="V3" s="618"/>
    </row>
    <row r="4" spans="1:22" s="617" customFormat="1" ht="20.100000000000001" customHeight="1" thickBot="1">
      <c r="A4" s="619"/>
      <c r="B4" s="618" t="s">
        <v>412</v>
      </c>
      <c r="C4" s="618"/>
      <c r="D4" s="618"/>
      <c r="E4" s="618"/>
      <c r="F4" s="618"/>
      <c r="G4" s="618"/>
      <c r="H4" s="618"/>
      <c r="I4" s="618">
        <v>1.1665000000000001</v>
      </c>
      <c r="J4" s="618">
        <v>1.2084999999999999</v>
      </c>
      <c r="K4" s="618">
        <v>1.2431000000000001</v>
      </c>
      <c r="M4" s="618" t="s">
        <v>412</v>
      </c>
      <c r="N4" s="618"/>
      <c r="O4" s="618"/>
      <c r="P4" s="618"/>
      <c r="Q4" s="618"/>
      <c r="R4" s="618"/>
      <c r="S4" s="618"/>
      <c r="T4" s="618">
        <v>1</v>
      </c>
      <c r="U4" s="618"/>
      <c r="V4" s="618"/>
    </row>
    <row r="5" spans="1:22" s="621" customFormat="1" ht="20.100000000000001" customHeight="1" thickBot="1">
      <c r="A5" s="619"/>
      <c r="B5" s="620"/>
      <c r="C5" s="620"/>
      <c r="D5" s="1719"/>
      <c r="E5" s="1719"/>
      <c r="F5" s="1719"/>
      <c r="G5" s="1719"/>
      <c r="H5" s="620"/>
      <c r="I5" s="1720" t="s">
        <v>140</v>
      </c>
      <c r="J5" s="1721"/>
      <c r="K5" s="1722"/>
      <c r="M5" s="620"/>
      <c r="N5" s="620"/>
      <c r="O5" s="1719"/>
      <c r="P5" s="1719"/>
      <c r="Q5" s="1719"/>
      <c r="R5" s="1719"/>
      <c r="S5" s="620"/>
      <c r="T5" s="1720" t="s">
        <v>140</v>
      </c>
      <c r="U5" s="1721"/>
      <c r="V5" s="1722"/>
    </row>
    <row r="6" spans="1:22" s="621" customFormat="1" ht="20.100000000000001" customHeight="1" thickBot="1">
      <c r="A6" s="619"/>
      <c r="B6" s="622"/>
      <c r="C6" s="622"/>
      <c r="D6" s="623" t="s">
        <v>141</v>
      </c>
      <c r="E6" s="624" t="s">
        <v>142</v>
      </c>
      <c r="F6" s="624" t="s">
        <v>143</v>
      </c>
      <c r="G6" s="623" t="s">
        <v>144</v>
      </c>
      <c r="H6" s="622"/>
      <c r="I6" s="625" t="s">
        <v>350</v>
      </c>
      <c r="J6" s="626" t="s">
        <v>351</v>
      </c>
      <c r="K6" s="626" t="s">
        <v>352</v>
      </c>
      <c r="M6" s="622"/>
      <c r="N6" s="622"/>
      <c r="O6" s="623" t="s">
        <v>141</v>
      </c>
      <c r="P6" s="624" t="s">
        <v>142</v>
      </c>
      <c r="Q6" s="624" t="s">
        <v>143</v>
      </c>
      <c r="R6" s="623" t="s">
        <v>144</v>
      </c>
      <c r="S6" s="622"/>
      <c r="T6" s="625" t="s">
        <v>350</v>
      </c>
      <c r="U6" s="626" t="s">
        <v>351</v>
      </c>
      <c r="V6" s="626" t="s">
        <v>352</v>
      </c>
    </row>
    <row r="7" spans="1:22" s="621" customFormat="1" ht="20.100000000000001" customHeight="1" thickBot="1">
      <c r="A7" s="619"/>
      <c r="B7" s="627">
        <v>1</v>
      </c>
      <c r="C7" s="1723" t="s">
        <v>145</v>
      </c>
      <c r="D7" s="1723"/>
      <c r="E7" s="1723"/>
      <c r="F7" s="1724"/>
      <c r="G7" s="628">
        <f>G8+G45+G48+G53</f>
        <v>1707044.9169503159</v>
      </c>
      <c r="H7" s="629"/>
      <c r="I7" s="628">
        <f>I8+I45+I48+I53</f>
        <v>415657.32533219026</v>
      </c>
      <c r="J7" s="628">
        <f>J8+J45+J48+J53</f>
        <v>276066.08191973524</v>
      </c>
      <c r="K7" s="628">
        <f>K8+K45+K48+K53</f>
        <v>179425.64556351057</v>
      </c>
      <c r="M7" s="627">
        <v>1</v>
      </c>
      <c r="N7" s="1723" t="s">
        <v>145</v>
      </c>
      <c r="O7" s="1723"/>
      <c r="P7" s="1723"/>
      <c r="Q7" s="1724"/>
      <c r="R7" s="628">
        <f>R8+R45+R48+R53</f>
        <v>1707044.9169503159</v>
      </c>
      <c r="S7" s="629"/>
      <c r="T7" s="628">
        <f>T8+T45+T48+T53</f>
        <v>484864.2699999999</v>
      </c>
      <c r="U7" s="628">
        <f>U8+U45+U48+U53</f>
        <v>333625.86000000004</v>
      </c>
      <c r="V7" s="628">
        <f>V8+V45+V48+V53</f>
        <v>223044.01999999996</v>
      </c>
    </row>
    <row r="8" spans="1:22" s="621" customFormat="1" ht="20.100000000000001" customHeight="1" thickBot="1">
      <c r="A8" s="619"/>
      <c r="B8" s="678" t="s">
        <v>146</v>
      </c>
      <c r="C8" s="630" t="s">
        <v>147</v>
      </c>
      <c r="D8" s="631"/>
      <c r="E8" s="632"/>
      <c r="F8" s="633"/>
      <c r="G8" s="634">
        <f>SUM(G9:G43)</f>
        <v>443547.83620729996</v>
      </c>
      <c r="H8" s="635"/>
      <c r="I8" s="634">
        <f>I9+I10+I23+I32+I34+I41+I43</f>
        <v>298647.82683240459</v>
      </c>
      <c r="J8" s="634">
        <f>J9+J10+J23+J32+J34+J41+J43</f>
        <v>65491.021928009926</v>
      </c>
      <c r="K8" s="634">
        <f>K9+K10+K23+K32+K34+K41+K43</f>
        <v>113111.25412275761</v>
      </c>
      <c r="M8" s="678" t="s">
        <v>146</v>
      </c>
      <c r="N8" s="630" t="s">
        <v>147</v>
      </c>
      <c r="O8" s="631"/>
      <c r="P8" s="632"/>
      <c r="Q8" s="633"/>
      <c r="R8" s="634">
        <f>SUM(R9:R43)</f>
        <v>443547.83620729996</v>
      </c>
      <c r="S8" s="635"/>
      <c r="T8" s="634">
        <f>T9+T10+T23+T32+T34+T41+T43</f>
        <v>348372.68999999994</v>
      </c>
      <c r="U8" s="634">
        <f t="shared" ref="U8:V8" si="0">U9+U10+U23+U32+U34+U41+U43</f>
        <v>79145.899999999994</v>
      </c>
      <c r="V8" s="634">
        <f t="shared" si="0"/>
        <v>140608.59999999998</v>
      </c>
    </row>
    <row r="9" spans="1:22" s="621" customFormat="1" ht="30" customHeight="1">
      <c r="A9" s="619"/>
      <c r="B9" s="679"/>
      <c r="C9" s="648" t="s">
        <v>248</v>
      </c>
      <c r="D9" s="649">
        <v>1</v>
      </c>
      <c r="E9" s="650" t="s">
        <v>249</v>
      </c>
      <c r="F9" s="650">
        <v>61319.977355847921</v>
      </c>
      <c r="G9" s="651">
        <f>F9*D9</f>
        <v>61319.977355847921</v>
      </c>
      <c r="H9" s="638"/>
      <c r="I9" s="652">
        <f>T9/I$4</f>
        <v>22893.407629661378</v>
      </c>
      <c r="J9" s="650">
        <f>U9/J$4</f>
        <v>0</v>
      </c>
      <c r="K9" s="651">
        <f>V9/K$4</f>
        <v>0</v>
      </c>
      <c r="M9" s="679"/>
      <c r="N9" s="648" t="s">
        <v>248</v>
      </c>
      <c r="O9" s="649">
        <v>1</v>
      </c>
      <c r="P9" s="650" t="s">
        <v>249</v>
      </c>
      <c r="Q9" s="650">
        <v>61319.977355847921</v>
      </c>
      <c r="R9" s="651">
        <f>Q9*O9</f>
        <v>61319.977355847921</v>
      </c>
      <c r="S9" s="638"/>
      <c r="T9" s="652">
        <v>26705.16</v>
      </c>
      <c r="U9" s="650">
        <v>0</v>
      </c>
      <c r="V9" s="651">
        <v>0</v>
      </c>
    </row>
    <row r="10" spans="1:22" s="621" customFormat="1" ht="30" customHeight="1">
      <c r="A10" s="619"/>
      <c r="B10" s="680"/>
      <c r="C10" s="636" t="s">
        <v>413</v>
      </c>
      <c r="D10" s="637">
        <v>1</v>
      </c>
      <c r="E10" s="615" t="s">
        <v>249</v>
      </c>
      <c r="F10" s="615">
        <v>71539.973581822574</v>
      </c>
      <c r="G10" s="616">
        <f>F10*D10</f>
        <v>71539.973581822574</v>
      </c>
      <c r="H10" s="638"/>
      <c r="I10" s="614">
        <f>SUM(I11:I22)</f>
        <v>114824.40634376337</v>
      </c>
      <c r="J10" s="615">
        <f>SUM(J11:J22)</f>
        <v>28287.95200661978</v>
      </c>
      <c r="K10" s="616">
        <f>SUM(K11:K22)</f>
        <v>74885.809669374954</v>
      </c>
      <c r="M10" s="680"/>
      <c r="N10" s="636" t="s">
        <v>413</v>
      </c>
      <c r="O10" s="637">
        <v>1</v>
      </c>
      <c r="P10" s="615" t="s">
        <v>249</v>
      </c>
      <c r="Q10" s="615">
        <v>71539.973581822574</v>
      </c>
      <c r="R10" s="616">
        <f>Q10*O10</f>
        <v>71539.973581822574</v>
      </c>
      <c r="S10" s="638"/>
      <c r="T10" s="614">
        <f>SUM(T11:T22)</f>
        <v>133942.66999999998</v>
      </c>
      <c r="U10" s="615">
        <f t="shared" ref="U10:V10" si="1">SUM(U11:U22)</f>
        <v>34185.99</v>
      </c>
      <c r="V10" s="616">
        <f t="shared" si="1"/>
        <v>93090.549999999988</v>
      </c>
    </row>
    <row r="11" spans="1:22" s="621" customFormat="1">
      <c r="A11" s="619"/>
      <c r="B11" s="681"/>
      <c r="C11" s="682" t="s">
        <v>414</v>
      </c>
      <c r="D11" s="683"/>
      <c r="E11" s="684"/>
      <c r="F11" s="684"/>
      <c r="G11" s="685"/>
      <c r="H11" s="638"/>
      <c r="I11" s="686">
        <f>T11/I$4</f>
        <v>608.65837976853834</v>
      </c>
      <c r="J11" s="684">
        <f>U11/J$4</f>
        <v>0</v>
      </c>
      <c r="K11" s="685">
        <f>V11/K$4</f>
        <v>0</v>
      </c>
      <c r="M11" s="681"/>
      <c r="N11" s="682" t="s">
        <v>414</v>
      </c>
      <c r="O11" s="683"/>
      <c r="P11" s="684"/>
      <c r="Q11" s="684"/>
      <c r="R11" s="685"/>
      <c r="S11" s="638"/>
      <c r="T11" s="686">
        <v>710</v>
      </c>
      <c r="U11" s="684">
        <v>0</v>
      </c>
      <c r="V11" s="685">
        <v>0</v>
      </c>
    </row>
    <row r="12" spans="1:22" s="621" customFormat="1">
      <c r="A12" s="619"/>
      <c r="B12" s="681"/>
      <c r="C12" s="682" t="s">
        <v>415</v>
      </c>
      <c r="D12" s="683"/>
      <c r="E12" s="684"/>
      <c r="F12" s="684"/>
      <c r="G12" s="685"/>
      <c r="H12" s="638"/>
      <c r="I12" s="686">
        <f t="shared" ref="I12:K22" si="2">T12/I$4</f>
        <v>52965.452207458198</v>
      </c>
      <c r="J12" s="684">
        <f t="shared" si="2"/>
        <v>0</v>
      </c>
      <c r="K12" s="685">
        <f t="shared" si="2"/>
        <v>0</v>
      </c>
      <c r="M12" s="681"/>
      <c r="N12" s="682" t="s">
        <v>415</v>
      </c>
      <c r="O12" s="683"/>
      <c r="P12" s="684"/>
      <c r="Q12" s="684"/>
      <c r="R12" s="685"/>
      <c r="S12" s="638"/>
      <c r="T12" s="686">
        <v>61784.2</v>
      </c>
      <c r="U12" s="684">
        <v>0</v>
      </c>
      <c r="V12" s="685">
        <v>0</v>
      </c>
    </row>
    <row r="13" spans="1:22" s="621" customFormat="1">
      <c r="A13" s="619"/>
      <c r="B13" s="681"/>
      <c r="C13" s="682" t="s">
        <v>416</v>
      </c>
      <c r="D13" s="683"/>
      <c r="E13" s="684"/>
      <c r="F13" s="684"/>
      <c r="G13" s="685"/>
      <c r="H13" s="638"/>
      <c r="I13" s="686">
        <f t="shared" si="2"/>
        <v>1414.4877839691383</v>
      </c>
      <c r="J13" s="684">
        <f t="shared" si="2"/>
        <v>0</v>
      </c>
      <c r="K13" s="685">
        <f t="shared" si="2"/>
        <v>0</v>
      </c>
      <c r="M13" s="681"/>
      <c r="N13" s="682" t="s">
        <v>416</v>
      </c>
      <c r="O13" s="683"/>
      <c r="P13" s="684"/>
      <c r="Q13" s="684"/>
      <c r="R13" s="685"/>
      <c r="S13" s="638"/>
      <c r="T13" s="686">
        <v>1650</v>
      </c>
      <c r="U13" s="684">
        <v>0</v>
      </c>
      <c r="V13" s="685">
        <v>0</v>
      </c>
    </row>
    <row r="14" spans="1:22" s="621" customFormat="1">
      <c r="A14" s="619"/>
      <c r="B14" s="681"/>
      <c r="C14" s="682" t="s">
        <v>417</v>
      </c>
      <c r="D14" s="683"/>
      <c r="E14" s="684"/>
      <c r="F14" s="684"/>
      <c r="G14" s="685"/>
      <c r="H14" s="638"/>
      <c r="I14" s="686">
        <f t="shared" si="2"/>
        <v>1978.9969995713673</v>
      </c>
      <c r="J14" s="684">
        <f t="shared" si="2"/>
        <v>0</v>
      </c>
      <c r="K14" s="685">
        <f t="shared" si="2"/>
        <v>0</v>
      </c>
      <c r="M14" s="681"/>
      <c r="N14" s="682" t="s">
        <v>417</v>
      </c>
      <c r="O14" s="683"/>
      <c r="P14" s="684"/>
      <c r="Q14" s="684"/>
      <c r="R14" s="685"/>
      <c r="S14" s="638"/>
      <c r="T14" s="686">
        <v>2308.5</v>
      </c>
      <c r="U14" s="684">
        <v>0</v>
      </c>
      <c r="V14" s="685">
        <v>0</v>
      </c>
    </row>
    <row r="15" spans="1:22" s="621" customFormat="1">
      <c r="A15" s="619"/>
      <c r="B15" s="681"/>
      <c r="C15" s="682" t="s">
        <v>418</v>
      </c>
      <c r="D15" s="683"/>
      <c r="E15" s="684"/>
      <c r="F15" s="684"/>
      <c r="G15" s="685"/>
      <c r="H15" s="638"/>
      <c r="I15" s="686">
        <f t="shared" si="2"/>
        <v>0</v>
      </c>
      <c r="J15" s="684">
        <f t="shared" si="2"/>
        <v>1670.5668183698801</v>
      </c>
      <c r="K15" s="685">
        <f t="shared" si="2"/>
        <v>0</v>
      </c>
      <c r="M15" s="681"/>
      <c r="N15" s="682" t="s">
        <v>418</v>
      </c>
      <c r="O15" s="683"/>
      <c r="P15" s="684"/>
      <c r="Q15" s="684"/>
      <c r="R15" s="685"/>
      <c r="S15" s="638"/>
      <c r="T15" s="686">
        <v>0</v>
      </c>
      <c r="U15" s="684">
        <v>2018.88</v>
      </c>
      <c r="V15" s="685">
        <v>0</v>
      </c>
    </row>
    <row r="16" spans="1:22" s="621" customFormat="1">
      <c r="A16" s="619"/>
      <c r="B16" s="681"/>
      <c r="C16" s="682" t="s">
        <v>419</v>
      </c>
      <c r="D16" s="683"/>
      <c r="E16" s="684"/>
      <c r="F16" s="684"/>
      <c r="G16" s="685"/>
      <c r="H16" s="638"/>
      <c r="I16" s="686">
        <f t="shared" si="2"/>
        <v>0</v>
      </c>
      <c r="J16" s="684">
        <f t="shared" si="2"/>
        <v>7000.4137360364093</v>
      </c>
      <c r="K16" s="685">
        <f t="shared" si="2"/>
        <v>0</v>
      </c>
      <c r="M16" s="681"/>
      <c r="N16" s="682" t="s">
        <v>419</v>
      </c>
      <c r="O16" s="683"/>
      <c r="P16" s="684"/>
      <c r="Q16" s="684"/>
      <c r="R16" s="685"/>
      <c r="S16" s="638"/>
      <c r="T16" s="686">
        <v>0</v>
      </c>
      <c r="U16" s="684">
        <v>8460</v>
      </c>
      <c r="V16" s="685">
        <v>0</v>
      </c>
    </row>
    <row r="17" spans="1:22" s="621" customFormat="1">
      <c r="A17" s="619"/>
      <c r="B17" s="681"/>
      <c r="C17" s="682" t="s">
        <v>420</v>
      </c>
      <c r="D17" s="683"/>
      <c r="E17" s="684"/>
      <c r="F17" s="684"/>
      <c r="G17" s="685"/>
      <c r="H17" s="638"/>
      <c r="I17" s="686">
        <f t="shared" si="2"/>
        <v>0</v>
      </c>
      <c r="J17" s="684">
        <f t="shared" si="2"/>
        <v>0</v>
      </c>
      <c r="K17" s="685">
        <f t="shared" si="2"/>
        <v>4079.1086799131199</v>
      </c>
      <c r="M17" s="681"/>
      <c r="N17" s="682" t="s">
        <v>420</v>
      </c>
      <c r="O17" s="683"/>
      <c r="P17" s="684"/>
      <c r="Q17" s="684"/>
      <c r="R17" s="685"/>
      <c r="S17" s="638"/>
      <c r="T17" s="686">
        <v>0</v>
      </c>
      <c r="U17" s="684">
        <v>0</v>
      </c>
      <c r="V17" s="685">
        <v>5070.74</v>
      </c>
    </row>
    <row r="18" spans="1:22" s="621" customFormat="1">
      <c r="A18" s="619"/>
      <c r="B18" s="687"/>
      <c r="C18" s="688" t="s">
        <v>421</v>
      </c>
      <c r="D18" s="683"/>
      <c r="E18" s="684"/>
      <c r="F18" s="684"/>
      <c r="G18" s="685"/>
      <c r="H18" s="638"/>
      <c r="I18" s="689">
        <f t="shared" si="2"/>
        <v>57856.810972996136</v>
      </c>
      <c r="J18" s="690">
        <f t="shared" si="2"/>
        <v>17385.006206040547</v>
      </c>
      <c r="K18" s="691">
        <f t="shared" si="2"/>
        <v>1418.2286219934035</v>
      </c>
      <c r="M18" s="687"/>
      <c r="N18" s="688" t="s">
        <v>421</v>
      </c>
      <c r="O18" s="683"/>
      <c r="P18" s="684"/>
      <c r="Q18" s="684"/>
      <c r="R18" s="685"/>
      <c r="S18" s="638"/>
      <c r="T18" s="689">
        <v>67489.97</v>
      </c>
      <c r="U18" s="690">
        <v>21009.78</v>
      </c>
      <c r="V18" s="691">
        <v>1763</v>
      </c>
    </row>
    <row r="19" spans="1:22" s="621" customFormat="1">
      <c r="A19" s="619"/>
      <c r="B19" s="687"/>
      <c r="C19" s="688" t="s">
        <v>422</v>
      </c>
      <c r="D19" s="683"/>
      <c r="E19" s="684"/>
      <c r="F19" s="684"/>
      <c r="G19" s="685"/>
      <c r="H19" s="638"/>
      <c r="I19" s="689">
        <f t="shared" si="2"/>
        <v>0</v>
      </c>
      <c r="J19" s="690">
        <f t="shared" si="2"/>
        <v>2231.965246172942</v>
      </c>
      <c r="K19" s="691">
        <f t="shared" si="2"/>
        <v>0</v>
      </c>
      <c r="M19" s="687"/>
      <c r="N19" s="688" t="s">
        <v>422</v>
      </c>
      <c r="O19" s="683"/>
      <c r="P19" s="684"/>
      <c r="Q19" s="684"/>
      <c r="R19" s="685"/>
      <c r="S19" s="638"/>
      <c r="T19" s="689"/>
      <c r="U19" s="690">
        <v>2697.33</v>
      </c>
      <c r="V19" s="691"/>
    </row>
    <row r="20" spans="1:22" s="621" customFormat="1">
      <c r="A20" s="619"/>
      <c r="B20" s="687"/>
      <c r="C20" s="688" t="s">
        <v>423</v>
      </c>
      <c r="D20" s="683"/>
      <c r="E20" s="684"/>
      <c r="F20" s="684"/>
      <c r="G20" s="685"/>
      <c r="H20" s="638"/>
      <c r="I20" s="689">
        <f t="shared" si="2"/>
        <v>0</v>
      </c>
      <c r="J20" s="690">
        <f t="shared" si="2"/>
        <v>0</v>
      </c>
      <c r="K20" s="691">
        <f t="shared" si="2"/>
        <v>10880.862360228461</v>
      </c>
      <c r="M20" s="687"/>
      <c r="N20" s="688" t="s">
        <v>423</v>
      </c>
      <c r="O20" s="683"/>
      <c r="P20" s="684"/>
      <c r="Q20" s="684"/>
      <c r="R20" s="685"/>
      <c r="S20" s="638"/>
      <c r="T20" s="689"/>
      <c r="U20" s="690"/>
      <c r="V20" s="691">
        <v>13526</v>
      </c>
    </row>
    <row r="21" spans="1:22" s="621" customFormat="1">
      <c r="A21" s="619"/>
      <c r="B21" s="692"/>
      <c r="C21" s="693" t="s">
        <v>424</v>
      </c>
      <c r="D21" s="683"/>
      <c r="E21" s="684"/>
      <c r="F21" s="684"/>
      <c r="G21" s="685"/>
      <c r="H21" s="638"/>
      <c r="I21" s="689">
        <f t="shared" si="2"/>
        <v>0</v>
      </c>
      <c r="J21" s="690">
        <f t="shared" si="2"/>
        <v>0</v>
      </c>
      <c r="K21" s="691">
        <f t="shared" si="2"/>
        <v>55889.960582414926</v>
      </c>
      <c r="M21" s="692"/>
      <c r="N21" s="693" t="s">
        <v>424</v>
      </c>
      <c r="O21" s="683"/>
      <c r="P21" s="684"/>
      <c r="Q21" s="684"/>
      <c r="R21" s="685"/>
      <c r="S21" s="638"/>
      <c r="T21" s="689"/>
      <c r="U21" s="690"/>
      <c r="V21" s="691">
        <v>69476.81</v>
      </c>
    </row>
    <row r="22" spans="1:22" s="621" customFormat="1">
      <c r="A22" s="619"/>
      <c r="B22" s="692"/>
      <c r="C22" s="688" t="s">
        <v>425</v>
      </c>
      <c r="D22" s="683"/>
      <c r="E22" s="684"/>
      <c r="F22" s="684"/>
      <c r="G22" s="685"/>
      <c r="H22" s="638"/>
      <c r="I22" s="689">
        <f t="shared" si="2"/>
        <v>0</v>
      </c>
      <c r="J22" s="690">
        <f t="shared" si="2"/>
        <v>0</v>
      </c>
      <c r="K22" s="691">
        <f t="shared" si="2"/>
        <v>2617.6494248250342</v>
      </c>
      <c r="M22" s="692"/>
      <c r="N22" s="688" t="s">
        <v>425</v>
      </c>
      <c r="O22" s="683"/>
      <c r="P22" s="684"/>
      <c r="Q22" s="684"/>
      <c r="R22" s="685"/>
      <c r="S22" s="638"/>
      <c r="T22" s="689"/>
      <c r="U22" s="690"/>
      <c r="V22" s="691">
        <v>3254</v>
      </c>
    </row>
    <row r="23" spans="1:22" s="621" customFormat="1" ht="30" customHeight="1">
      <c r="A23" s="619"/>
      <c r="B23" s="680"/>
      <c r="C23" s="636" t="s">
        <v>250</v>
      </c>
      <c r="D23" s="637">
        <v>1</v>
      </c>
      <c r="E23" s="615" t="s">
        <v>249</v>
      </c>
      <c r="F23" s="615">
        <v>204399.92451949307</v>
      </c>
      <c r="G23" s="616">
        <f t="shared" ref="G23" si="3">F23*D23</f>
        <v>204399.92451949307</v>
      </c>
      <c r="H23" s="638"/>
      <c r="I23" s="614">
        <f>SUM(I24:I31)</f>
        <v>148427.65537933988</v>
      </c>
      <c r="J23" s="615">
        <f>SUM(J24:J31)</f>
        <v>12251.187422424493</v>
      </c>
      <c r="K23" s="616">
        <f>SUM(K24:K31)</f>
        <v>17502.630520473009</v>
      </c>
      <c r="M23" s="680"/>
      <c r="N23" s="636" t="s">
        <v>250</v>
      </c>
      <c r="O23" s="637">
        <v>1</v>
      </c>
      <c r="P23" s="615" t="s">
        <v>249</v>
      </c>
      <c r="Q23" s="615">
        <v>204399.92451949307</v>
      </c>
      <c r="R23" s="616">
        <f t="shared" ref="R23" si="4">Q23*O23</f>
        <v>204399.92451949307</v>
      </c>
      <c r="S23" s="638"/>
      <c r="T23" s="614">
        <f>SUM(T24:T31)</f>
        <v>173140.86</v>
      </c>
      <c r="U23" s="615">
        <f t="shared" ref="U23:V23" si="5">SUM(U24:U31)</f>
        <v>14805.56</v>
      </c>
      <c r="V23" s="616">
        <f t="shared" si="5"/>
        <v>21757.52</v>
      </c>
    </row>
    <row r="24" spans="1:22" s="621" customFormat="1" ht="24">
      <c r="A24" s="619"/>
      <c r="B24" s="681"/>
      <c r="C24" s="682" t="s">
        <v>250</v>
      </c>
      <c r="D24" s="683"/>
      <c r="E24" s="684"/>
      <c r="F24" s="684"/>
      <c r="G24" s="685"/>
      <c r="H24" s="638"/>
      <c r="I24" s="686">
        <f t="shared" ref="I24:K31" si="6">T24/I$4</f>
        <v>108048.8641234462</v>
      </c>
      <c r="J24" s="684">
        <f t="shared" si="6"/>
        <v>0</v>
      </c>
      <c r="K24" s="685">
        <f t="shared" si="6"/>
        <v>0</v>
      </c>
      <c r="M24" s="681"/>
      <c r="N24" s="682" t="s">
        <v>250</v>
      </c>
      <c r="O24" s="683"/>
      <c r="P24" s="684"/>
      <c r="Q24" s="684"/>
      <c r="R24" s="685"/>
      <c r="S24" s="638"/>
      <c r="T24" s="686">
        <v>126039</v>
      </c>
      <c r="U24" s="684">
        <v>0</v>
      </c>
      <c r="V24" s="685">
        <v>0</v>
      </c>
    </row>
    <row r="25" spans="1:22" s="621" customFormat="1">
      <c r="A25" s="619"/>
      <c r="B25" s="687"/>
      <c r="C25" s="688" t="s">
        <v>426</v>
      </c>
      <c r="D25" s="683"/>
      <c r="E25" s="684"/>
      <c r="F25" s="684"/>
      <c r="G25" s="685"/>
      <c r="H25" s="638"/>
      <c r="I25" s="689">
        <f t="shared" si="6"/>
        <v>20266.489498499785</v>
      </c>
      <c r="J25" s="690">
        <f t="shared" si="6"/>
        <v>5253.6201903185774</v>
      </c>
      <c r="K25" s="691">
        <f t="shared" si="6"/>
        <v>1664.3632853350491</v>
      </c>
      <c r="M25" s="687"/>
      <c r="N25" s="688" t="s">
        <v>426</v>
      </c>
      <c r="O25" s="683"/>
      <c r="P25" s="684"/>
      <c r="Q25" s="684"/>
      <c r="R25" s="685"/>
      <c r="S25" s="638"/>
      <c r="T25" s="689">
        <v>23640.86</v>
      </c>
      <c r="U25" s="690">
        <v>6349</v>
      </c>
      <c r="V25" s="691">
        <v>2068.9699999999998</v>
      </c>
    </row>
    <row r="26" spans="1:22" s="621" customFormat="1">
      <c r="A26" s="619"/>
      <c r="B26" s="687"/>
      <c r="C26" s="688" t="s">
        <v>427</v>
      </c>
      <c r="D26" s="683"/>
      <c r="E26" s="684"/>
      <c r="F26" s="684"/>
      <c r="G26" s="685"/>
      <c r="H26" s="638"/>
      <c r="I26" s="689">
        <f t="shared" si="6"/>
        <v>2897.5567938276895</v>
      </c>
      <c r="J26" s="690">
        <f t="shared" si="6"/>
        <v>6997.5672321059164</v>
      </c>
      <c r="K26" s="691">
        <f t="shared" si="6"/>
        <v>0</v>
      </c>
      <c r="M26" s="687"/>
      <c r="N26" s="688" t="s">
        <v>427</v>
      </c>
      <c r="O26" s="683"/>
      <c r="P26" s="684"/>
      <c r="Q26" s="684"/>
      <c r="R26" s="685"/>
      <c r="S26" s="638"/>
      <c r="T26" s="689">
        <v>3380</v>
      </c>
      <c r="U26" s="690">
        <v>8456.56</v>
      </c>
      <c r="V26" s="691">
        <v>0</v>
      </c>
    </row>
    <row r="27" spans="1:22" s="621" customFormat="1">
      <c r="A27" s="619"/>
      <c r="B27" s="681"/>
      <c r="C27" s="682" t="s">
        <v>418</v>
      </c>
      <c r="D27" s="683"/>
      <c r="E27" s="684"/>
      <c r="F27" s="684"/>
      <c r="G27" s="685"/>
      <c r="H27" s="638"/>
      <c r="I27" s="686">
        <f t="shared" si="6"/>
        <v>2700.3857693956279</v>
      </c>
      <c r="J27" s="684">
        <f t="shared" si="6"/>
        <v>0</v>
      </c>
      <c r="K27" s="685">
        <f t="shared" si="6"/>
        <v>0</v>
      </c>
      <c r="M27" s="681"/>
      <c r="N27" s="682" t="s">
        <v>418</v>
      </c>
      <c r="O27" s="683"/>
      <c r="P27" s="684"/>
      <c r="Q27" s="684"/>
      <c r="R27" s="685"/>
      <c r="S27" s="638"/>
      <c r="T27" s="686">
        <v>3150</v>
      </c>
      <c r="U27" s="684">
        <v>0</v>
      </c>
      <c r="V27" s="685">
        <v>0</v>
      </c>
    </row>
    <row r="28" spans="1:22" s="621" customFormat="1">
      <c r="A28" s="619"/>
      <c r="B28" s="681"/>
      <c r="C28" s="682" t="s">
        <v>428</v>
      </c>
      <c r="D28" s="683"/>
      <c r="E28" s="684"/>
      <c r="F28" s="684"/>
      <c r="G28" s="685"/>
      <c r="H28" s="638"/>
      <c r="I28" s="686">
        <f t="shared" si="6"/>
        <v>1795.9708529789968</v>
      </c>
      <c r="J28" s="684">
        <f t="shared" si="6"/>
        <v>0</v>
      </c>
      <c r="K28" s="685">
        <f t="shared" si="6"/>
        <v>0</v>
      </c>
      <c r="M28" s="681"/>
      <c r="N28" s="682" t="s">
        <v>428</v>
      </c>
      <c r="O28" s="683"/>
      <c r="P28" s="684"/>
      <c r="Q28" s="684"/>
      <c r="R28" s="685"/>
      <c r="S28" s="638"/>
      <c r="T28" s="686">
        <v>2095</v>
      </c>
      <c r="U28" s="684">
        <v>0</v>
      </c>
      <c r="V28" s="685">
        <v>0</v>
      </c>
    </row>
    <row r="29" spans="1:22" s="621" customFormat="1">
      <c r="A29" s="619"/>
      <c r="B29" s="681"/>
      <c r="C29" s="682" t="s">
        <v>429</v>
      </c>
      <c r="D29" s="683"/>
      <c r="E29" s="684"/>
      <c r="F29" s="684"/>
      <c r="G29" s="685"/>
      <c r="H29" s="638"/>
      <c r="I29" s="686">
        <f t="shared" si="6"/>
        <v>0</v>
      </c>
      <c r="J29" s="684">
        <f t="shared" si="6"/>
        <v>0</v>
      </c>
      <c r="K29" s="685">
        <f t="shared" si="6"/>
        <v>1544.5257823183974</v>
      </c>
      <c r="M29" s="681"/>
      <c r="N29" s="682" t="s">
        <v>429</v>
      </c>
      <c r="O29" s="683"/>
      <c r="P29" s="684"/>
      <c r="Q29" s="684"/>
      <c r="R29" s="685"/>
      <c r="S29" s="638"/>
      <c r="T29" s="686">
        <v>0</v>
      </c>
      <c r="U29" s="684">
        <v>0</v>
      </c>
      <c r="V29" s="685">
        <v>1920</v>
      </c>
    </row>
    <row r="30" spans="1:22" s="621" customFormat="1">
      <c r="A30" s="619"/>
      <c r="B30" s="681"/>
      <c r="C30" s="682" t="s">
        <v>430</v>
      </c>
      <c r="D30" s="683"/>
      <c r="E30" s="684"/>
      <c r="F30" s="684"/>
      <c r="G30" s="685"/>
      <c r="H30" s="638"/>
      <c r="I30" s="686">
        <f t="shared" si="6"/>
        <v>0</v>
      </c>
      <c r="J30" s="684">
        <f t="shared" si="6"/>
        <v>0</v>
      </c>
      <c r="K30" s="685">
        <f t="shared" si="6"/>
        <v>14293.741452819562</v>
      </c>
      <c r="M30" s="681"/>
      <c r="N30" s="682" t="s">
        <v>430</v>
      </c>
      <c r="O30" s="683"/>
      <c r="P30" s="684"/>
      <c r="Q30" s="684"/>
      <c r="R30" s="685"/>
      <c r="S30" s="638"/>
      <c r="T30" s="686">
        <v>0</v>
      </c>
      <c r="U30" s="684">
        <v>0</v>
      </c>
      <c r="V30" s="685">
        <v>17768.55</v>
      </c>
    </row>
    <row r="31" spans="1:22" s="621" customFormat="1">
      <c r="A31" s="619"/>
      <c r="B31" s="687"/>
      <c r="C31" s="688" t="s">
        <v>431</v>
      </c>
      <c r="D31" s="683"/>
      <c r="E31" s="684"/>
      <c r="F31" s="684"/>
      <c r="G31" s="685"/>
      <c r="H31" s="638"/>
      <c r="I31" s="689">
        <f t="shared" si="6"/>
        <v>12718.388341191598</v>
      </c>
      <c r="J31" s="690">
        <f t="shared" si="6"/>
        <v>0</v>
      </c>
      <c r="K31" s="691">
        <f t="shared" si="6"/>
        <v>0</v>
      </c>
      <c r="M31" s="687"/>
      <c r="N31" s="688" t="s">
        <v>431</v>
      </c>
      <c r="O31" s="683"/>
      <c r="P31" s="684"/>
      <c r="Q31" s="684"/>
      <c r="R31" s="685"/>
      <c r="S31" s="638"/>
      <c r="T31" s="689">
        <v>14836</v>
      </c>
      <c r="U31" s="690"/>
      <c r="V31" s="691"/>
    </row>
    <row r="32" spans="1:22" s="621" customFormat="1" ht="20.100000000000001" customHeight="1">
      <c r="A32" s="619"/>
      <c r="B32" s="680"/>
      <c r="C32" s="636" t="s">
        <v>432</v>
      </c>
      <c r="D32" s="637">
        <v>1</v>
      </c>
      <c r="E32" s="615" t="s">
        <v>249</v>
      </c>
      <c r="F32" s="615">
        <v>76649.971694809894</v>
      </c>
      <c r="G32" s="616">
        <f t="shared" ref="G32" si="7">F32*D32</f>
        <v>76649.971694809894</v>
      </c>
      <c r="H32" s="638"/>
      <c r="I32" s="614">
        <f>SUM(I33)</f>
        <v>1594.5135019288468</v>
      </c>
      <c r="J32" s="615">
        <f>SUM(J33)</f>
        <v>0</v>
      </c>
      <c r="K32" s="616">
        <f>SUM(K33)</f>
        <v>2973.2121309629151</v>
      </c>
      <c r="M32" s="680"/>
      <c r="N32" s="636" t="s">
        <v>432</v>
      </c>
      <c r="O32" s="637">
        <v>1</v>
      </c>
      <c r="P32" s="615" t="s">
        <v>249</v>
      </c>
      <c r="Q32" s="615">
        <v>76649.971694809894</v>
      </c>
      <c r="R32" s="616">
        <f t="shared" ref="R32" si="8">Q32*O32</f>
        <v>76649.971694809894</v>
      </c>
      <c r="S32" s="638"/>
      <c r="T32" s="614">
        <f>SUM(T33)</f>
        <v>1860</v>
      </c>
      <c r="U32" s="615">
        <f t="shared" ref="U32:V32" si="9">SUM(U33)</f>
        <v>0</v>
      </c>
      <c r="V32" s="616">
        <f t="shared" si="9"/>
        <v>3696</v>
      </c>
    </row>
    <row r="33" spans="1:22" s="621" customFormat="1">
      <c r="A33" s="619"/>
      <c r="B33" s="681"/>
      <c r="C33" s="682" t="s">
        <v>433</v>
      </c>
      <c r="D33" s="683"/>
      <c r="E33" s="684"/>
      <c r="F33" s="684"/>
      <c r="G33" s="685"/>
      <c r="H33" s="638"/>
      <c r="I33" s="686">
        <f>T33/I$4</f>
        <v>1594.5135019288468</v>
      </c>
      <c r="J33" s="684">
        <f>U33/J$4</f>
        <v>0</v>
      </c>
      <c r="K33" s="685">
        <f>V33/K$4</f>
        <v>2973.2121309629151</v>
      </c>
      <c r="M33" s="681"/>
      <c r="N33" s="682" t="s">
        <v>433</v>
      </c>
      <c r="O33" s="683"/>
      <c r="P33" s="684"/>
      <c r="Q33" s="684"/>
      <c r="R33" s="685"/>
      <c r="S33" s="638"/>
      <c r="T33" s="686">
        <v>1860</v>
      </c>
      <c r="U33" s="684"/>
      <c r="V33" s="685">
        <v>3696</v>
      </c>
    </row>
    <row r="34" spans="1:22" s="621" customFormat="1" ht="20.100000000000001" customHeight="1">
      <c r="A34" s="619"/>
      <c r="B34" s="680"/>
      <c r="C34" s="636" t="s">
        <v>434</v>
      </c>
      <c r="D34" s="637">
        <v>2</v>
      </c>
      <c r="E34" s="615" t="s">
        <v>142</v>
      </c>
      <c r="F34" s="615">
        <v>7664.9971694809901</v>
      </c>
      <c r="G34" s="616">
        <f t="shared" ref="G34" si="10">F34*D34</f>
        <v>15329.99433896198</v>
      </c>
      <c r="H34" s="638"/>
      <c r="I34" s="614">
        <f>SUM(I35:I40)</f>
        <v>10194.599228461208</v>
      </c>
      <c r="J34" s="615">
        <f>SUM(J35:J40)</f>
        <v>24951.88249896566</v>
      </c>
      <c r="K34" s="616">
        <f>SUM(K35:K40)</f>
        <v>17749.601801946745</v>
      </c>
      <c r="M34" s="680"/>
      <c r="N34" s="636" t="s">
        <v>434</v>
      </c>
      <c r="O34" s="637">
        <v>2</v>
      </c>
      <c r="P34" s="615" t="s">
        <v>142</v>
      </c>
      <c r="Q34" s="615">
        <v>7664.9971694809901</v>
      </c>
      <c r="R34" s="616">
        <f t="shared" ref="R34" si="11">Q34*O34</f>
        <v>15329.99433896198</v>
      </c>
      <c r="S34" s="638"/>
      <c r="T34" s="614">
        <f>SUM(T35:T40)</f>
        <v>11892</v>
      </c>
      <c r="U34" s="615">
        <f t="shared" ref="U34:V34" si="12">SUM(U35:U40)</f>
        <v>30154.35</v>
      </c>
      <c r="V34" s="616">
        <f t="shared" si="12"/>
        <v>22064.53</v>
      </c>
    </row>
    <row r="35" spans="1:22" s="621" customFormat="1">
      <c r="A35" s="619"/>
      <c r="B35" s="681"/>
      <c r="C35" s="682" t="s">
        <v>435</v>
      </c>
      <c r="D35" s="683"/>
      <c r="E35" s="684"/>
      <c r="F35" s="684"/>
      <c r="G35" s="685"/>
      <c r="H35" s="638"/>
      <c r="I35" s="686">
        <f t="shared" ref="I35:K40" si="13">T35/I$4</f>
        <v>5829.4042006000855</v>
      </c>
      <c r="J35" s="684">
        <f t="shared" si="13"/>
        <v>0</v>
      </c>
      <c r="K35" s="685">
        <f t="shared" si="13"/>
        <v>0</v>
      </c>
      <c r="M35" s="681"/>
      <c r="N35" s="682" t="s">
        <v>435</v>
      </c>
      <c r="O35" s="683"/>
      <c r="P35" s="684"/>
      <c r="Q35" s="684"/>
      <c r="R35" s="685"/>
      <c r="S35" s="638"/>
      <c r="T35" s="686">
        <v>6800</v>
      </c>
      <c r="U35" s="684">
        <v>0</v>
      </c>
      <c r="V35" s="685">
        <v>0</v>
      </c>
    </row>
    <row r="36" spans="1:22" s="621" customFormat="1">
      <c r="A36" s="619"/>
      <c r="B36" s="692"/>
      <c r="C36" s="693" t="s">
        <v>436</v>
      </c>
      <c r="D36" s="683"/>
      <c r="E36" s="684"/>
      <c r="F36" s="684"/>
      <c r="G36" s="685"/>
      <c r="H36" s="638"/>
      <c r="I36" s="689">
        <f t="shared" si="13"/>
        <v>0</v>
      </c>
      <c r="J36" s="690">
        <f t="shared" si="13"/>
        <v>21972.983036822508</v>
      </c>
      <c r="K36" s="691">
        <f t="shared" si="13"/>
        <v>1206.6607674362481</v>
      </c>
      <c r="M36" s="692"/>
      <c r="N36" s="693" t="s">
        <v>436</v>
      </c>
      <c r="O36" s="683"/>
      <c r="P36" s="684"/>
      <c r="Q36" s="684"/>
      <c r="R36" s="685"/>
      <c r="S36" s="638"/>
      <c r="T36" s="689">
        <v>0</v>
      </c>
      <c r="U36" s="690">
        <v>26554.35</v>
      </c>
      <c r="V36" s="691">
        <v>1500</v>
      </c>
    </row>
    <row r="37" spans="1:22" s="621" customFormat="1">
      <c r="A37" s="619"/>
      <c r="B37" s="692"/>
      <c r="C37" s="693" t="s">
        <v>437</v>
      </c>
      <c r="D37" s="683"/>
      <c r="E37" s="684"/>
      <c r="F37" s="684"/>
      <c r="G37" s="685"/>
      <c r="H37" s="638"/>
      <c r="I37" s="689">
        <f t="shared" si="13"/>
        <v>0</v>
      </c>
      <c r="J37" s="690">
        <f t="shared" si="13"/>
        <v>0</v>
      </c>
      <c r="K37" s="691">
        <f t="shared" si="13"/>
        <v>6970.0989461829295</v>
      </c>
      <c r="M37" s="692"/>
      <c r="N37" s="693" t="s">
        <v>437</v>
      </c>
      <c r="O37" s="683"/>
      <c r="P37" s="684"/>
      <c r="Q37" s="684"/>
      <c r="R37" s="685"/>
      <c r="S37" s="638"/>
      <c r="T37" s="689">
        <v>0</v>
      </c>
      <c r="U37" s="690">
        <v>0</v>
      </c>
      <c r="V37" s="691">
        <v>8664.5300000000007</v>
      </c>
    </row>
    <row r="38" spans="1:22" s="621" customFormat="1" ht="24">
      <c r="A38" s="619"/>
      <c r="B38" s="692"/>
      <c r="C38" s="693" t="s">
        <v>438</v>
      </c>
      <c r="D38" s="683"/>
      <c r="E38" s="684"/>
      <c r="F38" s="684"/>
      <c r="G38" s="685"/>
      <c r="H38" s="638"/>
      <c r="I38" s="689">
        <f t="shared" si="13"/>
        <v>0</v>
      </c>
      <c r="J38" s="690">
        <f t="shared" si="13"/>
        <v>2978.899462143153</v>
      </c>
      <c r="K38" s="691">
        <f t="shared" si="13"/>
        <v>0</v>
      </c>
      <c r="M38" s="692"/>
      <c r="N38" s="693" t="s">
        <v>438</v>
      </c>
      <c r="O38" s="683"/>
      <c r="P38" s="684"/>
      <c r="Q38" s="684"/>
      <c r="R38" s="685"/>
      <c r="S38" s="638"/>
      <c r="T38" s="689">
        <v>0</v>
      </c>
      <c r="U38" s="690">
        <v>3600</v>
      </c>
      <c r="V38" s="691">
        <v>0</v>
      </c>
    </row>
    <row r="39" spans="1:22" s="621" customFormat="1">
      <c r="A39" s="619"/>
      <c r="B39" s="692"/>
      <c r="C39" s="688" t="s">
        <v>439</v>
      </c>
      <c r="D39" s="683"/>
      <c r="E39" s="684"/>
      <c r="F39" s="684"/>
      <c r="G39" s="685"/>
      <c r="H39" s="638"/>
      <c r="I39" s="689">
        <f t="shared" si="13"/>
        <v>4365.195027861123</v>
      </c>
      <c r="J39" s="690">
        <f t="shared" si="13"/>
        <v>0</v>
      </c>
      <c r="K39" s="691">
        <f t="shared" si="13"/>
        <v>0</v>
      </c>
      <c r="M39" s="692"/>
      <c r="N39" s="688" t="s">
        <v>439</v>
      </c>
      <c r="O39" s="683"/>
      <c r="P39" s="684"/>
      <c r="Q39" s="684"/>
      <c r="R39" s="685"/>
      <c r="S39" s="638"/>
      <c r="T39" s="689">
        <v>5092</v>
      </c>
      <c r="U39" s="690">
        <v>0</v>
      </c>
      <c r="V39" s="691">
        <v>0</v>
      </c>
    </row>
    <row r="40" spans="1:22" s="621" customFormat="1">
      <c r="A40" s="619"/>
      <c r="B40" s="692"/>
      <c r="C40" s="688" t="s">
        <v>440</v>
      </c>
      <c r="D40" s="683"/>
      <c r="E40" s="684"/>
      <c r="F40" s="684"/>
      <c r="G40" s="685"/>
      <c r="H40" s="638"/>
      <c r="I40" s="689">
        <f t="shared" si="13"/>
        <v>0</v>
      </c>
      <c r="J40" s="690">
        <f t="shared" si="13"/>
        <v>0</v>
      </c>
      <c r="K40" s="691">
        <f t="shared" si="13"/>
        <v>9572.8420883275667</v>
      </c>
      <c r="M40" s="692"/>
      <c r="N40" s="688" t="s">
        <v>440</v>
      </c>
      <c r="O40" s="683"/>
      <c r="P40" s="684"/>
      <c r="Q40" s="684"/>
      <c r="R40" s="685"/>
      <c r="S40" s="638"/>
      <c r="T40" s="689">
        <v>0</v>
      </c>
      <c r="U40" s="690">
        <v>0</v>
      </c>
      <c r="V40" s="691">
        <v>11900</v>
      </c>
    </row>
    <row r="41" spans="1:22" s="621" customFormat="1" ht="20.100000000000001" customHeight="1">
      <c r="A41" s="619"/>
      <c r="B41" s="680"/>
      <c r="C41" s="636" t="s">
        <v>441</v>
      </c>
      <c r="D41" s="637">
        <v>2</v>
      </c>
      <c r="E41" s="615" t="s">
        <v>142</v>
      </c>
      <c r="F41" s="615">
        <v>4087.9984903898617</v>
      </c>
      <c r="G41" s="616">
        <f t="shared" ref="G41" si="14">F41*D41</f>
        <v>8175.9969807797233</v>
      </c>
      <c r="H41" s="638"/>
      <c r="I41" s="614">
        <f>SUM(I42)</f>
        <v>713.24474924989283</v>
      </c>
      <c r="J41" s="615">
        <f>SUM(J42)</f>
        <v>0</v>
      </c>
      <c r="K41" s="616">
        <f>SUM(K42)</f>
        <v>0</v>
      </c>
      <c r="M41" s="680"/>
      <c r="N41" s="636" t="s">
        <v>441</v>
      </c>
      <c r="O41" s="637">
        <v>2</v>
      </c>
      <c r="P41" s="615" t="s">
        <v>142</v>
      </c>
      <c r="Q41" s="615">
        <v>4087.9984903898617</v>
      </c>
      <c r="R41" s="616">
        <f t="shared" ref="R41" si="15">Q41*O41</f>
        <v>8175.9969807797233</v>
      </c>
      <c r="S41" s="638"/>
      <c r="T41" s="614">
        <f>SUM(T42)</f>
        <v>832</v>
      </c>
      <c r="U41" s="615">
        <f t="shared" ref="U41:V41" si="16">SUM(U42)</f>
        <v>0</v>
      </c>
      <c r="V41" s="616">
        <f t="shared" si="16"/>
        <v>0</v>
      </c>
    </row>
    <row r="42" spans="1:22" s="621" customFormat="1">
      <c r="A42" s="619"/>
      <c r="B42" s="681"/>
      <c r="C42" s="682" t="s">
        <v>442</v>
      </c>
      <c r="D42" s="683"/>
      <c r="E42" s="684"/>
      <c r="F42" s="684"/>
      <c r="G42" s="685"/>
      <c r="H42" s="638"/>
      <c r="I42" s="686">
        <f>T42/I$4</f>
        <v>713.24474924989283</v>
      </c>
      <c r="J42" s="684">
        <f>U42/J$4</f>
        <v>0</v>
      </c>
      <c r="K42" s="685">
        <f>V42/K$4</f>
        <v>0</v>
      </c>
      <c r="M42" s="681"/>
      <c r="N42" s="682" t="s">
        <v>442</v>
      </c>
      <c r="O42" s="683"/>
      <c r="P42" s="684"/>
      <c r="Q42" s="684"/>
      <c r="R42" s="685"/>
      <c r="S42" s="638"/>
      <c r="T42" s="686">
        <v>832</v>
      </c>
      <c r="U42" s="684"/>
      <c r="V42" s="685"/>
    </row>
    <row r="43" spans="1:22" s="621" customFormat="1" ht="20.100000000000001" customHeight="1" thickBot="1">
      <c r="A43" s="619"/>
      <c r="B43" s="694"/>
      <c r="C43" s="695" t="s">
        <v>443</v>
      </c>
      <c r="D43" s="696">
        <v>3</v>
      </c>
      <c r="E43" s="643" t="s">
        <v>142</v>
      </c>
      <c r="F43" s="643">
        <v>2043.9992451949308</v>
      </c>
      <c r="G43" s="644">
        <f t="shared" ref="G43" si="17">F43*D43</f>
        <v>6131.9977355847923</v>
      </c>
      <c r="H43" s="638"/>
      <c r="I43" s="642">
        <v>0</v>
      </c>
      <c r="J43" s="643">
        <v>0</v>
      </c>
      <c r="K43" s="644">
        <v>0</v>
      </c>
      <c r="M43" s="694"/>
      <c r="N43" s="695" t="s">
        <v>443</v>
      </c>
      <c r="O43" s="696">
        <v>3</v>
      </c>
      <c r="P43" s="643" t="s">
        <v>142</v>
      </c>
      <c r="Q43" s="643">
        <v>2043.9992451949308</v>
      </c>
      <c r="R43" s="644">
        <f t="shared" ref="R43" si="18">Q43*O43</f>
        <v>6131.9977355847923</v>
      </c>
      <c r="S43" s="638"/>
      <c r="T43" s="642">
        <v>0</v>
      </c>
      <c r="U43" s="643">
        <v>0</v>
      </c>
      <c r="V43" s="644">
        <v>0</v>
      </c>
    </row>
    <row r="44" spans="1:22" s="621" customFormat="1" ht="13.5" thickBot="1">
      <c r="A44" s="619"/>
      <c r="B44" s="697"/>
      <c r="C44" s="698"/>
      <c r="D44" s="699"/>
      <c r="E44" s="700"/>
      <c r="F44" s="700"/>
      <c r="G44" s="700"/>
      <c r="H44" s="701"/>
      <c r="I44" s="700"/>
      <c r="J44" s="700"/>
      <c r="K44" s="700"/>
      <c r="M44" s="697"/>
      <c r="N44" s="698"/>
      <c r="O44" s="699"/>
      <c r="P44" s="700"/>
      <c r="Q44" s="700"/>
      <c r="R44" s="700"/>
      <c r="S44" s="701"/>
      <c r="T44" s="700"/>
      <c r="U44" s="700"/>
      <c r="V44" s="700"/>
    </row>
    <row r="45" spans="1:22" s="621" customFormat="1" ht="20.100000000000001" customHeight="1" thickBot="1">
      <c r="A45" s="619"/>
      <c r="B45" s="702" t="s">
        <v>148</v>
      </c>
      <c r="C45" s="703" t="s">
        <v>149</v>
      </c>
      <c r="D45" s="704"/>
      <c r="E45" s="647"/>
      <c r="F45" s="647"/>
      <c r="G45" s="705">
        <f>SUM(G46:G46)</f>
        <v>0</v>
      </c>
      <c r="H45" s="635"/>
      <c r="I45" s="706">
        <f>I46</f>
        <v>0</v>
      </c>
      <c r="J45" s="647">
        <f>J46</f>
        <v>0</v>
      </c>
      <c r="K45" s="705">
        <f>K46</f>
        <v>0</v>
      </c>
      <c r="M45" s="702" t="s">
        <v>148</v>
      </c>
      <c r="N45" s="703" t="s">
        <v>149</v>
      </c>
      <c r="O45" s="704"/>
      <c r="P45" s="647"/>
      <c r="Q45" s="647"/>
      <c r="R45" s="705">
        <f>SUM(R46:R46)</f>
        <v>0</v>
      </c>
      <c r="S45" s="635"/>
      <c r="T45" s="706">
        <f>T46</f>
        <v>0</v>
      </c>
      <c r="U45" s="647">
        <f>U46</f>
        <v>0</v>
      </c>
      <c r="V45" s="705">
        <f>V46</f>
        <v>0</v>
      </c>
    </row>
    <row r="46" spans="1:22" s="621" customFormat="1" ht="20.100000000000001" customHeight="1" thickBot="1">
      <c r="A46" s="619"/>
      <c r="B46" s="707"/>
      <c r="C46" s="708"/>
      <c r="D46" s="639"/>
      <c r="E46" s="640"/>
      <c r="F46" s="640"/>
      <c r="G46" s="641"/>
      <c r="H46" s="638"/>
      <c r="I46" s="658">
        <f>T46/I$4</f>
        <v>0</v>
      </c>
      <c r="J46" s="640">
        <f>U46/J$4</f>
        <v>0</v>
      </c>
      <c r="K46" s="641">
        <f>V46/K$4</f>
        <v>0</v>
      </c>
      <c r="M46" s="707"/>
      <c r="N46" s="708"/>
      <c r="O46" s="639"/>
      <c r="P46" s="640"/>
      <c r="Q46" s="640"/>
      <c r="R46" s="641"/>
      <c r="S46" s="638"/>
      <c r="T46" s="658">
        <v>0</v>
      </c>
      <c r="U46" s="640">
        <v>0</v>
      </c>
      <c r="V46" s="641">
        <v>0</v>
      </c>
    </row>
    <row r="47" spans="1:22" s="621" customFormat="1" ht="20.100000000000001" customHeight="1" thickBot="1">
      <c r="A47" s="619"/>
      <c r="B47" s="620"/>
      <c r="C47" s="620"/>
      <c r="D47" s="620"/>
      <c r="E47" s="645"/>
      <c r="F47" s="645"/>
      <c r="G47" s="645"/>
      <c r="H47" s="620"/>
      <c r="I47" s="700"/>
      <c r="J47" s="700"/>
      <c r="K47" s="700"/>
      <c r="M47" s="620"/>
      <c r="N47" s="620"/>
      <c r="O47" s="620"/>
      <c r="P47" s="645"/>
      <c r="Q47" s="645"/>
      <c r="R47" s="645"/>
      <c r="S47" s="620"/>
      <c r="T47" s="700"/>
      <c r="U47" s="700"/>
      <c r="V47" s="700"/>
    </row>
    <row r="48" spans="1:22" s="621" customFormat="1" ht="20.100000000000001" customHeight="1" thickBot="1">
      <c r="A48" s="619"/>
      <c r="B48" s="702" t="s">
        <v>150</v>
      </c>
      <c r="C48" s="664" t="s">
        <v>151</v>
      </c>
      <c r="D48" s="709"/>
      <c r="E48" s="647"/>
      <c r="F48" s="710"/>
      <c r="G48" s="628">
        <f>SUM(G49:G51)</f>
        <v>181915.93282234881</v>
      </c>
      <c r="H48" s="711"/>
      <c r="I48" s="628">
        <f>I49+I50</f>
        <v>0</v>
      </c>
      <c r="J48" s="628">
        <f>J49+J50</f>
        <v>195290.85643359539</v>
      </c>
      <c r="K48" s="628">
        <f>K49+K50</f>
        <v>0</v>
      </c>
      <c r="M48" s="702" t="s">
        <v>150</v>
      </c>
      <c r="N48" s="664" t="s">
        <v>151</v>
      </c>
      <c r="O48" s="709"/>
      <c r="P48" s="647"/>
      <c r="Q48" s="710"/>
      <c r="R48" s="628">
        <f>SUM(R49:R51)</f>
        <v>181915.93282234881</v>
      </c>
      <c r="S48" s="711"/>
      <c r="T48" s="628">
        <f>T49+T50</f>
        <v>0</v>
      </c>
      <c r="U48" s="628">
        <f>U49+U50</f>
        <v>236009</v>
      </c>
      <c r="V48" s="628">
        <f>V49+V50</f>
        <v>0</v>
      </c>
    </row>
    <row r="49" spans="1:22" s="621" customFormat="1" ht="20.100000000000001" customHeight="1">
      <c r="A49" s="619"/>
      <c r="B49" s="712"/>
      <c r="C49" s="648" t="s">
        <v>444</v>
      </c>
      <c r="D49" s="649">
        <v>7</v>
      </c>
      <c r="E49" s="650" t="s">
        <v>142</v>
      </c>
      <c r="F49" s="650">
        <v>4087.9984903898612</v>
      </c>
      <c r="G49" s="651">
        <f t="shared" ref="G49:G50" si="19">F49*D49</f>
        <v>28615.989432729028</v>
      </c>
      <c r="H49" s="638"/>
      <c r="I49" s="652">
        <f>T49/I$4</f>
        <v>0</v>
      </c>
      <c r="J49" s="650">
        <f>U49/J$4</f>
        <v>0</v>
      </c>
      <c r="K49" s="651">
        <f>V49/K$4</f>
        <v>0</v>
      </c>
      <c r="M49" s="712"/>
      <c r="N49" s="648" t="s">
        <v>444</v>
      </c>
      <c r="O49" s="649">
        <v>7</v>
      </c>
      <c r="P49" s="650" t="s">
        <v>142</v>
      </c>
      <c r="Q49" s="650">
        <v>4087.9984903898612</v>
      </c>
      <c r="R49" s="651">
        <f t="shared" ref="R49:R50" si="20">Q49*O49</f>
        <v>28615.989432729028</v>
      </c>
      <c r="S49" s="638"/>
      <c r="T49" s="652">
        <v>0</v>
      </c>
      <c r="U49" s="650">
        <v>0</v>
      </c>
      <c r="V49" s="651">
        <v>0</v>
      </c>
    </row>
    <row r="50" spans="1:22" s="621" customFormat="1" ht="20.100000000000001" customHeight="1">
      <c r="A50" s="619"/>
      <c r="B50" s="713"/>
      <c r="C50" s="657" t="s">
        <v>445</v>
      </c>
      <c r="D50" s="637">
        <v>1</v>
      </c>
      <c r="E50" s="615" t="s">
        <v>249</v>
      </c>
      <c r="F50" s="615">
        <v>153299.94338961979</v>
      </c>
      <c r="G50" s="616">
        <f t="shared" si="19"/>
        <v>153299.94338961979</v>
      </c>
      <c r="H50" s="638"/>
      <c r="I50" s="614">
        <f>I51</f>
        <v>0</v>
      </c>
      <c r="J50" s="615">
        <f>J51</f>
        <v>195290.85643359539</v>
      </c>
      <c r="K50" s="616">
        <f>K51</f>
        <v>0</v>
      </c>
      <c r="M50" s="713"/>
      <c r="N50" s="657" t="s">
        <v>445</v>
      </c>
      <c r="O50" s="637">
        <v>1</v>
      </c>
      <c r="P50" s="615" t="s">
        <v>249</v>
      </c>
      <c r="Q50" s="615">
        <v>153299.94338961979</v>
      </c>
      <c r="R50" s="616">
        <f t="shared" si="20"/>
        <v>153299.94338961979</v>
      </c>
      <c r="S50" s="638"/>
      <c r="T50" s="614">
        <f>T51</f>
        <v>0</v>
      </c>
      <c r="U50" s="615">
        <f>U51</f>
        <v>236009</v>
      </c>
      <c r="V50" s="616">
        <f>V51</f>
        <v>0</v>
      </c>
    </row>
    <row r="51" spans="1:22" s="621" customFormat="1" ht="13.5" thickBot="1">
      <c r="A51" s="619"/>
      <c r="B51" s="707"/>
      <c r="C51" s="714" t="s">
        <v>446</v>
      </c>
      <c r="D51" s="715"/>
      <c r="E51" s="716"/>
      <c r="F51" s="716"/>
      <c r="G51" s="717"/>
      <c r="H51" s="718"/>
      <c r="I51" s="719">
        <f>T51/I$4</f>
        <v>0</v>
      </c>
      <c r="J51" s="716">
        <f>U51/J$4</f>
        <v>195290.85643359539</v>
      </c>
      <c r="K51" s="717">
        <f>V51/K$4</f>
        <v>0</v>
      </c>
      <c r="M51" s="707"/>
      <c r="N51" s="714" t="s">
        <v>446</v>
      </c>
      <c r="O51" s="715"/>
      <c r="P51" s="716"/>
      <c r="Q51" s="716"/>
      <c r="R51" s="717"/>
      <c r="S51" s="718"/>
      <c r="T51" s="719"/>
      <c r="U51" s="716">
        <v>236009</v>
      </c>
      <c r="V51" s="717"/>
    </row>
    <row r="52" spans="1:22" s="621" customFormat="1" ht="20.100000000000001" customHeight="1" thickBot="1">
      <c r="A52" s="619"/>
      <c r="B52" s="620"/>
      <c r="C52" s="654"/>
      <c r="D52" s="655"/>
      <c r="E52" s="645"/>
      <c r="F52" s="645"/>
      <c r="G52" s="645"/>
      <c r="H52" s="638"/>
      <c r="I52" s="646"/>
      <c r="J52" s="646"/>
      <c r="K52" s="646"/>
      <c r="M52" s="620"/>
      <c r="N52" s="654"/>
      <c r="O52" s="655"/>
      <c r="P52" s="645"/>
      <c r="Q52" s="645"/>
      <c r="R52" s="645"/>
      <c r="S52" s="638"/>
      <c r="T52" s="646"/>
      <c r="U52" s="646"/>
      <c r="V52" s="646"/>
    </row>
    <row r="53" spans="1:22" s="621" customFormat="1" ht="20.100000000000001" customHeight="1" thickBot="1">
      <c r="A53" s="619"/>
      <c r="B53" s="702" t="s">
        <v>152</v>
      </c>
      <c r="C53" s="720" t="s">
        <v>153</v>
      </c>
      <c r="D53" s="721"/>
      <c r="E53" s="656"/>
      <c r="F53" s="656"/>
      <c r="G53" s="628">
        <f>SUM(G54:G60)</f>
        <v>1081581.1479206672</v>
      </c>
      <c r="H53" s="635"/>
      <c r="I53" s="628">
        <f>I54+I59+I60</f>
        <v>117009.49849978567</v>
      </c>
      <c r="J53" s="628">
        <f>J54+J59+J60</f>
        <v>15284.203558129915</v>
      </c>
      <c r="K53" s="628">
        <f>K54+K59+K60</f>
        <v>66314.391440752952</v>
      </c>
      <c r="M53" s="702" t="s">
        <v>152</v>
      </c>
      <c r="N53" s="720" t="s">
        <v>153</v>
      </c>
      <c r="O53" s="721"/>
      <c r="P53" s="656"/>
      <c r="Q53" s="656"/>
      <c r="R53" s="628">
        <f>SUM(R54:R60)</f>
        <v>1081581.1479206672</v>
      </c>
      <c r="S53" s="635"/>
      <c r="T53" s="628">
        <f>T54+T59+T60</f>
        <v>136491.57999999999</v>
      </c>
      <c r="U53" s="628">
        <f t="shared" ref="U53:V53" si="21">U54+U59+U60</f>
        <v>18470.96</v>
      </c>
      <c r="V53" s="628">
        <f t="shared" si="21"/>
        <v>82435.42</v>
      </c>
    </row>
    <row r="54" spans="1:22" s="621" customFormat="1" ht="20.100000000000001" customHeight="1">
      <c r="A54" s="619"/>
      <c r="B54" s="712"/>
      <c r="C54" s="648" t="s">
        <v>447</v>
      </c>
      <c r="D54" s="649">
        <v>1</v>
      </c>
      <c r="E54" s="650" t="s">
        <v>249</v>
      </c>
      <c r="F54" s="650">
        <v>124683.95395689078</v>
      </c>
      <c r="G54" s="651">
        <f t="shared" ref="G54" si="22">F54*D54</f>
        <v>124683.95395689078</v>
      </c>
      <c r="H54" s="638"/>
      <c r="I54" s="652">
        <f>I55+I56+I57+I58</f>
        <v>91059.039862837541</v>
      </c>
      <c r="J54" s="650">
        <f>J55+J56+J57+J58</f>
        <v>15284.203558129915</v>
      </c>
      <c r="K54" s="651">
        <f>K55+K56+K57+K58</f>
        <v>25068.602686831306</v>
      </c>
      <c r="M54" s="712"/>
      <c r="N54" s="648" t="s">
        <v>447</v>
      </c>
      <c r="O54" s="649">
        <v>1</v>
      </c>
      <c r="P54" s="650" t="s">
        <v>249</v>
      </c>
      <c r="Q54" s="650">
        <v>124683.95395689078</v>
      </c>
      <c r="R54" s="651">
        <f t="shared" ref="R54" si="23">Q54*O54</f>
        <v>124683.95395689078</v>
      </c>
      <c r="S54" s="638"/>
      <c r="T54" s="652">
        <f>T55+T56+T57+T58</f>
        <v>106220.37</v>
      </c>
      <c r="U54" s="650">
        <f t="shared" ref="U54:V54" si="24">U55+U56+U57+U58</f>
        <v>18470.96</v>
      </c>
      <c r="V54" s="651">
        <f t="shared" si="24"/>
        <v>31162.78</v>
      </c>
    </row>
    <row r="55" spans="1:22" s="621" customFormat="1">
      <c r="A55" s="619"/>
      <c r="B55" s="687"/>
      <c r="C55" s="722" t="s">
        <v>251</v>
      </c>
      <c r="D55" s="723"/>
      <c r="E55" s="724"/>
      <c r="F55" s="724"/>
      <c r="G55" s="725"/>
      <c r="H55" s="638"/>
      <c r="I55" s="726">
        <f t="shared" ref="I55:K60" si="25">T55/I$4</f>
        <v>77103.163309044146</v>
      </c>
      <c r="J55" s="724">
        <f t="shared" si="25"/>
        <v>0</v>
      </c>
      <c r="K55" s="725">
        <f t="shared" si="25"/>
        <v>0</v>
      </c>
      <c r="M55" s="687"/>
      <c r="N55" s="722" t="s">
        <v>251</v>
      </c>
      <c r="O55" s="723"/>
      <c r="P55" s="724"/>
      <c r="Q55" s="724"/>
      <c r="R55" s="725"/>
      <c r="S55" s="638"/>
      <c r="T55" s="726">
        <v>89940.84</v>
      </c>
      <c r="U55" s="724">
        <v>0</v>
      </c>
      <c r="V55" s="725">
        <v>0</v>
      </c>
    </row>
    <row r="56" spans="1:22" s="621" customFormat="1">
      <c r="A56" s="619"/>
      <c r="B56" s="687"/>
      <c r="C56" s="693" t="s">
        <v>448</v>
      </c>
      <c r="D56" s="683"/>
      <c r="E56" s="684"/>
      <c r="F56" s="684"/>
      <c r="G56" s="685"/>
      <c r="H56" s="638"/>
      <c r="I56" s="686">
        <f t="shared" si="25"/>
        <v>8962.7089584226305</v>
      </c>
      <c r="J56" s="684">
        <f t="shared" si="25"/>
        <v>0</v>
      </c>
      <c r="K56" s="685">
        <f t="shared" si="25"/>
        <v>6555.6109725685783</v>
      </c>
      <c r="M56" s="687"/>
      <c r="N56" s="693" t="s">
        <v>448</v>
      </c>
      <c r="O56" s="683"/>
      <c r="P56" s="684"/>
      <c r="Q56" s="684"/>
      <c r="R56" s="685"/>
      <c r="S56" s="638"/>
      <c r="T56" s="686">
        <v>10455</v>
      </c>
      <c r="U56" s="684">
        <v>0</v>
      </c>
      <c r="V56" s="685">
        <v>8149.28</v>
      </c>
    </row>
    <row r="57" spans="1:22" s="621" customFormat="1">
      <c r="A57" s="619"/>
      <c r="B57" s="687"/>
      <c r="C57" s="693" t="s">
        <v>449</v>
      </c>
      <c r="D57" s="683"/>
      <c r="E57" s="684"/>
      <c r="F57" s="684"/>
      <c r="G57" s="685"/>
      <c r="H57" s="638"/>
      <c r="I57" s="686">
        <f t="shared" si="25"/>
        <v>0</v>
      </c>
      <c r="J57" s="684">
        <f t="shared" si="25"/>
        <v>12913.818783616054</v>
      </c>
      <c r="K57" s="685">
        <f t="shared" si="25"/>
        <v>12024.897433834767</v>
      </c>
      <c r="M57" s="687"/>
      <c r="N57" s="693" t="s">
        <v>449</v>
      </c>
      <c r="O57" s="683"/>
      <c r="P57" s="684"/>
      <c r="Q57" s="684"/>
      <c r="R57" s="685"/>
      <c r="S57" s="638"/>
      <c r="T57" s="686"/>
      <c r="U57" s="684">
        <v>15606.35</v>
      </c>
      <c r="V57" s="685">
        <v>14948.15</v>
      </c>
    </row>
    <row r="58" spans="1:22" s="621" customFormat="1">
      <c r="A58" s="619"/>
      <c r="B58" s="687"/>
      <c r="C58" s="693" t="s">
        <v>450</v>
      </c>
      <c r="D58" s="683"/>
      <c r="E58" s="684"/>
      <c r="F58" s="684"/>
      <c r="G58" s="685"/>
      <c r="H58" s="638"/>
      <c r="I58" s="686">
        <f t="shared" si="25"/>
        <v>4993.1675953707663</v>
      </c>
      <c r="J58" s="684">
        <f t="shared" si="25"/>
        <v>2370.3847745138605</v>
      </c>
      <c r="K58" s="685">
        <f t="shared" si="25"/>
        <v>6488.0942804279621</v>
      </c>
      <c r="M58" s="687"/>
      <c r="N58" s="693" t="s">
        <v>450</v>
      </c>
      <c r="O58" s="683"/>
      <c r="P58" s="684"/>
      <c r="Q58" s="684"/>
      <c r="R58" s="685"/>
      <c r="S58" s="638"/>
      <c r="T58" s="686">
        <v>5824.53</v>
      </c>
      <c r="U58" s="684">
        <v>2864.61</v>
      </c>
      <c r="V58" s="685">
        <v>8065.35</v>
      </c>
    </row>
    <row r="59" spans="1:22" s="621" customFormat="1" ht="30" customHeight="1">
      <c r="A59" s="619"/>
      <c r="B59" s="687"/>
      <c r="C59" s="657" t="s">
        <v>252</v>
      </c>
      <c r="D59" s="637">
        <v>205</v>
      </c>
      <c r="E59" s="615" t="s">
        <v>142</v>
      </c>
      <c r="F59" s="615">
        <v>112.10254821896351</v>
      </c>
      <c r="G59" s="616">
        <f t="shared" ref="G59" si="26">F59*D59</f>
        <v>22981.022384887518</v>
      </c>
      <c r="H59" s="638"/>
      <c r="I59" s="614">
        <f t="shared" si="25"/>
        <v>25950.458636948133</v>
      </c>
      <c r="J59" s="615">
        <f t="shared" si="25"/>
        <v>0</v>
      </c>
      <c r="K59" s="616">
        <f t="shared" si="25"/>
        <v>0</v>
      </c>
      <c r="M59" s="687"/>
      <c r="N59" s="657" t="s">
        <v>252</v>
      </c>
      <c r="O59" s="637">
        <v>205</v>
      </c>
      <c r="P59" s="615" t="s">
        <v>142</v>
      </c>
      <c r="Q59" s="615">
        <v>112.10254821896351</v>
      </c>
      <c r="R59" s="616">
        <f t="shared" ref="R59" si="27">Q59*O59</f>
        <v>22981.022384887518</v>
      </c>
      <c r="S59" s="638"/>
      <c r="T59" s="614">
        <v>30271.21</v>
      </c>
      <c r="U59" s="615">
        <v>0</v>
      </c>
      <c r="V59" s="616">
        <v>0</v>
      </c>
    </row>
    <row r="60" spans="1:22" s="621" customFormat="1" ht="20.100000000000001" customHeight="1" thickBot="1">
      <c r="A60" s="619"/>
      <c r="B60" s="707"/>
      <c r="C60" s="653" t="s">
        <v>253</v>
      </c>
      <c r="D60" s="639">
        <v>1</v>
      </c>
      <c r="E60" s="640" t="s">
        <v>249</v>
      </c>
      <c r="F60" s="640">
        <v>933916.17157888901</v>
      </c>
      <c r="G60" s="641">
        <f>F60*D60</f>
        <v>933916.17157888901</v>
      </c>
      <c r="H60" s="638"/>
      <c r="I60" s="658">
        <f t="shared" si="25"/>
        <v>0</v>
      </c>
      <c r="J60" s="640">
        <f t="shared" si="25"/>
        <v>0</v>
      </c>
      <c r="K60" s="641">
        <f t="shared" si="25"/>
        <v>41245.788753921646</v>
      </c>
      <c r="M60" s="707"/>
      <c r="N60" s="653" t="s">
        <v>253</v>
      </c>
      <c r="O60" s="639">
        <v>1</v>
      </c>
      <c r="P60" s="640" t="s">
        <v>249</v>
      </c>
      <c r="Q60" s="640">
        <v>933916.17157888901</v>
      </c>
      <c r="R60" s="641">
        <f>Q60*O60</f>
        <v>933916.17157888901</v>
      </c>
      <c r="S60" s="638"/>
      <c r="T60" s="658">
        <v>0</v>
      </c>
      <c r="U60" s="640">
        <v>0</v>
      </c>
      <c r="V60" s="641">
        <v>51272.639999999999</v>
      </c>
    </row>
    <row r="61" spans="1:22" s="621" customFormat="1" ht="20.100000000000001" customHeight="1" thickBot="1">
      <c r="A61" s="619"/>
      <c r="B61" s="620"/>
      <c r="C61" s="620"/>
      <c r="D61" s="620"/>
      <c r="E61" s="645"/>
      <c r="F61" s="645"/>
      <c r="G61" s="645"/>
      <c r="H61" s="659"/>
      <c r="I61" s="646"/>
      <c r="J61" s="646"/>
      <c r="K61" s="646"/>
      <c r="M61" s="620"/>
      <c r="N61" s="620"/>
      <c r="O61" s="620"/>
      <c r="P61" s="645"/>
      <c r="Q61" s="645"/>
      <c r="R61" s="645"/>
      <c r="S61" s="659"/>
      <c r="T61" s="646"/>
      <c r="U61" s="646"/>
      <c r="V61" s="646"/>
    </row>
    <row r="62" spans="1:22" s="621" customFormat="1" ht="20.100000000000001" customHeight="1" thickBot="1">
      <c r="A62" s="619"/>
      <c r="B62" s="660">
        <v>2</v>
      </c>
      <c r="C62" s="661" t="s">
        <v>406</v>
      </c>
      <c r="D62" s="662"/>
      <c r="E62" s="662"/>
      <c r="F62" s="663"/>
      <c r="G62" s="628">
        <f>G63+G72</f>
        <v>11154759.051174706</v>
      </c>
      <c r="H62" s="629"/>
      <c r="I62" s="628">
        <f>I63+I72</f>
        <v>60636.090870124302</v>
      </c>
      <c r="J62" s="628">
        <f>J63+J72</f>
        <v>25899.54489035995</v>
      </c>
      <c r="K62" s="628">
        <f>K63+K72</f>
        <v>143833.93934518541</v>
      </c>
      <c r="M62" s="660">
        <v>2</v>
      </c>
      <c r="N62" s="661" t="s">
        <v>406</v>
      </c>
      <c r="O62" s="662"/>
      <c r="P62" s="662"/>
      <c r="Q62" s="663"/>
      <c r="R62" s="628">
        <f>R63+R72</f>
        <v>11154759.051174706</v>
      </c>
      <c r="S62" s="629"/>
      <c r="T62" s="628">
        <f>T63+T72</f>
        <v>70732</v>
      </c>
      <c r="U62" s="628">
        <f>U63+U72</f>
        <v>31299.600000000002</v>
      </c>
      <c r="V62" s="628">
        <f>V63+V72</f>
        <v>178799.97</v>
      </c>
    </row>
    <row r="63" spans="1:22" s="621" customFormat="1" ht="20.100000000000001" customHeight="1" thickBot="1">
      <c r="A63" s="619"/>
      <c r="B63" s="702" t="s">
        <v>154</v>
      </c>
      <c r="C63" s="664" t="s">
        <v>155</v>
      </c>
      <c r="D63" s="662"/>
      <c r="E63" s="656"/>
      <c r="F63" s="663"/>
      <c r="G63" s="628">
        <f>SUM(G64:G70)</f>
        <v>480675.90338495118</v>
      </c>
      <c r="H63" s="635"/>
      <c r="I63" s="628">
        <f>I64+I66+I70</f>
        <v>22756.965280754393</v>
      </c>
      <c r="J63" s="628">
        <f>J64+J66+J70</f>
        <v>25327.596193628466</v>
      </c>
      <c r="K63" s="628">
        <f>K64+K66+K70</f>
        <v>27827.865819322658</v>
      </c>
      <c r="M63" s="702" t="s">
        <v>154</v>
      </c>
      <c r="N63" s="664" t="s">
        <v>155</v>
      </c>
      <c r="O63" s="662"/>
      <c r="P63" s="656"/>
      <c r="Q63" s="663"/>
      <c r="R63" s="628">
        <f>SUM(R64:R70)</f>
        <v>480675.90338495118</v>
      </c>
      <c r="S63" s="635"/>
      <c r="T63" s="628">
        <f>T64+T66+T70</f>
        <v>26546</v>
      </c>
      <c r="U63" s="628">
        <f t="shared" ref="U63:V63" si="28">U64+U66+U70</f>
        <v>30608.400000000001</v>
      </c>
      <c r="V63" s="628">
        <f t="shared" si="28"/>
        <v>34592.82</v>
      </c>
    </row>
    <row r="64" spans="1:22" s="621" customFormat="1" ht="20.100000000000001" customHeight="1">
      <c r="A64" s="619"/>
      <c r="B64" s="692"/>
      <c r="C64" s="648" t="s">
        <v>451</v>
      </c>
      <c r="D64" s="649">
        <v>166</v>
      </c>
      <c r="E64" s="650" t="s">
        <v>142</v>
      </c>
      <c r="F64" s="650">
        <v>200</v>
      </c>
      <c r="G64" s="651">
        <f>F64*D64</f>
        <v>33200</v>
      </c>
      <c r="H64" s="638"/>
      <c r="I64" s="652">
        <f>I65</f>
        <v>0</v>
      </c>
      <c r="J64" s="650">
        <f>J65</f>
        <v>9135.2916839056688</v>
      </c>
      <c r="K64" s="651">
        <f>K65</f>
        <v>13302.509854396265</v>
      </c>
      <c r="M64" s="692"/>
      <c r="N64" s="648" t="s">
        <v>451</v>
      </c>
      <c r="O64" s="649">
        <v>166</v>
      </c>
      <c r="P64" s="650" t="s">
        <v>142</v>
      </c>
      <c r="Q64" s="650">
        <v>200</v>
      </c>
      <c r="R64" s="651">
        <f>Q64*O64</f>
        <v>33200</v>
      </c>
      <c r="S64" s="638"/>
      <c r="T64" s="652">
        <f>T65</f>
        <v>0</v>
      </c>
      <c r="U64" s="650">
        <f>U65</f>
        <v>11040</v>
      </c>
      <c r="V64" s="651">
        <f>V65</f>
        <v>16536.349999999999</v>
      </c>
    </row>
    <row r="65" spans="1:22" s="621" customFormat="1">
      <c r="A65" s="619"/>
      <c r="B65" s="692"/>
      <c r="C65" s="693" t="s">
        <v>452</v>
      </c>
      <c r="D65" s="683"/>
      <c r="E65" s="684"/>
      <c r="F65" s="684"/>
      <c r="G65" s="685"/>
      <c r="H65" s="638"/>
      <c r="I65" s="686">
        <f>T65/I$4</f>
        <v>0</v>
      </c>
      <c r="J65" s="684">
        <f>U65/J$4</f>
        <v>9135.2916839056688</v>
      </c>
      <c r="K65" s="685">
        <f>V65/K$4</f>
        <v>13302.509854396265</v>
      </c>
      <c r="M65" s="692"/>
      <c r="N65" s="693" t="s">
        <v>452</v>
      </c>
      <c r="O65" s="683"/>
      <c r="P65" s="684"/>
      <c r="Q65" s="684"/>
      <c r="R65" s="685"/>
      <c r="S65" s="638"/>
      <c r="T65" s="686">
        <v>0</v>
      </c>
      <c r="U65" s="684">
        <v>11040</v>
      </c>
      <c r="V65" s="685">
        <v>16536.349999999999</v>
      </c>
    </row>
    <row r="66" spans="1:22" s="621" customFormat="1" ht="20.100000000000001" customHeight="1">
      <c r="A66" s="619"/>
      <c r="B66" s="692"/>
      <c r="C66" s="665" t="s">
        <v>453</v>
      </c>
      <c r="D66" s="637">
        <v>1822</v>
      </c>
      <c r="E66" s="615" t="s">
        <v>254</v>
      </c>
      <c r="F66" s="615">
        <v>102</v>
      </c>
      <c r="G66" s="616">
        <f>F66*D66</f>
        <v>185844</v>
      </c>
      <c r="H66" s="638"/>
      <c r="I66" s="614">
        <f>SUM(I67:I69)</f>
        <v>22756.965280754393</v>
      </c>
      <c r="J66" s="615">
        <f>SUM(J67:J69)</f>
        <v>16192.304509722799</v>
      </c>
      <c r="K66" s="616">
        <f>SUM(K67:K69)</f>
        <v>14525.355964926393</v>
      </c>
      <c r="M66" s="692"/>
      <c r="N66" s="665" t="s">
        <v>453</v>
      </c>
      <c r="O66" s="637">
        <v>1822</v>
      </c>
      <c r="P66" s="615" t="s">
        <v>254</v>
      </c>
      <c r="Q66" s="615">
        <v>102</v>
      </c>
      <c r="R66" s="616">
        <f>Q66*O66</f>
        <v>185844</v>
      </c>
      <c r="S66" s="638"/>
      <c r="T66" s="614">
        <f>SUM(T67:T69)</f>
        <v>26546</v>
      </c>
      <c r="U66" s="615">
        <f>SUM(U67:U69)</f>
        <v>19568.400000000001</v>
      </c>
      <c r="V66" s="616">
        <f>SUM(V67:V69)</f>
        <v>18056.47</v>
      </c>
    </row>
    <row r="67" spans="1:22" s="621" customFormat="1">
      <c r="A67" s="619"/>
      <c r="B67" s="692"/>
      <c r="C67" s="688" t="s">
        <v>453</v>
      </c>
      <c r="D67" s="683"/>
      <c r="E67" s="684"/>
      <c r="F67" s="684"/>
      <c r="G67" s="685"/>
      <c r="H67" s="718"/>
      <c r="I67" s="686">
        <f t="shared" ref="I67:K70" si="29">T67/I$4</f>
        <v>0</v>
      </c>
      <c r="J67" s="684">
        <f t="shared" si="29"/>
        <v>0</v>
      </c>
      <c r="K67" s="685">
        <f t="shared" si="29"/>
        <v>14525.355964926393</v>
      </c>
      <c r="M67" s="692"/>
      <c r="N67" s="688" t="s">
        <v>453</v>
      </c>
      <c r="O67" s="683"/>
      <c r="P67" s="684"/>
      <c r="Q67" s="684"/>
      <c r="R67" s="685"/>
      <c r="S67" s="718"/>
      <c r="T67" s="686"/>
      <c r="U67" s="684"/>
      <c r="V67" s="685">
        <v>18056.47</v>
      </c>
    </row>
    <row r="68" spans="1:22" s="621" customFormat="1" ht="24">
      <c r="A68" s="619"/>
      <c r="B68" s="692"/>
      <c r="C68" s="693" t="s">
        <v>454</v>
      </c>
      <c r="D68" s="683"/>
      <c r="E68" s="684"/>
      <c r="F68" s="684"/>
      <c r="G68" s="685"/>
      <c r="H68" s="638"/>
      <c r="I68" s="686">
        <f t="shared" si="29"/>
        <v>0</v>
      </c>
      <c r="J68" s="684">
        <f t="shared" si="29"/>
        <v>16192.304509722799</v>
      </c>
      <c r="K68" s="685">
        <f t="shared" si="29"/>
        <v>0</v>
      </c>
      <c r="M68" s="692"/>
      <c r="N68" s="693" t="s">
        <v>454</v>
      </c>
      <c r="O68" s="683"/>
      <c r="P68" s="684"/>
      <c r="Q68" s="684"/>
      <c r="R68" s="685"/>
      <c r="S68" s="638"/>
      <c r="T68" s="686">
        <v>0</v>
      </c>
      <c r="U68" s="684">
        <v>19568.400000000001</v>
      </c>
      <c r="V68" s="685">
        <v>0</v>
      </c>
    </row>
    <row r="69" spans="1:22" s="621" customFormat="1">
      <c r="A69" s="619"/>
      <c r="B69" s="692"/>
      <c r="C69" s="693" t="s">
        <v>455</v>
      </c>
      <c r="D69" s="683"/>
      <c r="E69" s="684"/>
      <c r="F69" s="684"/>
      <c r="G69" s="685"/>
      <c r="H69" s="638"/>
      <c r="I69" s="686">
        <f t="shared" si="29"/>
        <v>22756.965280754393</v>
      </c>
      <c r="J69" s="684">
        <f t="shared" si="29"/>
        <v>0</v>
      </c>
      <c r="K69" s="685">
        <f t="shared" si="29"/>
        <v>0</v>
      </c>
      <c r="M69" s="692"/>
      <c r="N69" s="693" t="s">
        <v>455</v>
      </c>
      <c r="O69" s="683"/>
      <c r="P69" s="684"/>
      <c r="Q69" s="684"/>
      <c r="R69" s="685"/>
      <c r="S69" s="638"/>
      <c r="T69" s="686">
        <v>26546</v>
      </c>
      <c r="U69" s="684">
        <v>0</v>
      </c>
      <c r="V69" s="685">
        <v>0</v>
      </c>
    </row>
    <row r="70" spans="1:22" s="621" customFormat="1" ht="30" customHeight="1" thickBot="1">
      <c r="A70" s="619"/>
      <c r="B70" s="707"/>
      <c r="C70" s="653" t="s">
        <v>456</v>
      </c>
      <c r="D70" s="639">
        <v>1</v>
      </c>
      <c r="E70" s="640" t="s">
        <v>142</v>
      </c>
      <c r="F70" s="640">
        <v>261631.90338495115</v>
      </c>
      <c r="G70" s="641">
        <f>F70*D70</f>
        <v>261631.90338495115</v>
      </c>
      <c r="H70" s="638"/>
      <c r="I70" s="658">
        <f t="shared" si="29"/>
        <v>0</v>
      </c>
      <c r="J70" s="640">
        <f t="shared" si="29"/>
        <v>0</v>
      </c>
      <c r="K70" s="641">
        <f t="shared" si="29"/>
        <v>0</v>
      </c>
      <c r="M70" s="707"/>
      <c r="N70" s="653" t="s">
        <v>456</v>
      </c>
      <c r="O70" s="639">
        <v>1</v>
      </c>
      <c r="P70" s="640" t="s">
        <v>142</v>
      </c>
      <c r="Q70" s="640">
        <v>261631.90338495115</v>
      </c>
      <c r="R70" s="641">
        <f>Q70*O70</f>
        <v>261631.90338495115</v>
      </c>
      <c r="S70" s="638"/>
      <c r="T70" s="658">
        <v>0</v>
      </c>
      <c r="U70" s="640">
        <v>0</v>
      </c>
      <c r="V70" s="641">
        <v>0</v>
      </c>
    </row>
    <row r="71" spans="1:22" s="621" customFormat="1" ht="20.100000000000001" customHeight="1" thickBot="1">
      <c r="A71" s="619"/>
      <c r="B71" s="620"/>
      <c r="C71" s="620"/>
      <c r="D71" s="620"/>
      <c r="E71" s="645"/>
      <c r="F71" s="645"/>
      <c r="G71" s="645"/>
      <c r="H71" s="620"/>
      <c r="I71" s="646"/>
      <c r="J71" s="646"/>
      <c r="K71" s="646"/>
      <c r="M71" s="620"/>
      <c r="N71" s="620"/>
      <c r="O71" s="620"/>
      <c r="P71" s="645"/>
      <c r="Q71" s="645"/>
      <c r="R71" s="645"/>
      <c r="S71" s="620"/>
      <c r="T71" s="646"/>
      <c r="U71" s="646"/>
      <c r="V71" s="646"/>
    </row>
    <row r="72" spans="1:22" s="621" customFormat="1" ht="20.100000000000001" customHeight="1" thickBot="1">
      <c r="A72" s="619"/>
      <c r="B72" s="727" t="s">
        <v>156</v>
      </c>
      <c r="C72" s="666" t="s">
        <v>157</v>
      </c>
      <c r="D72" s="667"/>
      <c r="E72" s="668"/>
      <c r="F72" s="669"/>
      <c r="G72" s="634">
        <f>SUM(G73:G78)</f>
        <v>10674083.147789754</v>
      </c>
      <c r="H72" s="728"/>
      <c r="I72" s="634">
        <f>I73+I74+I75+I76+I77+I78</f>
        <v>37879.125589369905</v>
      </c>
      <c r="J72" s="634">
        <f>J73+J74+J75+J76+J77+J78</f>
        <v>571.94869673148537</v>
      </c>
      <c r="K72" s="634">
        <f>K73+K74+K75+K76+K77+K78</f>
        <v>116006.07352586275</v>
      </c>
      <c r="M72" s="727" t="s">
        <v>156</v>
      </c>
      <c r="N72" s="666" t="s">
        <v>157</v>
      </c>
      <c r="O72" s="667"/>
      <c r="P72" s="668"/>
      <c r="Q72" s="669"/>
      <c r="R72" s="634">
        <f>SUM(R73:R78)</f>
        <v>10674083.147789754</v>
      </c>
      <c r="S72" s="728"/>
      <c r="T72" s="634">
        <f>T73+T74+T75+T76+T77+T78</f>
        <v>44186</v>
      </c>
      <c r="U72" s="634">
        <f t="shared" ref="U72:V72" si="30">U73+U74+U75+U76+U77+U78</f>
        <v>691.2</v>
      </c>
      <c r="V72" s="634">
        <f t="shared" si="30"/>
        <v>144207.15</v>
      </c>
    </row>
    <row r="73" spans="1:22" s="621" customFormat="1" ht="20.100000000000001" customHeight="1">
      <c r="A73" s="619"/>
      <c r="B73" s="712"/>
      <c r="C73" s="648" t="s">
        <v>457</v>
      </c>
      <c r="D73" s="649">
        <v>1987</v>
      </c>
      <c r="E73" s="650" t="s">
        <v>142</v>
      </c>
      <c r="F73" s="650">
        <v>204</v>
      </c>
      <c r="G73" s="651">
        <f>F73*D73</f>
        <v>405348</v>
      </c>
      <c r="H73" s="638"/>
      <c r="I73" s="652">
        <f t="shared" ref="I73:K78" si="31">T73/I$4</f>
        <v>0</v>
      </c>
      <c r="J73" s="650">
        <f t="shared" si="31"/>
        <v>0</v>
      </c>
      <c r="K73" s="651">
        <f t="shared" si="31"/>
        <v>0</v>
      </c>
      <c r="M73" s="712"/>
      <c r="N73" s="648" t="s">
        <v>457</v>
      </c>
      <c r="O73" s="649">
        <v>1987</v>
      </c>
      <c r="P73" s="650" t="s">
        <v>142</v>
      </c>
      <c r="Q73" s="650">
        <v>204</v>
      </c>
      <c r="R73" s="651">
        <f>Q73*O73</f>
        <v>405348</v>
      </c>
      <c r="S73" s="638"/>
      <c r="T73" s="652">
        <v>0</v>
      </c>
      <c r="U73" s="650">
        <v>0</v>
      </c>
      <c r="V73" s="651">
        <v>0</v>
      </c>
    </row>
    <row r="74" spans="1:22" s="621" customFormat="1" ht="30" customHeight="1">
      <c r="A74" s="619"/>
      <c r="B74" s="687"/>
      <c r="C74" s="657" t="s">
        <v>458</v>
      </c>
      <c r="D74" s="637">
        <v>8189</v>
      </c>
      <c r="E74" s="615" t="s">
        <v>254</v>
      </c>
      <c r="F74" s="615">
        <v>305</v>
      </c>
      <c r="G74" s="616">
        <f>F74*D74</f>
        <v>2497645</v>
      </c>
      <c r="H74" s="670"/>
      <c r="I74" s="614">
        <f t="shared" si="31"/>
        <v>37879.125589369905</v>
      </c>
      <c r="J74" s="615">
        <f t="shared" si="31"/>
        <v>571.94869673148537</v>
      </c>
      <c r="K74" s="616">
        <f t="shared" si="31"/>
        <v>9420.8028316306008</v>
      </c>
      <c r="M74" s="687"/>
      <c r="N74" s="657" t="s">
        <v>458</v>
      </c>
      <c r="O74" s="637">
        <v>8189</v>
      </c>
      <c r="P74" s="615" t="s">
        <v>254</v>
      </c>
      <c r="Q74" s="615">
        <v>305</v>
      </c>
      <c r="R74" s="616">
        <f>Q74*O74</f>
        <v>2497645</v>
      </c>
      <c r="S74" s="670"/>
      <c r="T74" s="614">
        <v>44186</v>
      </c>
      <c r="U74" s="615">
        <v>691.2</v>
      </c>
      <c r="V74" s="616">
        <v>11711</v>
      </c>
    </row>
    <row r="75" spans="1:22" s="621" customFormat="1" ht="20.100000000000001" customHeight="1">
      <c r="A75" s="619"/>
      <c r="B75" s="687"/>
      <c r="C75" s="657" t="s">
        <v>407</v>
      </c>
      <c r="D75" s="637">
        <v>3500</v>
      </c>
      <c r="E75" s="615" t="s">
        <v>254</v>
      </c>
      <c r="F75" s="615">
        <v>357.69986790911287</v>
      </c>
      <c r="G75" s="616">
        <f t="shared" ref="G75:G77" si="32">F75*D75</f>
        <v>1251949.5376818951</v>
      </c>
      <c r="H75" s="670"/>
      <c r="I75" s="614">
        <f t="shared" si="31"/>
        <v>0</v>
      </c>
      <c r="J75" s="615">
        <f t="shared" si="31"/>
        <v>0</v>
      </c>
      <c r="K75" s="616">
        <f t="shared" si="31"/>
        <v>106585.27069423215</v>
      </c>
      <c r="L75" s="671"/>
      <c r="M75" s="687"/>
      <c r="N75" s="657" t="s">
        <v>407</v>
      </c>
      <c r="O75" s="637">
        <v>3500</v>
      </c>
      <c r="P75" s="615" t="s">
        <v>254</v>
      </c>
      <c r="Q75" s="615">
        <v>357.69986790911287</v>
      </c>
      <c r="R75" s="616">
        <f t="shared" ref="R75:R77" si="33">Q75*O75</f>
        <v>1251949.5376818951</v>
      </c>
      <c r="S75" s="670"/>
      <c r="T75" s="614">
        <v>0</v>
      </c>
      <c r="U75" s="615">
        <v>0</v>
      </c>
      <c r="V75" s="616">
        <v>132496.15</v>
      </c>
    </row>
    <row r="76" spans="1:22" s="621" customFormat="1" ht="39.950000000000003" customHeight="1">
      <c r="A76" s="619"/>
      <c r="B76" s="687"/>
      <c r="C76" s="657" t="s">
        <v>459</v>
      </c>
      <c r="D76" s="637">
        <v>1</v>
      </c>
      <c r="E76" s="615" t="s">
        <v>249</v>
      </c>
      <c r="F76" s="615">
        <v>1353127.5003190441</v>
      </c>
      <c r="G76" s="616">
        <f t="shared" si="32"/>
        <v>1353127.5003190441</v>
      </c>
      <c r="H76" s="670"/>
      <c r="I76" s="614">
        <f t="shared" si="31"/>
        <v>0</v>
      </c>
      <c r="J76" s="729">
        <f t="shared" si="31"/>
        <v>0</v>
      </c>
      <c r="K76" s="616">
        <f t="shared" si="31"/>
        <v>0</v>
      </c>
      <c r="M76" s="687"/>
      <c r="N76" s="657" t="s">
        <v>459</v>
      </c>
      <c r="O76" s="637">
        <v>1</v>
      </c>
      <c r="P76" s="615" t="s">
        <v>249</v>
      </c>
      <c r="Q76" s="615">
        <v>1353127.5003190441</v>
      </c>
      <c r="R76" s="616">
        <f t="shared" si="33"/>
        <v>1353127.5003190441</v>
      </c>
      <c r="S76" s="670"/>
      <c r="T76" s="614">
        <v>0</v>
      </c>
      <c r="U76" s="729">
        <v>0</v>
      </c>
      <c r="V76" s="616">
        <v>0</v>
      </c>
    </row>
    <row r="77" spans="1:22" s="621" customFormat="1" ht="30" customHeight="1">
      <c r="A77" s="619"/>
      <c r="B77" s="687"/>
      <c r="C77" s="657" t="s">
        <v>408</v>
      </c>
      <c r="D77" s="637">
        <v>1</v>
      </c>
      <c r="E77" s="615" t="s">
        <v>249</v>
      </c>
      <c r="F77" s="615">
        <v>3366998.7545716399</v>
      </c>
      <c r="G77" s="616">
        <f t="shared" si="32"/>
        <v>3366998.7545716399</v>
      </c>
      <c r="H77" s="670"/>
      <c r="I77" s="614">
        <f t="shared" si="31"/>
        <v>0</v>
      </c>
      <c r="J77" s="672">
        <f t="shared" si="31"/>
        <v>0</v>
      </c>
      <c r="K77" s="616">
        <f t="shared" si="31"/>
        <v>0</v>
      </c>
      <c r="M77" s="687"/>
      <c r="N77" s="657" t="s">
        <v>408</v>
      </c>
      <c r="O77" s="637">
        <v>1</v>
      </c>
      <c r="P77" s="615" t="s">
        <v>249</v>
      </c>
      <c r="Q77" s="615">
        <v>3366998.7545716399</v>
      </c>
      <c r="R77" s="616">
        <f t="shared" si="33"/>
        <v>3366998.7545716399</v>
      </c>
      <c r="S77" s="670"/>
      <c r="T77" s="614">
        <v>0</v>
      </c>
      <c r="U77" s="672">
        <v>0</v>
      </c>
      <c r="V77" s="616">
        <v>0</v>
      </c>
    </row>
    <row r="78" spans="1:22" s="621" customFormat="1" ht="30" customHeight="1" thickBot="1">
      <c r="A78" s="619"/>
      <c r="B78" s="707"/>
      <c r="C78" s="653" t="s">
        <v>460</v>
      </c>
      <c r="D78" s="639">
        <v>6</v>
      </c>
      <c r="E78" s="640" t="s">
        <v>142</v>
      </c>
      <c r="F78" s="640">
        <v>299835.72586952901</v>
      </c>
      <c r="G78" s="641">
        <f>F78*D78</f>
        <v>1799014.3552171742</v>
      </c>
      <c r="H78" s="670"/>
      <c r="I78" s="658">
        <f t="shared" si="31"/>
        <v>0</v>
      </c>
      <c r="J78" s="640">
        <f t="shared" si="31"/>
        <v>0</v>
      </c>
      <c r="K78" s="641">
        <f t="shared" si="31"/>
        <v>0</v>
      </c>
      <c r="M78" s="707"/>
      <c r="N78" s="653" t="s">
        <v>460</v>
      </c>
      <c r="O78" s="639">
        <v>6</v>
      </c>
      <c r="P78" s="640" t="s">
        <v>142</v>
      </c>
      <c r="Q78" s="640">
        <v>299835.72586952901</v>
      </c>
      <c r="R78" s="641">
        <f>Q78*O78</f>
        <v>1799014.3552171742</v>
      </c>
      <c r="S78" s="670"/>
      <c r="T78" s="658">
        <v>0</v>
      </c>
      <c r="U78" s="640">
        <v>0</v>
      </c>
      <c r="V78" s="641">
        <v>0</v>
      </c>
    </row>
    <row r="79" spans="1:22" s="621" customFormat="1" ht="20.100000000000001" customHeight="1" thickBot="1">
      <c r="A79" s="619"/>
      <c r="B79" s="620"/>
      <c r="C79" s="654"/>
      <c r="D79" s="655"/>
      <c r="E79" s="645"/>
      <c r="F79" s="645"/>
      <c r="G79" s="645"/>
      <c r="H79" s="638"/>
      <c r="I79" s="646"/>
      <c r="J79" s="646"/>
      <c r="K79" s="646"/>
      <c r="M79" s="620"/>
      <c r="N79" s="654"/>
      <c r="O79" s="655"/>
      <c r="P79" s="645"/>
      <c r="Q79" s="645"/>
      <c r="R79" s="645"/>
      <c r="S79" s="638"/>
      <c r="T79" s="646"/>
      <c r="U79" s="646"/>
      <c r="V79" s="646"/>
    </row>
    <row r="80" spans="1:22" s="621" customFormat="1" ht="20.100000000000001" customHeight="1" thickBot="1">
      <c r="A80" s="619"/>
      <c r="B80" s="660">
        <v>3</v>
      </c>
      <c r="C80" s="661" t="s">
        <v>409</v>
      </c>
      <c r="D80" s="662"/>
      <c r="E80" s="662"/>
      <c r="F80" s="663"/>
      <c r="G80" s="628">
        <f>G81</f>
        <v>471541.57864446042</v>
      </c>
      <c r="H80" s="629"/>
      <c r="I80" s="628">
        <f>I81</f>
        <v>87023.583369052707</v>
      </c>
      <c r="J80" s="628">
        <f>J81</f>
        <v>43673.537443111301</v>
      </c>
      <c r="K80" s="628">
        <f>K81</f>
        <v>85663.1968465932</v>
      </c>
      <c r="M80" s="660">
        <v>3</v>
      </c>
      <c r="N80" s="661" t="s">
        <v>409</v>
      </c>
      <c r="O80" s="662"/>
      <c r="P80" s="662"/>
      <c r="Q80" s="663"/>
      <c r="R80" s="628">
        <f>R81</f>
        <v>471541.57864446042</v>
      </c>
      <c r="S80" s="629"/>
      <c r="T80" s="628">
        <f>T81</f>
        <v>101513.01</v>
      </c>
      <c r="U80" s="628">
        <f>U81</f>
        <v>52779.47</v>
      </c>
      <c r="V80" s="628">
        <f>V81</f>
        <v>106487.92</v>
      </c>
    </row>
    <row r="81" spans="1:22" s="621" customFormat="1" ht="20.100000000000001" customHeight="1" thickBot="1">
      <c r="A81" s="619"/>
      <c r="B81" s="702" t="s">
        <v>158</v>
      </c>
      <c r="C81" s="673" t="s">
        <v>159</v>
      </c>
      <c r="D81" s="662"/>
      <c r="E81" s="656"/>
      <c r="F81" s="656"/>
      <c r="G81" s="628">
        <f>SUM(G82:G83)</f>
        <v>471541.57864446042</v>
      </c>
      <c r="H81" s="635"/>
      <c r="I81" s="674">
        <f>I82+I83</f>
        <v>87023.583369052707</v>
      </c>
      <c r="J81" s="674">
        <f>J82+J83</f>
        <v>43673.537443111301</v>
      </c>
      <c r="K81" s="674">
        <f>K82+K83</f>
        <v>85663.1968465932</v>
      </c>
      <c r="M81" s="702" t="s">
        <v>158</v>
      </c>
      <c r="N81" s="673" t="s">
        <v>159</v>
      </c>
      <c r="O81" s="662"/>
      <c r="P81" s="656"/>
      <c r="Q81" s="656"/>
      <c r="R81" s="628">
        <f>SUM(R82:R83)</f>
        <v>471541.57864446042</v>
      </c>
      <c r="S81" s="635"/>
      <c r="T81" s="674">
        <f>T82+T83</f>
        <v>101513.01</v>
      </c>
      <c r="U81" s="674">
        <f t="shared" ref="U81:V81" si="34">U82+U83</f>
        <v>52779.47</v>
      </c>
      <c r="V81" s="674">
        <f t="shared" si="34"/>
        <v>106487.92</v>
      </c>
    </row>
    <row r="82" spans="1:22" s="621" customFormat="1" ht="19.5" customHeight="1">
      <c r="A82" s="619"/>
      <c r="B82" s="687"/>
      <c r="C82" s="648" t="s">
        <v>270</v>
      </c>
      <c r="D82" s="649">
        <v>6200</v>
      </c>
      <c r="E82" s="650" t="s">
        <v>142</v>
      </c>
      <c r="F82" s="650">
        <v>60.954164350464545</v>
      </c>
      <c r="G82" s="651">
        <f>F82*D82</f>
        <v>377915.8189728802</v>
      </c>
      <c r="H82" s="638"/>
      <c r="I82" s="652">
        <f t="shared" ref="I82:K83" si="35">T82/I$4</f>
        <v>87023.583369052707</v>
      </c>
      <c r="J82" s="650">
        <f t="shared" si="35"/>
        <v>43673.537443111301</v>
      </c>
      <c r="K82" s="651">
        <f t="shared" si="35"/>
        <v>73179.728099107073</v>
      </c>
      <c r="M82" s="687"/>
      <c r="N82" s="648" t="s">
        <v>270</v>
      </c>
      <c r="O82" s="649">
        <v>6200</v>
      </c>
      <c r="P82" s="650" t="s">
        <v>142</v>
      </c>
      <c r="Q82" s="650">
        <v>60.954164350464545</v>
      </c>
      <c r="R82" s="651">
        <f>Q82*O82</f>
        <v>377915.8189728802</v>
      </c>
      <c r="S82" s="638"/>
      <c r="T82" s="652">
        <v>101513.01</v>
      </c>
      <c r="U82" s="650">
        <v>52779.47</v>
      </c>
      <c r="V82" s="651">
        <v>90969.72</v>
      </c>
    </row>
    <row r="83" spans="1:22" s="621" customFormat="1" ht="19.5" customHeight="1" thickBot="1">
      <c r="A83" s="619"/>
      <c r="B83" s="707"/>
      <c r="C83" s="653" t="s">
        <v>255</v>
      </c>
      <c r="D83" s="639">
        <v>920</v>
      </c>
      <c r="E83" s="640" t="s">
        <v>254</v>
      </c>
      <c r="F83" s="640">
        <v>101.76713007780455</v>
      </c>
      <c r="G83" s="641">
        <f>F83*D83</f>
        <v>93625.759671580192</v>
      </c>
      <c r="H83" s="638"/>
      <c r="I83" s="658">
        <f t="shared" si="35"/>
        <v>0</v>
      </c>
      <c r="J83" s="640">
        <f t="shared" si="35"/>
        <v>0</v>
      </c>
      <c r="K83" s="641">
        <f t="shared" si="35"/>
        <v>12483.468747486124</v>
      </c>
      <c r="L83" s="671"/>
      <c r="M83" s="707"/>
      <c r="N83" s="653" t="s">
        <v>255</v>
      </c>
      <c r="O83" s="639">
        <v>920</v>
      </c>
      <c r="P83" s="640" t="s">
        <v>254</v>
      </c>
      <c r="Q83" s="640">
        <v>101.76713007780455</v>
      </c>
      <c r="R83" s="641">
        <f>Q83*O83</f>
        <v>93625.759671580192</v>
      </c>
      <c r="S83" s="638"/>
      <c r="T83" s="658">
        <v>0</v>
      </c>
      <c r="U83" s="640">
        <v>0</v>
      </c>
      <c r="V83" s="641">
        <v>15518.2</v>
      </c>
    </row>
    <row r="84" spans="1:22" s="621" customFormat="1" ht="20.100000000000001" customHeight="1" thickBot="1">
      <c r="A84" s="619"/>
      <c r="B84" s="620"/>
      <c r="C84" s="620"/>
      <c r="D84" s="620"/>
      <c r="E84" s="620"/>
      <c r="F84" s="645"/>
      <c r="G84" s="645"/>
      <c r="H84" s="730"/>
      <c r="I84" s="731"/>
      <c r="J84" s="731"/>
      <c r="K84" s="731"/>
      <c r="M84" s="620"/>
      <c r="N84" s="620"/>
      <c r="O84" s="620"/>
      <c r="P84" s="620"/>
      <c r="Q84" s="645"/>
      <c r="R84" s="645"/>
      <c r="S84" s="730"/>
      <c r="T84" s="731"/>
      <c r="U84" s="731">
        <f>U85-417704.93</f>
        <v>0</v>
      </c>
      <c r="V84" s="731">
        <f>V85-508331.91</f>
        <v>0</v>
      </c>
    </row>
    <row r="85" spans="1:22" s="621" customFormat="1" ht="20.100000000000001" customHeight="1" thickBot="1">
      <c r="A85" s="619"/>
      <c r="B85" s="732"/>
      <c r="C85" s="662" t="s">
        <v>166</v>
      </c>
      <c r="D85" s="675"/>
      <c r="E85" s="675"/>
      <c r="F85" s="676"/>
      <c r="G85" s="628" t="e">
        <f>#REF!+#REF!+#REF!</f>
        <v>#REF!</v>
      </c>
      <c r="H85" s="629"/>
      <c r="I85" s="628">
        <f>I7+I62+I80</f>
        <v>563316.99957136728</v>
      </c>
      <c r="J85" s="628">
        <f>J7+J62+J80</f>
        <v>345639.16425320652</v>
      </c>
      <c r="K85" s="628">
        <f>K7+K62+K80</f>
        <v>408922.78175528918</v>
      </c>
      <c r="M85" s="732"/>
      <c r="N85" s="662" t="s">
        <v>166</v>
      </c>
      <c r="O85" s="675"/>
      <c r="P85" s="675"/>
      <c r="Q85" s="676"/>
      <c r="R85" s="628" t="e">
        <f>#REF!+#REF!+#REF!</f>
        <v>#REF!</v>
      </c>
      <c r="S85" s="629"/>
      <c r="T85" s="628">
        <f>T7+T62+T80</f>
        <v>657109.27999999991</v>
      </c>
      <c r="U85" s="628">
        <f>U7+U62+U80</f>
        <v>417704.93000000005</v>
      </c>
      <c r="V85" s="628">
        <f>V7+V62+V80</f>
        <v>508331.91</v>
      </c>
    </row>
    <row r="86" spans="1:22" s="621" customFormat="1" ht="20.100000000000001" customHeight="1" thickBot="1">
      <c r="A86" s="619"/>
      <c r="B86" s="620"/>
      <c r="C86" s="620"/>
      <c r="D86" s="620"/>
      <c r="E86" s="620"/>
      <c r="F86" s="620"/>
      <c r="G86" s="620"/>
      <c r="H86" s="620"/>
      <c r="I86" s="645"/>
      <c r="J86" s="733" t="s">
        <v>410</v>
      </c>
      <c r="K86" s="628">
        <f>SUM(I85:K85)</f>
        <v>1317878.9455798632</v>
      </c>
      <c r="M86" s="620"/>
      <c r="N86" s="620"/>
      <c r="O86" s="620"/>
      <c r="P86" s="620"/>
      <c r="Q86" s="620"/>
      <c r="R86" s="620"/>
      <c r="S86" s="620"/>
      <c r="T86" s="645"/>
      <c r="U86" s="733" t="s">
        <v>410</v>
      </c>
      <c r="V86" s="628">
        <f>SUM(T85:V85)</f>
        <v>1583146.1199999999</v>
      </c>
    </row>
    <row r="87" spans="1:22" s="621" customFormat="1">
      <c r="A87" s="619"/>
      <c r="B87" s="619"/>
      <c r="C87" s="619"/>
      <c r="D87" s="619"/>
      <c r="E87" s="619"/>
      <c r="F87" s="619"/>
      <c r="G87" s="619"/>
      <c r="H87" s="619"/>
      <c r="I87" s="1725"/>
      <c r="J87" s="1725"/>
      <c r="K87" s="1725"/>
      <c r="M87" s="619"/>
      <c r="N87" s="619"/>
      <c r="O87" s="619"/>
      <c r="P87" s="619"/>
      <c r="Q87" s="619"/>
      <c r="R87" s="619"/>
      <c r="S87" s="619"/>
      <c r="T87" s="1725"/>
      <c r="U87" s="1725"/>
      <c r="V87" s="1725"/>
    </row>
    <row r="88" spans="1:22">
      <c r="K88" s="734"/>
      <c r="V88" s="734"/>
    </row>
  </sheetData>
  <mergeCells count="10">
    <mergeCell ref="D5:G5"/>
    <mergeCell ref="I5:K5"/>
    <mergeCell ref="C7:F7"/>
    <mergeCell ref="I87:K87"/>
    <mergeCell ref="M2:V2"/>
    <mergeCell ref="O5:R5"/>
    <mergeCell ref="T5:V5"/>
    <mergeCell ref="N7:Q7"/>
    <mergeCell ref="T87:V87"/>
    <mergeCell ref="B2:K2"/>
  </mergeCells>
  <pageMargins left="0.511811024" right="0.511811024" top="0.78740157499999996" bottom="0.78740157499999996" header="0.31496062000000002" footer="0.31496062000000002"/>
  <ignoredErrors>
    <ignoredError sqref="I10 I23 I32 I34 I41 I50 I66" formula="1"/>
  </ignoredErrors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B1:N39"/>
  <sheetViews>
    <sheetView workbookViewId="0">
      <selection activeCell="B20" sqref="B20"/>
    </sheetView>
  </sheetViews>
  <sheetFormatPr defaultColWidth="9.140625" defaultRowHeight="12.75"/>
  <cols>
    <col min="1" max="1" width="2.7109375" style="229" customWidth="1"/>
    <col min="2" max="2" width="20.7109375" style="870" customWidth="1"/>
    <col min="3" max="12" width="13.7109375" style="229" customWidth="1"/>
    <col min="13" max="13" width="2.7109375" style="229" customWidth="1"/>
    <col min="14" max="16384" width="9.140625" style="229"/>
  </cols>
  <sheetData>
    <row r="1" spans="2:12">
      <c r="B1" s="815"/>
    </row>
    <row r="2" spans="2:12">
      <c r="B2" s="815"/>
    </row>
    <row r="3" spans="2:12" ht="15">
      <c r="B3" s="1727" t="s">
        <v>466</v>
      </c>
      <c r="C3" s="1727"/>
      <c r="D3" s="1727"/>
      <c r="E3" s="1727"/>
      <c r="F3" s="1727"/>
      <c r="H3" s="872">
        <v>1.2431000000000001</v>
      </c>
    </row>
    <row r="4" spans="2:12" ht="30">
      <c r="B4" s="1728" t="s">
        <v>467</v>
      </c>
      <c r="C4" s="1729"/>
      <c r="D4" s="816" t="s">
        <v>468</v>
      </c>
      <c r="E4" s="816" t="s">
        <v>469</v>
      </c>
      <c r="F4" s="816" t="s">
        <v>470</v>
      </c>
      <c r="G4" s="817" t="s">
        <v>471</v>
      </c>
      <c r="H4" s="817" t="s">
        <v>504</v>
      </c>
    </row>
    <row r="5" spans="2:12" ht="15">
      <c r="B5" s="1730" t="s">
        <v>472</v>
      </c>
      <c r="C5" s="1731"/>
      <c r="D5" s="818" t="s">
        <v>473</v>
      </c>
      <c r="E5" s="819">
        <v>1</v>
      </c>
      <c r="F5" s="820">
        <v>994092.48</v>
      </c>
      <c r="G5" s="821">
        <v>994092.48</v>
      </c>
      <c r="H5" s="871">
        <f>G5/H3</f>
        <v>799688.2632129353</v>
      </c>
    </row>
    <row r="6" spans="2:12" ht="15">
      <c r="B6" s="1732" t="s">
        <v>474</v>
      </c>
      <c r="C6" s="1733"/>
      <c r="D6" s="822" t="s">
        <v>475</v>
      </c>
      <c r="E6" s="823">
        <f>'6 Inv Agua'!C7</f>
        <v>4083</v>
      </c>
      <c r="F6" s="824"/>
      <c r="G6" s="825"/>
      <c r="H6" s="826"/>
    </row>
    <row r="7" spans="2:12" ht="15">
      <c r="B7" s="1734" t="s">
        <v>476</v>
      </c>
      <c r="C7" s="1735"/>
      <c r="D7" s="827" t="s">
        <v>475</v>
      </c>
      <c r="E7" s="828">
        <v>4640</v>
      </c>
      <c r="F7" s="829"/>
      <c r="G7" s="830"/>
      <c r="H7" s="831"/>
    </row>
    <row r="8" spans="2:12">
      <c r="B8" s="815"/>
    </row>
    <row r="9" spans="2:12">
      <c r="B9" s="815"/>
    </row>
    <row r="10" spans="2:12" s="776" customFormat="1" ht="18.75">
      <c r="B10" s="832" t="s">
        <v>477</v>
      </c>
      <c r="C10" s="833"/>
      <c r="D10" s="833"/>
      <c r="E10" s="833"/>
      <c r="F10" s="833"/>
      <c r="G10" s="833"/>
      <c r="H10" s="833"/>
      <c r="I10" s="833"/>
      <c r="J10" s="833"/>
      <c r="K10" s="833"/>
      <c r="L10" s="833"/>
    </row>
    <row r="11" spans="2:12" ht="15">
      <c r="B11" s="834" t="s">
        <v>478</v>
      </c>
      <c r="C11" s="835" t="s">
        <v>479</v>
      </c>
      <c r="D11" s="836">
        <v>2019</v>
      </c>
      <c r="E11" s="836">
        <v>2020</v>
      </c>
      <c r="F11" s="836">
        <v>2021</v>
      </c>
      <c r="G11" s="836">
        <v>2022</v>
      </c>
      <c r="H11" s="836">
        <v>2023</v>
      </c>
      <c r="I11" s="836">
        <v>2024</v>
      </c>
      <c r="J11" s="836">
        <v>2025</v>
      </c>
      <c r="K11" s="836">
        <v>2026</v>
      </c>
      <c r="L11" s="837">
        <v>2027</v>
      </c>
    </row>
    <row r="12" spans="2:12" s="235" customFormat="1" ht="15">
      <c r="B12" s="838" t="s">
        <v>480</v>
      </c>
      <c r="C12" s="839">
        <f>SUM(D12:L12)</f>
        <v>75</v>
      </c>
      <c r="D12" s="840">
        <v>75</v>
      </c>
      <c r="E12" s="841"/>
      <c r="F12" s="841"/>
      <c r="G12" s="841"/>
      <c r="H12" s="841"/>
      <c r="I12" s="841"/>
      <c r="J12" s="841"/>
      <c r="K12" s="841"/>
      <c r="L12" s="842"/>
    </row>
    <row r="13" spans="2:12" s="235" customFormat="1" ht="15">
      <c r="B13" s="843" t="s">
        <v>481</v>
      </c>
      <c r="C13" s="844">
        <f t="shared" ref="C13:C23" si="0">SUM(D13:L13)</f>
        <v>773.12</v>
      </c>
      <c r="D13" s="845">
        <v>773.12</v>
      </c>
      <c r="E13" s="846"/>
      <c r="F13" s="846"/>
      <c r="G13" s="846"/>
      <c r="H13" s="846"/>
      <c r="I13" s="846"/>
      <c r="J13" s="846"/>
      <c r="K13" s="846"/>
      <c r="L13" s="847"/>
    </row>
    <row r="14" spans="2:12" s="235" customFormat="1" ht="15">
      <c r="B14" s="843" t="s">
        <v>482</v>
      </c>
      <c r="C14" s="844">
        <f t="shared" si="0"/>
        <v>606</v>
      </c>
      <c r="D14" s="846"/>
      <c r="E14" s="845">
        <v>606</v>
      </c>
      <c r="F14" s="846"/>
      <c r="G14" s="846"/>
      <c r="H14" s="846"/>
      <c r="I14" s="846"/>
      <c r="J14" s="846"/>
      <c r="K14" s="846"/>
      <c r="L14" s="847"/>
    </row>
    <row r="15" spans="2:12" s="235" customFormat="1" ht="15">
      <c r="B15" s="843" t="s">
        <v>483</v>
      </c>
      <c r="C15" s="844">
        <f t="shared" si="0"/>
        <v>253</v>
      </c>
      <c r="D15" s="846"/>
      <c r="E15" s="845">
        <v>253</v>
      </c>
      <c r="F15" s="846"/>
      <c r="G15" s="846"/>
      <c r="H15" s="846"/>
      <c r="I15" s="846"/>
      <c r="J15" s="846"/>
      <c r="K15" s="846"/>
      <c r="L15" s="847"/>
    </row>
    <row r="16" spans="2:12" s="235" customFormat="1" ht="15">
      <c r="B16" s="843" t="s">
        <v>484</v>
      </c>
      <c r="C16" s="844">
        <f t="shared" si="0"/>
        <v>837</v>
      </c>
      <c r="D16" s="846"/>
      <c r="E16" s="845">
        <v>837</v>
      </c>
      <c r="F16" s="846"/>
      <c r="G16" s="846"/>
      <c r="H16" s="846"/>
      <c r="I16" s="846"/>
      <c r="J16" s="846"/>
      <c r="K16" s="846"/>
      <c r="L16" s="847"/>
    </row>
    <row r="17" spans="2:12" s="235" customFormat="1" ht="15">
      <c r="B17" s="843" t="s">
        <v>485</v>
      </c>
      <c r="C17" s="844">
        <f t="shared" si="0"/>
        <v>1154</v>
      </c>
      <c r="D17" s="846"/>
      <c r="E17" s="846"/>
      <c r="F17" s="845">
        <v>1154</v>
      </c>
      <c r="G17" s="846"/>
      <c r="H17" s="846"/>
      <c r="I17" s="846"/>
      <c r="J17" s="846"/>
      <c r="K17" s="846"/>
      <c r="L17" s="847"/>
    </row>
    <row r="18" spans="2:12" s="235" customFormat="1" ht="15">
      <c r="B18" s="843" t="s">
        <v>486</v>
      </c>
      <c r="C18" s="844">
        <f t="shared" si="0"/>
        <v>601.5</v>
      </c>
      <c r="D18" s="846"/>
      <c r="E18" s="846"/>
      <c r="F18" s="846"/>
      <c r="G18" s="846"/>
      <c r="H18" s="845">
        <v>601.5</v>
      </c>
      <c r="I18" s="846"/>
      <c r="J18" s="846"/>
      <c r="K18" s="846"/>
      <c r="L18" s="847"/>
    </row>
    <row r="19" spans="2:12" s="235" customFormat="1" ht="15">
      <c r="B19" s="843" t="s">
        <v>487</v>
      </c>
      <c r="C19" s="844">
        <f t="shared" si="0"/>
        <v>1368</v>
      </c>
      <c r="D19" s="846"/>
      <c r="E19" s="846"/>
      <c r="F19" s="846"/>
      <c r="G19" s="846"/>
      <c r="H19" s="845">
        <v>1368</v>
      </c>
      <c r="I19" s="846"/>
      <c r="J19" s="846"/>
      <c r="K19" s="846"/>
      <c r="L19" s="847"/>
    </row>
    <row r="20" spans="2:12" s="235" customFormat="1" ht="15">
      <c r="B20" s="848" t="s">
        <v>488</v>
      </c>
      <c r="C20" s="844">
        <f t="shared" si="0"/>
        <v>919</v>
      </c>
      <c r="D20" s="846"/>
      <c r="E20" s="846"/>
      <c r="F20" s="846"/>
      <c r="G20" s="846"/>
      <c r="H20" s="846"/>
      <c r="I20" s="845">
        <v>919</v>
      </c>
      <c r="J20" s="846"/>
      <c r="K20" s="846"/>
      <c r="L20" s="847"/>
    </row>
    <row r="21" spans="2:12" s="235" customFormat="1" ht="15">
      <c r="B21" s="843" t="s">
        <v>489</v>
      </c>
      <c r="C21" s="844">
        <f t="shared" si="0"/>
        <v>659.1</v>
      </c>
      <c r="D21" s="846"/>
      <c r="E21" s="846"/>
      <c r="F21" s="846"/>
      <c r="G21" s="846"/>
      <c r="H21" s="846"/>
      <c r="I21" s="845">
        <v>659.1</v>
      </c>
      <c r="J21" s="846"/>
      <c r="K21" s="846"/>
      <c r="L21" s="847"/>
    </row>
    <row r="22" spans="2:12" s="235" customFormat="1" ht="15">
      <c r="B22" s="843" t="s">
        <v>490</v>
      </c>
      <c r="C22" s="844">
        <f t="shared" si="0"/>
        <v>1158.19</v>
      </c>
      <c r="D22" s="846"/>
      <c r="E22" s="846"/>
      <c r="F22" s="846"/>
      <c r="G22" s="846"/>
      <c r="H22" s="846"/>
      <c r="I22" s="845">
        <v>1158.19</v>
      </c>
      <c r="J22" s="846"/>
      <c r="K22" s="846"/>
      <c r="L22" s="849"/>
    </row>
    <row r="23" spans="2:12" s="235" customFormat="1" ht="15">
      <c r="B23" s="850" t="s">
        <v>491</v>
      </c>
      <c r="C23" s="851">
        <f t="shared" si="0"/>
        <v>789</v>
      </c>
      <c r="D23" s="852"/>
      <c r="E23" s="852"/>
      <c r="F23" s="852"/>
      <c r="G23" s="852"/>
      <c r="H23" s="852"/>
      <c r="I23" s="853">
        <v>789</v>
      </c>
      <c r="J23" s="852"/>
      <c r="K23" s="852"/>
      <c r="L23" s="854"/>
    </row>
    <row r="24" spans="2:12" s="235" customFormat="1" ht="15">
      <c r="B24" s="855" t="s">
        <v>492</v>
      </c>
      <c r="C24" s="856">
        <v>9192.91</v>
      </c>
      <c r="D24" s="857">
        <f>SUM(D12:D23)</f>
        <v>848.12</v>
      </c>
      <c r="E24" s="857">
        <f t="shared" ref="E24:L24" si="1">SUM(E12:E23)</f>
        <v>1696</v>
      </c>
      <c r="F24" s="857">
        <f t="shared" si="1"/>
        <v>1154</v>
      </c>
      <c r="G24" s="857">
        <f t="shared" si="1"/>
        <v>0</v>
      </c>
      <c r="H24" s="857">
        <f t="shared" si="1"/>
        <v>1969.5</v>
      </c>
      <c r="I24" s="857">
        <f t="shared" si="1"/>
        <v>3525.29</v>
      </c>
      <c r="J24" s="857">
        <f t="shared" si="1"/>
        <v>0</v>
      </c>
      <c r="K24" s="857">
        <f t="shared" si="1"/>
        <v>0</v>
      </c>
      <c r="L24" s="858">
        <f t="shared" si="1"/>
        <v>0</v>
      </c>
    </row>
    <row r="25" spans="2:12" s="235" customFormat="1" ht="15">
      <c r="B25" s="859"/>
      <c r="C25" s="860"/>
      <c r="D25" s="861"/>
      <c r="E25" s="861"/>
      <c r="F25" s="861"/>
      <c r="G25" s="861"/>
      <c r="H25" s="861"/>
      <c r="I25" s="861"/>
      <c r="J25" s="861"/>
      <c r="K25" s="861"/>
      <c r="L25" s="861"/>
    </row>
    <row r="26" spans="2:12" s="776" customFormat="1" ht="18.75">
      <c r="B26" s="832" t="s">
        <v>493</v>
      </c>
    </row>
    <row r="27" spans="2:12" ht="15">
      <c r="B27" s="834" t="s">
        <v>478</v>
      </c>
      <c r="C27" s="835" t="s">
        <v>479</v>
      </c>
      <c r="D27" s="836">
        <v>2019</v>
      </c>
      <c r="E27" s="836">
        <v>2020</v>
      </c>
      <c r="F27" s="836">
        <v>2021</v>
      </c>
      <c r="G27" s="836">
        <v>2022</v>
      </c>
      <c r="H27" s="836">
        <v>2023</v>
      </c>
      <c r="I27" s="836">
        <v>2024</v>
      </c>
      <c r="J27" s="836">
        <v>2025</v>
      </c>
      <c r="K27" s="836">
        <v>2026</v>
      </c>
      <c r="L27" s="837">
        <v>2027</v>
      </c>
    </row>
    <row r="28" spans="2:12" ht="15">
      <c r="B28" s="862" t="s">
        <v>494</v>
      </c>
      <c r="C28" s="839">
        <f t="shared" ref="C28:C34" si="2">SUM(D28:L28)</f>
        <v>3971</v>
      </c>
      <c r="D28" s="841"/>
      <c r="E28" s="841"/>
      <c r="F28" s="841"/>
      <c r="G28" s="863">
        <v>3971</v>
      </c>
      <c r="H28" s="841"/>
      <c r="I28" s="841"/>
      <c r="J28" s="841"/>
      <c r="K28" s="841"/>
      <c r="L28" s="842"/>
    </row>
    <row r="29" spans="2:12" ht="15">
      <c r="B29" s="864" t="s">
        <v>495</v>
      </c>
      <c r="C29" s="844">
        <f t="shared" si="2"/>
        <v>520.82000000000005</v>
      </c>
      <c r="D29" s="846"/>
      <c r="E29" s="846"/>
      <c r="F29" s="846"/>
      <c r="G29" s="846"/>
      <c r="H29" s="865">
        <v>520.82000000000005</v>
      </c>
      <c r="I29" s="846"/>
      <c r="J29" s="846"/>
      <c r="K29" s="846"/>
      <c r="L29" s="847"/>
    </row>
    <row r="30" spans="2:12" ht="15">
      <c r="B30" s="864" t="s">
        <v>496</v>
      </c>
      <c r="C30" s="844">
        <f t="shared" si="2"/>
        <v>142</v>
      </c>
      <c r="D30" s="846"/>
      <c r="E30" s="846"/>
      <c r="F30" s="846"/>
      <c r="G30" s="846"/>
      <c r="H30" s="846"/>
      <c r="I30" s="865">
        <v>142</v>
      </c>
      <c r="J30" s="846"/>
      <c r="K30" s="846"/>
      <c r="L30" s="847"/>
    </row>
    <row r="31" spans="2:12" ht="15">
      <c r="B31" s="864" t="s">
        <v>497</v>
      </c>
      <c r="C31" s="844">
        <f t="shared" si="2"/>
        <v>1619</v>
      </c>
      <c r="D31" s="846"/>
      <c r="E31" s="846"/>
      <c r="F31" s="846"/>
      <c r="G31" s="846"/>
      <c r="H31" s="846"/>
      <c r="I31" s="846"/>
      <c r="J31" s="865">
        <v>1619</v>
      </c>
      <c r="K31" s="846"/>
      <c r="L31" s="847"/>
    </row>
    <row r="32" spans="2:12" ht="30">
      <c r="B32" s="864" t="s">
        <v>498</v>
      </c>
      <c r="C32" s="844">
        <f t="shared" si="2"/>
        <v>7334</v>
      </c>
      <c r="D32" s="846"/>
      <c r="E32" s="846"/>
      <c r="F32" s="846"/>
      <c r="G32" s="846"/>
      <c r="H32" s="846"/>
      <c r="I32" s="846"/>
      <c r="J32" s="846"/>
      <c r="K32" s="865">
        <v>7334</v>
      </c>
      <c r="L32" s="847"/>
    </row>
    <row r="33" spans="2:14" ht="15">
      <c r="B33" s="864" t="s">
        <v>499</v>
      </c>
      <c r="C33" s="844">
        <f t="shared" si="2"/>
        <v>3729</v>
      </c>
      <c r="D33" s="846"/>
      <c r="E33" s="846"/>
      <c r="F33" s="846"/>
      <c r="G33" s="846"/>
      <c r="H33" s="846"/>
      <c r="I33" s="846"/>
      <c r="J33" s="846"/>
      <c r="K33" s="846"/>
      <c r="L33" s="866">
        <v>3729</v>
      </c>
    </row>
    <row r="34" spans="2:14" ht="15">
      <c r="B34" s="867" t="s">
        <v>500</v>
      </c>
      <c r="C34" s="851">
        <f t="shared" si="2"/>
        <v>1524</v>
      </c>
      <c r="D34" s="852"/>
      <c r="E34" s="852"/>
      <c r="F34" s="852"/>
      <c r="G34" s="852"/>
      <c r="H34" s="852"/>
      <c r="I34" s="852"/>
      <c r="J34" s="852"/>
      <c r="K34" s="852"/>
      <c r="L34" s="868">
        <v>1524</v>
      </c>
    </row>
    <row r="35" spans="2:14" ht="15">
      <c r="B35" s="834" t="s">
        <v>501</v>
      </c>
      <c r="C35" s="856">
        <v>18839.82</v>
      </c>
      <c r="D35" s="857">
        <f>SUM(D28:D34)</f>
        <v>0</v>
      </c>
      <c r="E35" s="857">
        <f t="shared" ref="E35:L35" si="3">SUM(E28:E34)</f>
        <v>0</v>
      </c>
      <c r="F35" s="857">
        <f t="shared" si="3"/>
        <v>0</v>
      </c>
      <c r="G35" s="857">
        <f t="shared" si="3"/>
        <v>3971</v>
      </c>
      <c r="H35" s="857">
        <f t="shared" si="3"/>
        <v>520.82000000000005</v>
      </c>
      <c r="I35" s="857">
        <f t="shared" si="3"/>
        <v>142</v>
      </c>
      <c r="J35" s="857">
        <f t="shared" si="3"/>
        <v>1619</v>
      </c>
      <c r="K35" s="857">
        <f t="shared" si="3"/>
        <v>7334</v>
      </c>
      <c r="L35" s="858">
        <f t="shared" si="3"/>
        <v>5253</v>
      </c>
    </row>
    <row r="36" spans="2:14">
      <c r="B36" s="815"/>
    </row>
    <row r="37" spans="2:14">
      <c r="B37" s="815"/>
      <c r="D37" s="229">
        <v>4</v>
      </c>
      <c r="E37" s="229">
        <v>5</v>
      </c>
      <c r="F37" s="229">
        <v>6</v>
      </c>
      <c r="G37" s="229">
        <v>7</v>
      </c>
      <c r="H37" s="229">
        <v>8</v>
      </c>
      <c r="I37" s="229">
        <v>9</v>
      </c>
      <c r="J37" s="229">
        <v>10</v>
      </c>
      <c r="K37" s="229">
        <v>11</v>
      </c>
      <c r="L37" s="229">
        <v>12</v>
      </c>
    </row>
    <row r="38" spans="2:14">
      <c r="B38" s="815"/>
      <c r="C38" s="229" t="s">
        <v>502</v>
      </c>
      <c r="F38" s="869">
        <v>0.56000000000000005</v>
      </c>
      <c r="G38" s="869">
        <f>F38+(G35/$C$35)*0.44</f>
        <v>0.65274186271418733</v>
      </c>
      <c r="H38" s="869">
        <f t="shared" ref="H38:L38" si="4">G38+(H35/$C$35)*0.44</f>
        <v>0.66490550334345022</v>
      </c>
      <c r="I38" s="869">
        <f t="shared" si="4"/>
        <v>0.66822188322393739</v>
      </c>
      <c r="J38" s="869">
        <f t="shared" si="4"/>
        <v>0.70603328481906935</v>
      </c>
      <c r="K38" s="869">
        <f t="shared" si="4"/>
        <v>0.87731729920986501</v>
      </c>
      <c r="L38" s="869">
        <f t="shared" si="4"/>
        <v>1</v>
      </c>
    </row>
    <row r="39" spans="2:14">
      <c r="C39" s="229" t="s">
        <v>503</v>
      </c>
      <c r="F39" s="869">
        <v>0.57999999999999996</v>
      </c>
      <c r="G39" s="869">
        <v>0.68</v>
      </c>
      <c r="H39" s="869">
        <v>0.72</v>
      </c>
      <c r="I39" s="869">
        <v>0.75</v>
      </c>
      <c r="J39" s="869">
        <v>0.79</v>
      </c>
      <c r="K39" s="869">
        <v>0.87</v>
      </c>
      <c r="L39" s="869">
        <v>1</v>
      </c>
      <c r="M39" s="869"/>
      <c r="N39" s="869"/>
    </row>
  </sheetData>
  <mergeCells count="5">
    <mergeCell ref="B3:F3"/>
    <mergeCell ref="B4:C4"/>
    <mergeCell ref="B5:C5"/>
    <mergeCell ref="B6:C6"/>
    <mergeCell ref="B7:C7"/>
  </mergeCells>
  <pageMargins left="0.511811024" right="0.511811024" top="0.78740157499999996" bottom="0.78740157499999996" header="0.31496062000000002" footer="0.31496062000000002"/>
  <ignoredErrors>
    <ignoredError sqref="D24:L24" formulaRange="1"/>
  </ignoredErrors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7030A0"/>
  </sheetPr>
  <dimension ref="B1:K35"/>
  <sheetViews>
    <sheetView showGridLines="0" workbookViewId="0">
      <selection activeCell="B20" sqref="B20"/>
    </sheetView>
  </sheetViews>
  <sheetFormatPr defaultColWidth="11.5703125" defaultRowHeight="12.75"/>
  <cols>
    <col min="1" max="1" width="11.5703125" style="157"/>
    <col min="2" max="2" width="9.28515625" style="157" customWidth="1"/>
    <col min="3" max="5" width="20.28515625" style="157" customWidth="1"/>
    <col min="6" max="6" width="19.5703125" style="157" customWidth="1"/>
    <col min="7" max="7" width="2.7109375" style="157" customWidth="1"/>
    <col min="8" max="257" width="11.5703125" style="157"/>
    <col min="258" max="258" width="9.28515625" style="157" customWidth="1"/>
    <col min="259" max="261" width="20.28515625" style="157" customWidth="1"/>
    <col min="262" max="262" width="19.5703125" style="157" customWidth="1"/>
    <col min="263" max="513" width="11.5703125" style="157"/>
    <col min="514" max="514" width="9.28515625" style="157" customWidth="1"/>
    <col min="515" max="517" width="20.28515625" style="157" customWidth="1"/>
    <col min="518" max="518" width="19.5703125" style="157" customWidth="1"/>
    <col min="519" max="769" width="11.5703125" style="157"/>
    <col min="770" max="770" width="9.28515625" style="157" customWidth="1"/>
    <col min="771" max="773" width="20.28515625" style="157" customWidth="1"/>
    <col min="774" max="774" width="19.5703125" style="157" customWidth="1"/>
    <col min="775" max="1025" width="11.5703125" style="157"/>
    <col min="1026" max="1026" width="9.28515625" style="157" customWidth="1"/>
    <col min="1027" max="1029" width="20.28515625" style="157" customWidth="1"/>
    <col min="1030" max="1030" width="19.5703125" style="157" customWidth="1"/>
    <col min="1031" max="1281" width="11.5703125" style="157"/>
    <col min="1282" max="1282" width="9.28515625" style="157" customWidth="1"/>
    <col min="1283" max="1285" width="20.28515625" style="157" customWidth="1"/>
    <col min="1286" max="1286" width="19.5703125" style="157" customWidth="1"/>
    <col min="1287" max="1537" width="11.5703125" style="157"/>
    <col min="1538" max="1538" width="9.28515625" style="157" customWidth="1"/>
    <col min="1539" max="1541" width="20.28515625" style="157" customWidth="1"/>
    <col min="1542" max="1542" width="19.5703125" style="157" customWidth="1"/>
    <col min="1543" max="1793" width="11.5703125" style="157"/>
    <col min="1794" max="1794" width="9.28515625" style="157" customWidth="1"/>
    <col min="1795" max="1797" width="20.28515625" style="157" customWidth="1"/>
    <col min="1798" max="1798" width="19.5703125" style="157" customWidth="1"/>
    <col min="1799" max="2049" width="11.5703125" style="157"/>
    <col min="2050" max="2050" width="9.28515625" style="157" customWidth="1"/>
    <col min="2051" max="2053" width="20.28515625" style="157" customWidth="1"/>
    <col min="2054" max="2054" width="19.5703125" style="157" customWidth="1"/>
    <col min="2055" max="2305" width="11.5703125" style="157"/>
    <col min="2306" max="2306" width="9.28515625" style="157" customWidth="1"/>
    <col min="2307" max="2309" width="20.28515625" style="157" customWidth="1"/>
    <col min="2310" max="2310" width="19.5703125" style="157" customWidth="1"/>
    <col min="2311" max="2561" width="11.5703125" style="157"/>
    <col min="2562" max="2562" width="9.28515625" style="157" customWidth="1"/>
    <col min="2563" max="2565" width="20.28515625" style="157" customWidth="1"/>
    <col min="2566" max="2566" width="19.5703125" style="157" customWidth="1"/>
    <col min="2567" max="2817" width="11.5703125" style="157"/>
    <col min="2818" max="2818" width="9.28515625" style="157" customWidth="1"/>
    <col min="2819" max="2821" width="20.28515625" style="157" customWidth="1"/>
    <col min="2822" max="2822" width="19.5703125" style="157" customWidth="1"/>
    <col min="2823" max="3073" width="11.5703125" style="157"/>
    <col min="3074" max="3074" width="9.28515625" style="157" customWidth="1"/>
    <col min="3075" max="3077" width="20.28515625" style="157" customWidth="1"/>
    <col min="3078" max="3078" width="19.5703125" style="157" customWidth="1"/>
    <col min="3079" max="3329" width="11.5703125" style="157"/>
    <col min="3330" max="3330" width="9.28515625" style="157" customWidth="1"/>
    <col min="3331" max="3333" width="20.28515625" style="157" customWidth="1"/>
    <col min="3334" max="3334" width="19.5703125" style="157" customWidth="1"/>
    <col min="3335" max="3585" width="11.5703125" style="157"/>
    <col min="3586" max="3586" width="9.28515625" style="157" customWidth="1"/>
    <col min="3587" max="3589" width="20.28515625" style="157" customWidth="1"/>
    <col min="3590" max="3590" width="19.5703125" style="157" customWidth="1"/>
    <col min="3591" max="3841" width="11.5703125" style="157"/>
    <col min="3842" max="3842" width="9.28515625" style="157" customWidth="1"/>
    <col min="3843" max="3845" width="20.28515625" style="157" customWidth="1"/>
    <col min="3846" max="3846" width="19.5703125" style="157" customWidth="1"/>
    <col min="3847" max="4097" width="11.5703125" style="157"/>
    <col min="4098" max="4098" width="9.28515625" style="157" customWidth="1"/>
    <col min="4099" max="4101" width="20.28515625" style="157" customWidth="1"/>
    <col min="4102" max="4102" width="19.5703125" style="157" customWidth="1"/>
    <col min="4103" max="4353" width="11.5703125" style="157"/>
    <col min="4354" max="4354" width="9.28515625" style="157" customWidth="1"/>
    <col min="4355" max="4357" width="20.28515625" style="157" customWidth="1"/>
    <col min="4358" max="4358" width="19.5703125" style="157" customWidth="1"/>
    <col min="4359" max="4609" width="11.5703125" style="157"/>
    <col min="4610" max="4610" width="9.28515625" style="157" customWidth="1"/>
    <col min="4611" max="4613" width="20.28515625" style="157" customWidth="1"/>
    <col min="4614" max="4614" width="19.5703125" style="157" customWidth="1"/>
    <col min="4615" max="4865" width="11.5703125" style="157"/>
    <col min="4866" max="4866" width="9.28515625" style="157" customWidth="1"/>
    <col min="4867" max="4869" width="20.28515625" style="157" customWidth="1"/>
    <col min="4870" max="4870" width="19.5703125" style="157" customWidth="1"/>
    <col min="4871" max="5121" width="11.5703125" style="157"/>
    <col min="5122" max="5122" width="9.28515625" style="157" customWidth="1"/>
    <col min="5123" max="5125" width="20.28515625" style="157" customWidth="1"/>
    <col min="5126" max="5126" width="19.5703125" style="157" customWidth="1"/>
    <col min="5127" max="5377" width="11.5703125" style="157"/>
    <col min="5378" max="5378" width="9.28515625" style="157" customWidth="1"/>
    <col min="5379" max="5381" width="20.28515625" style="157" customWidth="1"/>
    <col min="5382" max="5382" width="19.5703125" style="157" customWidth="1"/>
    <col min="5383" max="5633" width="11.5703125" style="157"/>
    <col min="5634" max="5634" width="9.28515625" style="157" customWidth="1"/>
    <col min="5635" max="5637" width="20.28515625" style="157" customWidth="1"/>
    <col min="5638" max="5638" width="19.5703125" style="157" customWidth="1"/>
    <col min="5639" max="5889" width="11.5703125" style="157"/>
    <col min="5890" max="5890" width="9.28515625" style="157" customWidth="1"/>
    <col min="5891" max="5893" width="20.28515625" style="157" customWidth="1"/>
    <col min="5894" max="5894" width="19.5703125" style="157" customWidth="1"/>
    <col min="5895" max="6145" width="11.5703125" style="157"/>
    <col min="6146" max="6146" width="9.28515625" style="157" customWidth="1"/>
    <col min="6147" max="6149" width="20.28515625" style="157" customWidth="1"/>
    <col min="6150" max="6150" width="19.5703125" style="157" customWidth="1"/>
    <col min="6151" max="6401" width="11.5703125" style="157"/>
    <col min="6402" max="6402" width="9.28515625" style="157" customWidth="1"/>
    <col min="6403" max="6405" width="20.28515625" style="157" customWidth="1"/>
    <col min="6406" max="6406" width="19.5703125" style="157" customWidth="1"/>
    <col min="6407" max="6657" width="11.5703125" style="157"/>
    <col min="6658" max="6658" width="9.28515625" style="157" customWidth="1"/>
    <col min="6659" max="6661" width="20.28515625" style="157" customWidth="1"/>
    <col min="6662" max="6662" width="19.5703125" style="157" customWidth="1"/>
    <col min="6663" max="6913" width="11.5703125" style="157"/>
    <col min="6914" max="6914" width="9.28515625" style="157" customWidth="1"/>
    <col min="6915" max="6917" width="20.28515625" style="157" customWidth="1"/>
    <col min="6918" max="6918" width="19.5703125" style="157" customWidth="1"/>
    <col min="6919" max="7169" width="11.5703125" style="157"/>
    <col min="7170" max="7170" width="9.28515625" style="157" customWidth="1"/>
    <col min="7171" max="7173" width="20.28515625" style="157" customWidth="1"/>
    <col min="7174" max="7174" width="19.5703125" style="157" customWidth="1"/>
    <col min="7175" max="7425" width="11.5703125" style="157"/>
    <col min="7426" max="7426" width="9.28515625" style="157" customWidth="1"/>
    <col min="7427" max="7429" width="20.28515625" style="157" customWidth="1"/>
    <col min="7430" max="7430" width="19.5703125" style="157" customWidth="1"/>
    <col min="7431" max="7681" width="11.5703125" style="157"/>
    <col min="7682" max="7682" width="9.28515625" style="157" customWidth="1"/>
    <col min="7683" max="7685" width="20.28515625" style="157" customWidth="1"/>
    <col min="7686" max="7686" width="19.5703125" style="157" customWidth="1"/>
    <col min="7687" max="7937" width="11.5703125" style="157"/>
    <col min="7938" max="7938" width="9.28515625" style="157" customWidth="1"/>
    <col min="7939" max="7941" width="20.28515625" style="157" customWidth="1"/>
    <col min="7942" max="7942" width="19.5703125" style="157" customWidth="1"/>
    <col min="7943" max="8193" width="11.5703125" style="157"/>
    <col min="8194" max="8194" width="9.28515625" style="157" customWidth="1"/>
    <col min="8195" max="8197" width="20.28515625" style="157" customWidth="1"/>
    <col min="8198" max="8198" width="19.5703125" style="157" customWidth="1"/>
    <col min="8199" max="8449" width="11.5703125" style="157"/>
    <col min="8450" max="8450" width="9.28515625" style="157" customWidth="1"/>
    <col min="8451" max="8453" width="20.28515625" style="157" customWidth="1"/>
    <col min="8454" max="8454" width="19.5703125" style="157" customWidth="1"/>
    <col min="8455" max="8705" width="11.5703125" style="157"/>
    <col min="8706" max="8706" width="9.28515625" style="157" customWidth="1"/>
    <col min="8707" max="8709" width="20.28515625" style="157" customWidth="1"/>
    <col min="8710" max="8710" width="19.5703125" style="157" customWidth="1"/>
    <col min="8711" max="8961" width="11.5703125" style="157"/>
    <col min="8962" max="8962" width="9.28515625" style="157" customWidth="1"/>
    <col min="8963" max="8965" width="20.28515625" style="157" customWidth="1"/>
    <col min="8966" max="8966" width="19.5703125" style="157" customWidth="1"/>
    <col min="8967" max="9217" width="11.5703125" style="157"/>
    <col min="9218" max="9218" width="9.28515625" style="157" customWidth="1"/>
    <col min="9219" max="9221" width="20.28515625" style="157" customWidth="1"/>
    <col min="9222" max="9222" width="19.5703125" style="157" customWidth="1"/>
    <col min="9223" max="9473" width="11.5703125" style="157"/>
    <col min="9474" max="9474" width="9.28515625" style="157" customWidth="1"/>
    <col min="9475" max="9477" width="20.28515625" style="157" customWidth="1"/>
    <col min="9478" max="9478" width="19.5703125" style="157" customWidth="1"/>
    <col min="9479" max="9729" width="11.5703125" style="157"/>
    <col min="9730" max="9730" width="9.28515625" style="157" customWidth="1"/>
    <col min="9731" max="9733" width="20.28515625" style="157" customWidth="1"/>
    <col min="9734" max="9734" width="19.5703125" style="157" customWidth="1"/>
    <col min="9735" max="9985" width="11.5703125" style="157"/>
    <col min="9986" max="9986" width="9.28515625" style="157" customWidth="1"/>
    <col min="9987" max="9989" width="20.28515625" style="157" customWidth="1"/>
    <col min="9990" max="9990" width="19.5703125" style="157" customWidth="1"/>
    <col min="9991" max="10241" width="11.5703125" style="157"/>
    <col min="10242" max="10242" width="9.28515625" style="157" customWidth="1"/>
    <col min="10243" max="10245" width="20.28515625" style="157" customWidth="1"/>
    <col min="10246" max="10246" width="19.5703125" style="157" customWidth="1"/>
    <col min="10247" max="10497" width="11.5703125" style="157"/>
    <col min="10498" max="10498" width="9.28515625" style="157" customWidth="1"/>
    <col min="10499" max="10501" width="20.28515625" style="157" customWidth="1"/>
    <col min="10502" max="10502" width="19.5703125" style="157" customWidth="1"/>
    <col min="10503" max="10753" width="11.5703125" style="157"/>
    <col min="10754" max="10754" width="9.28515625" style="157" customWidth="1"/>
    <col min="10755" max="10757" width="20.28515625" style="157" customWidth="1"/>
    <col min="10758" max="10758" width="19.5703125" style="157" customWidth="1"/>
    <col min="10759" max="11009" width="11.5703125" style="157"/>
    <col min="11010" max="11010" width="9.28515625" style="157" customWidth="1"/>
    <col min="11011" max="11013" width="20.28515625" style="157" customWidth="1"/>
    <col min="11014" max="11014" width="19.5703125" style="157" customWidth="1"/>
    <col min="11015" max="11265" width="11.5703125" style="157"/>
    <col min="11266" max="11266" width="9.28515625" style="157" customWidth="1"/>
    <col min="11267" max="11269" width="20.28515625" style="157" customWidth="1"/>
    <col min="11270" max="11270" width="19.5703125" style="157" customWidth="1"/>
    <col min="11271" max="11521" width="11.5703125" style="157"/>
    <col min="11522" max="11522" width="9.28515625" style="157" customWidth="1"/>
    <col min="11523" max="11525" width="20.28515625" style="157" customWidth="1"/>
    <col min="11526" max="11526" width="19.5703125" style="157" customWidth="1"/>
    <col min="11527" max="11777" width="11.5703125" style="157"/>
    <col min="11778" max="11778" width="9.28515625" style="157" customWidth="1"/>
    <col min="11779" max="11781" width="20.28515625" style="157" customWidth="1"/>
    <col min="11782" max="11782" width="19.5703125" style="157" customWidth="1"/>
    <col min="11783" max="12033" width="11.5703125" style="157"/>
    <col min="12034" max="12034" width="9.28515625" style="157" customWidth="1"/>
    <col min="12035" max="12037" width="20.28515625" style="157" customWidth="1"/>
    <col min="12038" max="12038" width="19.5703125" style="157" customWidth="1"/>
    <col min="12039" max="12289" width="11.5703125" style="157"/>
    <col min="12290" max="12290" width="9.28515625" style="157" customWidth="1"/>
    <col min="12291" max="12293" width="20.28515625" style="157" customWidth="1"/>
    <col min="12294" max="12294" width="19.5703125" style="157" customWidth="1"/>
    <col min="12295" max="12545" width="11.5703125" style="157"/>
    <col min="12546" max="12546" width="9.28515625" style="157" customWidth="1"/>
    <col min="12547" max="12549" width="20.28515625" style="157" customWidth="1"/>
    <col min="12550" max="12550" width="19.5703125" style="157" customWidth="1"/>
    <col min="12551" max="12801" width="11.5703125" style="157"/>
    <col min="12802" max="12802" width="9.28515625" style="157" customWidth="1"/>
    <col min="12803" max="12805" width="20.28515625" style="157" customWidth="1"/>
    <col min="12806" max="12806" width="19.5703125" style="157" customWidth="1"/>
    <col min="12807" max="13057" width="11.5703125" style="157"/>
    <col min="13058" max="13058" width="9.28515625" style="157" customWidth="1"/>
    <col min="13059" max="13061" width="20.28515625" style="157" customWidth="1"/>
    <col min="13062" max="13062" width="19.5703125" style="157" customWidth="1"/>
    <col min="13063" max="13313" width="11.5703125" style="157"/>
    <col min="13314" max="13314" width="9.28515625" style="157" customWidth="1"/>
    <col min="13315" max="13317" width="20.28515625" style="157" customWidth="1"/>
    <col min="13318" max="13318" width="19.5703125" style="157" customWidth="1"/>
    <col min="13319" max="13569" width="11.5703125" style="157"/>
    <col min="13570" max="13570" width="9.28515625" style="157" customWidth="1"/>
    <col min="13571" max="13573" width="20.28515625" style="157" customWidth="1"/>
    <col min="13574" max="13574" width="19.5703125" style="157" customWidth="1"/>
    <col min="13575" max="13825" width="11.5703125" style="157"/>
    <col min="13826" max="13826" width="9.28515625" style="157" customWidth="1"/>
    <col min="13827" max="13829" width="20.28515625" style="157" customWidth="1"/>
    <col min="13830" max="13830" width="19.5703125" style="157" customWidth="1"/>
    <col min="13831" max="14081" width="11.5703125" style="157"/>
    <col min="14082" max="14082" width="9.28515625" style="157" customWidth="1"/>
    <col min="14083" max="14085" width="20.28515625" style="157" customWidth="1"/>
    <col min="14086" max="14086" width="19.5703125" style="157" customWidth="1"/>
    <col min="14087" max="14337" width="11.5703125" style="157"/>
    <col min="14338" max="14338" width="9.28515625" style="157" customWidth="1"/>
    <col min="14339" max="14341" width="20.28515625" style="157" customWidth="1"/>
    <col min="14342" max="14342" width="19.5703125" style="157" customWidth="1"/>
    <col min="14343" max="14593" width="11.5703125" style="157"/>
    <col min="14594" max="14594" width="9.28515625" style="157" customWidth="1"/>
    <col min="14595" max="14597" width="20.28515625" style="157" customWidth="1"/>
    <col min="14598" max="14598" width="19.5703125" style="157" customWidth="1"/>
    <col min="14599" max="14849" width="11.5703125" style="157"/>
    <col min="14850" max="14850" width="9.28515625" style="157" customWidth="1"/>
    <col min="14851" max="14853" width="20.28515625" style="157" customWidth="1"/>
    <col min="14854" max="14854" width="19.5703125" style="157" customWidth="1"/>
    <col min="14855" max="15105" width="11.5703125" style="157"/>
    <col min="15106" max="15106" width="9.28515625" style="157" customWidth="1"/>
    <col min="15107" max="15109" width="20.28515625" style="157" customWidth="1"/>
    <col min="15110" max="15110" width="19.5703125" style="157" customWidth="1"/>
    <col min="15111" max="15361" width="11.5703125" style="157"/>
    <col min="15362" max="15362" width="9.28515625" style="157" customWidth="1"/>
    <col min="15363" max="15365" width="20.28515625" style="157" customWidth="1"/>
    <col min="15366" max="15366" width="19.5703125" style="157" customWidth="1"/>
    <col min="15367" max="15617" width="11.5703125" style="157"/>
    <col min="15618" max="15618" width="9.28515625" style="157" customWidth="1"/>
    <col min="15619" max="15621" width="20.28515625" style="157" customWidth="1"/>
    <col min="15622" max="15622" width="19.5703125" style="157" customWidth="1"/>
    <col min="15623" max="15873" width="11.5703125" style="157"/>
    <col min="15874" max="15874" width="9.28515625" style="157" customWidth="1"/>
    <col min="15875" max="15877" width="20.28515625" style="157" customWidth="1"/>
    <col min="15878" max="15878" width="19.5703125" style="157" customWidth="1"/>
    <col min="15879" max="16129" width="11.5703125" style="157"/>
    <col min="16130" max="16130" width="9.28515625" style="157" customWidth="1"/>
    <col min="16131" max="16133" width="20.28515625" style="157" customWidth="1"/>
    <col min="16134" max="16134" width="19.5703125" style="157" customWidth="1"/>
    <col min="16135" max="16384" width="11.5703125" style="157"/>
  </cols>
  <sheetData>
    <row r="1" spans="2:11" s="156" customFormat="1" ht="36" customHeight="1" thickBot="1">
      <c r="B1" s="1572" t="s">
        <v>167</v>
      </c>
      <c r="C1" s="1572"/>
      <c r="D1" s="1572"/>
      <c r="E1" s="1572"/>
      <c r="F1" s="1572"/>
    </row>
    <row r="2" spans="2:11" ht="21.75" customHeight="1" thickBot="1">
      <c r="B2" s="1634" t="s">
        <v>1</v>
      </c>
      <c r="C2" s="1689" t="s">
        <v>168</v>
      </c>
      <c r="D2" s="1689"/>
      <c r="E2" s="1689"/>
      <c r="F2" s="1690"/>
    </row>
    <row r="3" spans="2:11" s="158" customFormat="1" ht="45.75" customHeight="1" thickBot="1">
      <c r="B3" s="1635"/>
      <c r="C3" s="414" t="s">
        <v>169</v>
      </c>
      <c r="D3" s="49" t="s">
        <v>170</v>
      </c>
      <c r="E3" s="49" t="s">
        <v>171</v>
      </c>
      <c r="F3" s="414" t="s">
        <v>168</v>
      </c>
      <c r="G3" s="157"/>
      <c r="H3" s="157"/>
      <c r="I3" s="157"/>
      <c r="J3" s="157"/>
      <c r="K3" s="157"/>
    </row>
    <row r="4" spans="2:11" ht="20.25" customHeight="1">
      <c r="B4" s="360">
        <v>1</v>
      </c>
      <c r="C4" s="876">
        <f t="array" ref="C4:E33">TRANSPOSE('17 R1 INV'!I70:AL72)</f>
        <v>408428.3754822117</v>
      </c>
      <c r="D4" s="546">
        <v>37879.125589369905</v>
      </c>
      <c r="E4" s="546">
        <v>116954.72850141811</v>
      </c>
      <c r="F4" s="566">
        <f>C4+D4+E4</f>
        <v>563262.22957299976</v>
      </c>
    </row>
    <row r="5" spans="2:11" ht="20.25" customHeight="1">
      <c r="B5" s="98">
        <v>2</v>
      </c>
      <c r="C5" s="577">
        <v>329783.01199834509</v>
      </c>
      <c r="D5" s="547">
        <v>571.94869673148537</v>
      </c>
      <c r="E5" s="547">
        <v>15284.203558129915</v>
      </c>
      <c r="F5" s="567">
        <f>C5+D5+E5</f>
        <v>345639.16425320646</v>
      </c>
    </row>
    <row r="6" spans="2:11" ht="20.25" customHeight="1">
      <c r="B6" s="98">
        <v>3</v>
      </c>
      <c r="C6" s="577">
        <v>226602.31678867349</v>
      </c>
      <c r="D6" s="547">
        <v>9420.8028316306008</v>
      </c>
      <c r="E6" s="547">
        <v>66314.391440752952</v>
      </c>
      <c r="F6" s="567">
        <f t="shared" ref="F6:F33" si="0">C6+D6+E6</f>
        <v>302337.51106105704</v>
      </c>
    </row>
    <row r="7" spans="2:11" ht="20.25" customHeight="1">
      <c r="B7" s="98">
        <v>4</v>
      </c>
      <c r="C7" s="577">
        <v>1359859.3479073208</v>
      </c>
      <c r="D7" s="547">
        <v>816</v>
      </c>
      <c r="E7" s="547">
        <v>33061.865972076979</v>
      </c>
      <c r="F7" s="567">
        <f t="shared" si="0"/>
        <v>1393737.2138793978</v>
      </c>
    </row>
    <row r="8" spans="2:11" ht="20.25" customHeight="1">
      <c r="B8" s="98">
        <v>5</v>
      </c>
      <c r="C8" s="949">
        <v>423362.0777800596</v>
      </c>
      <c r="D8" s="908">
        <v>4753466.1814534497</v>
      </c>
      <c r="E8" s="908">
        <v>33061.865972076979</v>
      </c>
      <c r="F8" s="914">
        <f t="shared" si="0"/>
        <v>5209890.1252055857</v>
      </c>
    </row>
    <row r="9" spans="2:11" ht="20.25" customHeight="1">
      <c r="B9" s="98">
        <v>6</v>
      </c>
      <c r="C9" s="949">
        <v>99278.617780059591</v>
      </c>
      <c r="D9" s="908">
        <v>595557.84756711626</v>
      </c>
      <c r="E9" s="908">
        <v>33061.865972076979</v>
      </c>
      <c r="F9" s="914">
        <f t="shared" si="0"/>
        <v>727898.33131925284</v>
      </c>
    </row>
    <row r="10" spans="2:11" ht="20.25" customHeight="1">
      <c r="B10" s="98">
        <v>7</v>
      </c>
      <c r="C10" s="949">
        <v>14581.887780059598</v>
      </c>
      <c r="D10" s="908">
        <v>1665461.7728142848</v>
      </c>
      <c r="E10" s="908">
        <v>33061.865972076979</v>
      </c>
      <c r="F10" s="914">
        <f t="shared" si="0"/>
        <v>1713105.5265664214</v>
      </c>
    </row>
    <row r="11" spans="2:11" ht="20.25" customHeight="1">
      <c r="B11" s="98">
        <v>8</v>
      </c>
      <c r="C11" s="949">
        <v>14581.887780059598</v>
      </c>
      <c r="D11" s="908">
        <v>1144098.0717231876</v>
      </c>
      <c r="E11" s="908">
        <v>33061.865972076979</v>
      </c>
      <c r="F11" s="914">
        <f t="shared" si="0"/>
        <v>1191741.8254753242</v>
      </c>
    </row>
    <row r="12" spans="2:11" ht="20.25" customHeight="1">
      <c r="B12" s="98">
        <v>9</v>
      </c>
      <c r="C12" s="949">
        <v>14581.887780059598</v>
      </c>
      <c r="D12" s="908">
        <v>1876522.1650870387</v>
      </c>
      <c r="E12" s="908">
        <v>33061.865972076979</v>
      </c>
      <c r="F12" s="914">
        <f t="shared" si="0"/>
        <v>1924165.9188391753</v>
      </c>
    </row>
    <row r="13" spans="2:11" ht="20.25" customHeight="1">
      <c r="B13" s="98">
        <v>10</v>
      </c>
      <c r="C13" s="949">
        <v>15189.887780059598</v>
      </c>
      <c r="D13" s="908">
        <v>951526.31680762395</v>
      </c>
      <c r="E13" s="908">
        <v>33061.865972076979</v>
      </c>
      <c r="F13" s="914">
        <f t="shared" si="0"/>
        <v>999778.07055976056</v>
      </c>
    </row>
    <row r="14" spans="2:11" ht="20.25" customHeight="1">
      <c r="B14" s="98">
        <v>11</v>
      </c>
      <c r="C14" s="949">
        <v>14785.887780059598</v>
      </c>
      <c r="D14" s="908">
        <v>2605657.7258695289</v>
      </c>
      <c r="E14" s="908">
        <v>33061.865972076979</v>
      </c>
      <c r="F14" s="914">
        <f t="shared" si="0"/>
        <v>2653505.4796216656</v>
      </c>
    </row>
    <row r="15" spans="2:11" ht="20.25" customHeight="1">
      <c r="B15" s="98">
        <v>12</v>
      </c>
      <c r="C15" s="949">
        <v>14275.887780059598</v>
      </c>
      <c r="D15" s="908">
        <v>2305672.4517390579</v>
      </c>
      <c r="E15" s="908">
        <v>33061.865972076979</v>
      </c>
      <c r="F15" s="914">
        <f t="shared" si="0"/>
        <v>2353010.2054911945</v>
      </c>
    </row>
    <row r="16" spans="2:11" ht="20.25" customHeight="1">
      <c r="B16" s="98">
        <v>13</v>
      </c>
      <c r="C16" s="448">
        <v>14275.887780059598</v>
      </c>
      <c r="D16" s="107">
        <v>21049</v>
      </c>
      <c r="E16" s="107">
        <v>33061.865972076979</v>
      </c>
      <c r="F16" s="419">
        <f t="shared" si="0"/>
        <v>68386.753752136574</v>
      </c>
    </row>
    <row r="17" spans="2:11" ht="20.25" customHeight="1">
      <c r="B17" s="98">
        <v>14</v>
      </c>
      <c r="C17" s="448">
        <v>14275.887780059598</v>
      </c>
      <c r="D17" s="107">
        <v>21049</v>
      </c>
      <c r="E17" s="107">
        <v>33061.865972076979</v>
      </c>
      <c r="F17" s="419">
        <f t="shared" si="0"/>
        <v>68386.753752136574</v>
      </c>
    </row>
    <row r="18" spans="2:11" ht="20.25" customHeight="1">
      <c r="B18" s="98">
        <v>15</v>
      </c>
      <c r="C18" s="448">
        <v>14275.887780059598</v>
      </c>
      <c r="D18" s="107">
        <v>21049</v>
      </c>
      <c r="E18" s="107">
        <v>33061.865972076979</v>
      </c>
      <c r="F18" s="419">
        <f t="shared" si="0"/>
        <v>68386.753752136574</v>
      </c>
    </row>
    <row r="19" spans="2:11" ht="20.25" customHeight="1">
      <c r="B19" s="98">
        <v>16</v>
      </c>
      <c r="C19" s="448">
        <v>12851.887780059598</v>
      </c>
      <c r="D19" s="107">
        <v>17185</v>
      </c>
      <c r="E19" s="107">
        <v>33061.865972076979</v>
      </c>
      <c r="F19" s="419">
        <f t="shared" si="0"/>
        <v>63098.753752136574</v>
      </c>
    </row>
    <row r="20" spans="2:11" ht="20.25" customHeight="1">
      <c r="B20" s="98">
        <v>17</v>
      </c>
      <c r="C20" s="448">
        <v>12851.887780059598</v>
      </c>
      <c r="D20" s="107">
        <v>17185</v>
      </c>
      <c r="E20" s="107">
        <v>33061.865972076979</v>
      </c>
      <c r="F20" s="419">
        <f t="shared" si="0"/>
        <v>63098.753752136574</v>
      </c>
    </row>
    <row r="21" spans="2:11" ht="20.25" customHeight="1">
      <c r="B21" s="98">
        <v>18</v>
      </c>
      <c r="C21" s="448">
        <v>12851.887780059598</v>
      </c>
      <c r="D21" s="107">
        <v>17185</v>
      </c>
      <c r="E21" s="107">
        <v>33061.865972076979</v>
      </c>
      <c r="F21" s="419">
        <f t="shared" si="0"/>
        <v>63098.753752136574</v>
      </c>
    </row>
    <row r="22" spans="2:11" s="158" customFormat="1" ht="20.25" customHeight="1">
      <c r="B22" s="98">
        <v>19</v>
      </c>
      <c r="C22" s="448">
        <v>12851.887780059598</v>
      </c>
      <c r="D22" s="107">
        <v>17185</v>
      </c>
      <c r="E22" s="107">
        <v>33061.865972076979</v>
      </c>
      <c r="F22" s="419">
        <f t="shared" si="0"/>
        <v>63098.753752136574</v>
      </c>
      <c r="G22" s="157"/>
      <c r="H22" s="157"/>
      <c r="I22" s="157"/>
      <c r="J22" s="157"/>
      <c r="K22" s="157"/>
    </row>
    <row r="23" spans="2:11" ht="20.25" customHeight="1">
      <c r="B23" s="98">
        <v>20</v>
      </c>
      <c r="C23" s="448">
        <v>12851.887780059598</v>
      </c>
      <c r="D23" s="107">
        <v>17185</v>
      </c>
      <c r="E23" s="107">
        <v>33061.865972076979</v>
      </c>
      <c r="F23" s="419">
        <f t="shared" si="0"/>
        <v>63098.753752136574</v>
      </c>
    </row>
    <row r="24" spans="2:11" ht="20.25" customHeight="1">
      <c r="B24" s="98">
        <v>21</v>
      </c>
      <c r="C24" s="448">
        <v>14377.887780059598</v>
      </c>
      <c r="D24" s="107">
        <v>21354</v>
      </c>
      <c r="E24" s="107">
        <v>33061.865972076979</v>
      </c>
      <c r="F24" s="419">
        <f t="shared" si="0"/>
        <v>68793.753752136574</v>
      </c>
    </row>
    <row r="25" spans="2:11" ht="20.25" customHeight="1">
      <c r="B25" s="98">
        <v>22</v>
      </c>
      <c r="C25" s="448">
        <v>11835.887780059598</v>
      </c>
      <c r="D25" s="107">
        <v>14541</v>
      </c>
      <c r="E25" s="107">
        <v>33061.865972076979</v>
      </c>
      <c r="F25" s="419">
        <f t="shared" si="0"/>
        <v>59438.753752136574</v>
      </c>
    </row>
    <row r="26" spans="2:11" s="158" customFormat="1" ht="20.25" customHeight="1">
      <c r="B26" s="98">
        <v>23</v>
      </c>
      <c r="C26" s="448">
        <v>11835.887780059598</v>
      </c>
      <c r="D26" s="107">
        <v>14541</v>
      </c>
      <c r="E26" s="107">
        <v>33061.865972076979</v>
      </c>
      <c r="F26" s="419">
        <f t="shared" si="0"/>
        <v>59438.753752136574</v>
      </c>
      <c r="G26" s="157"/>
      <c r="H26" s="157"/>
      <c r="I26" s="157"/>
      <c r="J26" s="157"/>
      <c r="K26" s="157"/>
    </row>
    <row r="27" spans="2:11" s="158" customFormat="1" ht="20.25" customHeight="1">
      <c r="B27" s="98">
        <v>24</v>
      </c>
      <c r="C27" s="448">
        <v>11835.887780059598</v>
      </c>
      <c r="D27" s="107">
        <v>14541</v>
      </c>
      <c r="E27" s="107">
        <v>33061.865972076979</v>
      </c>
      <c r="F27" s="419">
        <f t="shared" si="0"/>
        <v>59438.753752136574</v>
      </c>
      <c r="G27" s="157"/>
      <c r="H27" s="157"/>
      <c r="I27" s="157"/>
      <c r="J27" s="157"/>
      <c r="K27" s="157"/>
    </row>
    <row r="28" spans="2:11" ht="20.25" customHeight="1">
      <c r="B28" s="98">
        <v>25</v>
      </c>
      <c r="C28" s="448">
        <v>11835.887780059598</v>
      </c>
      <c r="D28" s="107">
        <v>14541</v>
      </c>
      <c r="E28" s="107">
        <v>33061.865972076979</v>
      </c>
      <c r="F28" s="419">
        <f t="shared" si="0"/>
        <v>59438.753752136574</v>
      </c>
    </row>
    <row r="29" spans="2:11" ht="20.25" customHeight="1">
      <c r="B29" s="98">
        <v>26</v>
      </c>
      <c r="C29" s="448">
        <v>14377.887780059598</v>
      </c>
      <c r="D29" s="107">
        <v>21354</v>
      </c>
      <c r="E29" s="107">
        <v>33061.865972076979</v>
      </c>
      <c r="F29" s="419">
        <f t="shared" si="0"/>
        <v>68793.753752136574</v>
      </c>
    </row>
    <row r="30" spans="2:11" ht="20.25" customHeight="1">
      <c r="B30" s="98">
        <v>27</v>
      </c>
      <c r="C30" s="448">
        <v>12039.887780059598</v>
      </c>
      <c r="D30" s="107">
        <v>15151</v>
      </c>
      <c r="E30" s="107">
        <v>33061.865972076979</v>
      </c>
      <c r="F30" s="419">
        <f t="shared" si="0"/>
        <v>60252.753752136574</v>
      </c>
    </row>
    <row r="31" spans="2:11" ht="20.25" customHeight="1">
      <c r="B31" s="98">
        <v>28</v>
      </c>
      <c r="C31" s="448">
        <v>12243.887780059598</v>
      </c>
      <c r="D31" s="107">
        <v>15761</v>
      </c>
      <c r="E31" s="107">
        <v>33061.865972076979</v>
      </c>
      <c r="F31" s="419">
        <f t="shared" si="0"/>
        <v>61066.753752136574</v>
      </c>
    </row>
    <row r="32" spans="2:11" ht="20.25" customHeight="1">
      <c r="B32" s="98">
        <v>29</v>
      </c>
      <c r="C32" s="448">
        <v>12647.887780059598</v>
      </c>
      <c r="D32" s="107">
        <v>16575</v>
      </c>
      <c r="E32" s="107">
        <v>33061.865972076979</v>
      </c>
      <c r="F32" s="419">
        <f t="shared" si="0"/>
        <v>62284.753752136574</v>
      </c>
    </row>
    <row r="33" spans="2:6" ht="20.25" customHeight="1" thickBot="1">
      <c r="B33" s="100">
        <v>30</v>
      </c>
      <c r="C33" s="380">
        <v>9773.2620246559418</v>
      </c>
      <c r="D33" s="369">
        <v>16612.120000000003</v>
      </c>
      <c r="E33" s="369">
        <v>33061.865972076979</v>
      </c>
      <c r="F33" s="961">
        <f t="shared" si="0"/>
        <v>59447.247996732927</v>
      </c>
    </row>
    <row r="34" spans="2:6" ht="20.25" customHeight="1" thickBot="1">
      <c r="B34" s="372" t="s">
        <v>121</v>
      </c>
      <c r="C34" s="962">
        <f>SUM(C4:C33)</f>
        <v>3165202.4287026967</v>
      </c>
      <c r="D34" s="962">
        <f>SUM(D4:D33)</f>
        <v>16260693.530179018</v>
      </c>
      <c r="E34" s="962">
        <f>SUM(E4:E33)</f>
        <v>1091223.70474638</v>
      </c>
      <c r="F34" s="948">
        <f>SUM(F4:F33)</f>
        <v>20517119.663628064</v>
      </c>
    </row>
    <row r="35" spans="2:6">
      <c r="E35" s="159"/>
    </row>
  </sheetData>
  <mergeCells count="3">
    <mergeCell ref="B1:F1"/>
    <mergeCell ref="B2:B3"/>
    <mergeCell ref="C2:F2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A70A9-8704-493E-AE8F-7335678C6BED}">
  <sheetPr>
    <tabColor theme="8"/>
  </sheetPr>
  <dimension ref="A1:I80"/>
  <sheetViews>
    <sheetView showGridLines="0" zoomScaleNormal="100" workbookViewId="0">
      <selection activeCell="E24" sqref="E24"/>
    </sheetView>
  </sheetViews>
  <sheetFormatPr defaultRowHeight="12.75"/>
  <cols>
    <col min="1" max="1" width="40.28515625" customWidth="1"/>
    <col min="2" max="22" width="15.7109375" customWidth="1"/>
    <col min="23" max="23" width="11.7109375" bestFit="1" customWidth="1"/>
  </cols>
  <sheetData>
    <row r="1" spans="1:9" ht="23.25">
      <c r="A1" s="1236" t="s">
        <v>727</v>
      </c>
    </row>
    <row r="2" spans="1:9" ht="23.25">
      <c r="A2" s="1236" t="s">
        <v>716</v>
      </c>
      <c r="B2" s="1192"/>
    </row>
    <row r="3" spans="1:9">
      <c r="B3" s="1192"/>
    </row>
    <row r="4" spans="1:9">
      <c r="A4" s="1248" t="s">
        <v>664</v>
      </c>
      <c r="B4" s="1249"/>
      <c r="C4" s="1250"/>
    </row>
    <row r="5" spans="1:9">
      <c r="A5" s="1194" t="s">
        <v>786</v>
      </c>
      <c r="B5" s="1013">
        <v>41944</v>
      </c>
      <c r="C5" s="1015">
        <v>4028.44</v>
      </c>
    </row>
    <row r="6" spans="1:9">
      <c r="B6" s="1013">
        <v>45170</v>
      </c>
      <c r="C6" s="1015">
        <v>6700.66</v>
      </c>
    </row>
    <row r="7" spans="1:9">
      <c r="B7" s="1013">
        <v>45108</v>
      </c>
      <c r="C7" s="1015">
        <v>6667.94</v>
      </c>
    </row>
    <row r="8" spans="1:9">
      <c r="C8" s="1245"/>
      <c r="D8" s="1192"/>
      <c r="E8" s="1245"/>
      <c r="F8" s="1245"/>
    </row>
    <row r="9" spans="1:9" ht="38.25">
      <c r="A9" s="1202" t="s">
        <v>717</v>
      </c>
      <c r="B9" s="1202" t="s">
        <v>718</v>
      </c>
      <c r="C9" s="1251" t="s">
        <v>719</v>
      </c>
      <c r="D9" s="1252" t="s">
        <v>720</v>
      </c>
      <c r="E9" s="1253" t="s">
        <v>721</v>
      </c>
      <c r="F9" s="1253" t="s">
        <v>919</v>
      </c>
      <c r="G9" s="1202" t="s">
        <v>722</v>
      </c>
    </row>
    <row r="10" spans="1:9">
      <c r="A10" s="1015" t="s">
        <v>723</v>
      </c>
      <c r="B10" s="1015" t="s">
        <v>724</v>
      </c>
      <c r="C10" s="1195">
        <v>1140645.77</v>
      </c>
      <c r="D10" s="1013">
        <v>45170</v>
      </c>
      <c r="E10" s="1195">
        <f>C10/(C6/C5)</f>
        <v>685756.7830182102</v>
      </c>
      <c r="F10" s="1195">
        <f>C10*(C7/C6)</f>
        <v>1135075.8814226957</v>
      </c>
      <c r="G10" s="1021">
        <v>10</v>
      </c>
    </row>
    <row r="12" spans="1:9">
      <c r="A12" s="1248" t="s">
        <v>663</v>
      </c>
      <c r="B12" s="1250"/>
    </row>
    <row r="13" spans="1:9" ht="25.5">
      <c r="A13" s="1248"/>
      <c r="B13" s="1250"/>
      <c r="C13" s="1261" t="s">
        <v>212</v>
      </c>
      <c r="D13" s="1261" t="s">
        <v>213</v>
      </c>
      <c r="E13" s="1261" t="s">
        <v>215</v>
      </c>
      <c r="F13" s="1261" t="s">
        <v>216</v>
      </c>
      <c r="G13" s="1190" t="s">
        <v>217</v>
      </c>
      <c r="H13" s="1261" t="s">
        <v>218</v>
      </c>
    </row>
    <row r="14" spans="1:9">
      <c r="A14" s="1197" t="s">
        <v>739</v>
      </c>
      <c r="B14" s="1260" t="s">
        <v>730</v>
      </c>
      <c r="C14" s="1195">
        <f>SUM('16 R1 OPEX'!H14:H34)</f>
        <v>4681309.5</v>
      </c>
      <c r="D14" s="1195">
        <f>SUM('16 R1 OPEX'!I14:I34)</f>
        <v>2938018.94803529</v>
      </c>
      <c r="E14" s="1195">
        <f>SUM('16 R1 OPEX'!D14:D34)</f>
        <v>10410775.243503092</v>
      </c>
      <c r="F14" s="1195">
        <f>SUM('16 R1 OPEX'!E14:E34)</f>
        <v>339853.94964334345</v>
      </c>
      <c r="G14" s="1195">
        <f>SUM('16 R1 OPEX'!C14:C34)</f>
        <v>11618289.900000004</v>
      </c>
      <c r="H14" s="1195">
        <f>SUM('16 R1 OPEX'!F14:F34)</f>
        <v>8448253.3689758647</v>
      </c>
    </row>
    <row r="15" spans="1:9">
      <c r="A15" s="1197" t="s">
        <v>740</v>
      </c>
      <c r="B15" s="1260" t="s">
        <v>731</v>
      </c>
      <c r="C15" s="1254">
        <f>SUM('3 Vol'!E13:E33)</f>
        <v>13506830.561639184</v>
      </c>
      <c r="D15" s="1254">
        <f>C15</f>
        <v>13506830.561639184</v>
      </c>
      <c r="E15" s="1254">
        <f t="shared" ref="E15:H15" si="0">D15</f>
        <v>13506830.561639184</v>
      </c>
      <c r="F15" s="1254">
        <f t="shared" si="0"/>
        <v>13506830.561639184</v>
      </c>
      <c r="G15" s="1254">
        <f t="shared" si="0"/>
        <v>13506830.561639184</v>
      </c>
      <c r="H15" s="1254">
        <f t="shared" si="0"/>
        <v>13506830.561639184</v>
      </c>
    </row>
    <row r="16" spans="1:9">
      <c r="A16" s="1197" t="s">
        <v>729</v>
      </c>
      <c r="B16" s="1260" t="s">
        <v>732</v>
      </c>
      <c r="C16" s="1023">
        <f>ROUND(C14/C15,2)</f>
        <v>0.35</v>
      </c>
      <c r="D16" s="1023">
        <f t="shared" ref="D16:H16" si="1">ROUND(D14/D15,2)</f>
        <v>0.22</v>
      </c>
      <c r="E16" s="1023">
        <f t="shared" si="1"/>
        <v>0.77</v>
      </c>
      <c r="F16" s="1023">
        <f t="shared" si="1"/>
        <v>0.03</v>
      </c>
      <c r="G16" s="1023">
        <f t="shared" si="1"/>
        <v>0.86</v>
      </c>
      <c r="H16" s="1023">
        <f t="shared" si="1"/>
        <v>0.63</v>
      </c>
      <c r="I16" s="1262"/>
    </row>
    <row r="17" spans="1:8">
      <c r="F17" s="1187"/>
    </row>
    <row r="18" spans="1:8">
      <c r="A18" s="1248" t="s">
        <v>742</v>
      </c>
      <c r="B18" s="1248"/>
      <c r="C18" s="1248"/>
    </row>
    <row r="19" spans="1:8">
      <c r="A19" s="1197" t="s">
        <v>738</v>
      </c>
      <c r="B19" s="1197" t="s">
        <v>730</v>
      </c>
      <c r="C19" s="1195">
        <f>SUM('14 R1 FAT 2'!C14:C34)</f>
        <v>47267893.997091956</v>
      </c>
    </row>
    <row r="20" spans="1:8">
      <c r="A20" s="1197" t="s">
        <v>740</v>
      </c>
      <c r="B20" s="1197" t="s">
        <v>731</v>
      </c>
      <c r="C20" s="1254">
        <f>SUM('3 Vol'!E13:E33)</f>
        <v>13506830.561639184</v>
      </c>
    </row>
    <row r="21" spans="1:8">
      <c r="A21" s="1197" t="s">
        <v>741</v>
      </c>
      <c r="B21" s="1197" t="s">
        <v>732</v>
      </c>
      <c r="C21" s="1023">
        <f>ROUND(C19/C20,2)</f>
        <v>3.5</v>
      </c>
    </row>
    <row r="22" spans="1:8">
      <c r="A22" s="1187"/>
      <c r="B22" s="1187"/>
      <c r="C22" s="1257"/>
    </row>
    <row r="23" spans="1:8">
      <c r="A23" s="1248" t="s">
        <v>857</v>
      </c>
      <c r="B23" s="1248"/>
      <c r="C23" s="1248"/>
    </row>
    <row r="24" spans="1:8">
      <c r="A24" s="1197" t="s">
        <v>744</v>
      </c>
      <c r="B24" s="1197" t="s">
        <v>730</v>
      </c>
      <c r="C24" s="1195">
        <f>SUM('14 R1 FAT 2'!D14:D34)</f>
        <v>49815672.083938502</v>
      </c>
    </row>
    <row r="25" spans="1:8">
      <c r="A25" s="1197" t="s">
        <v>740</v>
      </c>
      <c r="B25" s="1197" t="s">
        <v>731</v>
      </c>
      <c r="C25" s="1254">
        <f>C20</f>
        <v>13506830.561639184</v>
      </c>
    </row>
    <row r="26" spans="1:8">
      <c r="A26" s="1197" t="s">
        <v>745</v>
      </c>
      <c r="B26" s="1197" t="s">
        <v>732</v>
      </c>
      <c r="C26" s="1023">
        <f>ROUND(C24/C25,2)</f>
        <v>3.69</v>
      </c>
    </row>
    <row r="27" spans="1:8">
      <c r="A27" s="1187"/>
      <c r="B27" s="1187"/>
      <c r="C27" s="1257"/>
    </row>
    <row r="28" spans="1:8">
      <c r="A28" s="1187"/>
      <c r="B28" s="1187"/>
      <c r="C28" s="1257"/>
    </row>
    <row r="29" spans="1:8">
      <c r="A29" s="1194" t="s">
        <v>743</v>
      </c>
      <c r="B29" s="1187"/>
      <c r="C29" s="1257"/>
    </row>
    <row r="31" spans="1:8">
      <c r="A31" s="1573" t="s">
        <v>856</v>
      </c>
      <c r="B31" s="1247" t="s">
        <v>370</v>
      </c>
      <c r="C31" s="1247" t="s">
        <v>371</v>
      </c>
      <c r="D31" s="1247" t="s">
        <v>372</v>
      </c>
      <c r="E31" s="1247" t="s">
        <v>373</v>
      </c>
      <c r="F31" s="1247" t="s">
        <v>374</v>
      </c>
      <c r="G31" s="1247" t="s">
        <v>375</v>
      </c>
      <c r="H31" s="1247" t="s">
        <v>376</v>
      </c>
    </row>
    <row r="32" spans="1:8">
      <c r="A32" s="1574"/>
      <c r="B32" s="1255">
        <v>2025</v>
      </c>
      <c r="C32" s="1255">
        <v>2026</v>
      </c>
      <c r="D32" s="1255">
        <v>2027</v>
      </c>
      <c r="E32" s="1255">
        <v>2028</v>
      </c>
      <c r="F32" s="1255">
        <v>2029</v>
      </c>
      <c r="G32" s="1255">
        <v>2030</v>
      </c>
      <c r="H32" s="1255">
        <v>2031</v>
      </c>
    </row>
    <row r="33" spans="1:8">
      <c r="A33" s="1197" t="s">
        <v>733</v>
      </c>
      <c r="B33" s="1254">
        <v>54</v>
      </c>
      <c r="C33" s="1254">
        <v>55</v>
      </c>
      <c r="D33" s="1254">
        <v>56</v>
      </c>
      <c r="E33" s="1254">
        <v>57</v>
      </c>
      <c r="F33" s="1254">
        <v>57</v>
      </c>
      <c r="G33" s="1254">
        <v>58</v>
      </c>
      <c r="H33" s="1254">
        <v>58</v>
      </c>
    </row>
    <row r="34" spans="1:8">
      <c r="A34" s="1197" t="s">
        <v>736</v>
      </c>
      <c r="B34" s="1195">
        <f>'3 Vol'!K12</f>
        <v>127.94741995983472</v>
      </c>
      <c r="C34" s="1195">
        <f>B34</f>
        <v>127.94741995983472</v>
      </c>
      <c r="D34" s="1195">
        <f t="shared" ref="D34:H34" si="2">C34</f>
        <v>127.94741995983472</v>
      </c>
      <c r="E34" s="1195">
        <f t="shared" si="2"/>
        <v>127.94741995983472</v>
      </c>
      <c r="F34" s="1195">
        <f t="shared" si="2"/>
        <v>127.94741995983472</v>
      </c>
      <c r="G34" s="1195">
        <f t="shared" si="2"/>
        <v>127.94741995983472</v>
      </c>
      <c r="H34" s="1195">
        <f t="shared" si="2"/>
        <v>127.94741995983472</v>
      </c>
    </row>
    <row r="35" spans="1:8">
      <c r="A35" s="1197" t="s">
        <v>735</v>
      </c>
      <c r="B35" s="1195">
        <f>'1 R1 Pop'!G13/'2 R1 Lig'!C12</f>
        <v>3.27</v>
      </c>
      <c r="C35" s="1195">
        <f>B35</f>
        <v>3.27</v>
      </c>
      <c r="D35" s="1195">
        <f t="shared" ref="D35:H35" si="3">C35</f>
        <v>3.27</v>
      </c>
      <c r="E35" s="1195">
        <f t="shared" si="3"/>
        <v>3.27</v>
      </c>
      <c r="F35" s="1195">
        <f t="shared" si="3"/>
        <v>3.27</v>
      </c>
      <c r="G35" s="1195">
        <f t="shared" si="3"/>
        <v>3.27</v>
      </c>
      <c r="H35" s="1195">
        <f t="shared" si="3"/>
        <v>3.27</v>
      </c>
    </row>
    <row r="36" spans="1:8">
      <c r="A36" s="1197" t="s">
        <v>734</v>
      </c>
      <c r="B36" s="1195">
        <f>B33*B35*B34/86400</f>
        <v>0.26149253954291224</v>
      </c>
      <c r="C36" s="1195">
        <f t="shared" ref="C36:H36" si="4">C33*C35*C34/86400</f>
        <v>0.26633499397889204</v>
      </c>
      <c r="D36" s="1195">
        <f t="shared" si="4"/>
        <v>0.2711774484148719</v>
      </c>
      <c r="E36" s="1195">
        <f t="shared" si="4"/>
        <v>0.27601990285085176</v>
      </c>
      <c r="F36" s="1195">
        <f t="shared" si="4"/>
        <v>0.27601990285085176</v>
      </c>
      <c r="G36" s="1195">
        <f t="shared" si="4"/>
        <v>0.28086235728683162</v>
      </c>
      <c r="H36" s="1195">
        <f t="shared" si="4"/>
        <v>0.28086235728683162</v>
      </c>
    </row>
    <row r="37" spans="1:8">
      <c r="A37" s="1197" t="s">
        <v>748</v>
      </c>
      <c r="B37" s="1195">
        <f>B36*86.4*365</f>
        <v>8246.4287270252808</v>
      </c>
      <c r="C37" s="1195">
        <f t="shared" ref="C37:H37" si="5">C36*86.4*365</f>
        <v>8399.1403701183408</v>
      </c>
      <c r="D37" s="1195">
        <f t="shared" si="5"/>
        <v>8551.8520132114008</v>
      </c>
      <c r="E37" s="1195">
        <f t="shared" si="5"/>
        <v>8704.5636563044627</v>
      </c>
      <c r="F37" s="1195">
        <f t="shared" si="5"/>
        <v>8704.5636563044627</v>
      </c>
      <c r="G37" s="1195">
        <f t="shared" si="5"/>
        <v>8857.2752993975228</v>
      </c>
      <c r="H37" s="1195">
        <f t="shared" si="5"/>
        <v>8857.2752993975228</v>
      </c>
    </row>
    <row r="38" spans="1:8" s="1194" customFormat="1">
      <c r="A38" s="1199" t="s">
        <v>764</v>
      </c>
      <c r="B38" s="1246">
        <f>E10</f>
        <v>685756.7830182102</v>
      </c>
      <c r="C38" s="1199"/>
      <c r="D38" s="1199"/>
      <c r="E38" s="1199"/>
      <c r="F38" s="1199"/>
      <c r="G38" s="1199"/>
      <c r="H38" s="1199"/>
    </row>
    <row r="39" spans="1:8" s="1194" customFormat="1">
      <c r="A39" s="1199" t="s">
        <v>750</v>
      </c>
      <c r="B39" s="1246">
        <f>ROUND($C$16*B$37,2)</f>
        <v>2886.25</v>
      </c>
      <c r="C39" s="1246">
        <f t="shared" ref="C39:H39" si="6">ROUND($C$16*C37,2)</f>
        <v>2939.7</v>
      </c>
      <c r="D39" s="1246">
        <f t="shared" si="6"/>
        <v>2993.15</v>
      </c>
      <c r="E39" s="1246">
        <f t="shared" si="6"/>
        <v>3046.6</v>
      </c>
      <c r="F39" s="1246">
        <f t="shared" si="6"/>
        <v>3046.6</v>
      </c>
      <c r="G39" s="1246">
        <f t="shared" si="6"/>
        <v>3100.05</v>
      </c>
      <c r="H39" s="1246">
        <f t="shared" si="6"/>
        <v>3100.05</v>
      </c>
    </row>
    <row r="40" spans="1:8" s="1194" customFormat="1">
      <c r="A40" s="1199" t="s">
        <v>751</v>
      </c>
      <c r="B40" s="1246">
        <f>ROUND($D$16*B$37,2)</f>
        <v>1814.21</v>
      </c>
      <c r="C40" s="1246">
        <f>ROUND($D$16*C$37,2)</f>
        <v>1847.81</v>
      </c>
      <c r="D40" s="1246">
        <f t="shared" ref="D40:H40" si="7">ROUND($D$16*D$37,2)</f>
        <v>1881.41</v>
      </c>
      <c r="E40" s="1246">
        <f t="shared" si="7"/>
        <v>1915</v>
      </c>
      <c r="F40" s="1246">
        <f t="shared" si="7"/>
        <v>1915</v>
      </c>
      <c r="G40" s="1246">
        <f t="shared" si="7"/>
        <v>1948.6</v>
      </c>
      <c r="H40" s="1246">
        <f t="shared" si="7"/>
        <v>1948.6</v>
      </c>
    </row>
    <row r="41" spans="1:8" s="1194" customFormat="1">
      <c r="A41" s="1199" t="s">
        <v>752</v>
      </c>
      <c r="B41" s="1246">
        <f>ROUND($E$16*B$37,2)</f>
        <v>6349.75</v>
      </c>
      <c r="C41" s="1246">
        <f>ROUND($E$16*C$37,2)</f>
        <v>6467.34</v>
      </c>
      <c r="D41" s="1246">
        <f t="shared" ref="D41:H41" si="8">ROUND($E$16*D$37,2)</f>
        <v>6584.93</v>
      </c>
      <c r="E41" s="1246">
        <f t="shared" si="8"/>
        <v>6702.51</v>
      </c>
      <c r="F41" s="1246">
        <f t="shared" si="8"/>
        <v>6702.51</v>
      </c>
      <c r="G41" s="1246">
        <f t="shared" si="8"/>
        <v>6820.1</v>
      </c>
      <c r="H41" s="1246">
        <f t="shared" si="8"/>
        <v>6820.1</v>
      </c>
    </row>
    <row r="42" spans="1:8" s="1194" customFormat="1">
      <c r="A42" s="1199" t="s">
        <v>753</v>
      </c>
      <c r="B42" s="1246">
        <f>ROUND($F$16*B$37,2)</f>
        <v>247.39</v>
      </c>
      <c r="C42" s="1246">
        <f>ROUND($F$16*C$37,2)</f>
        <v>251.97</v>
      </c>
      <c r="D42" s="1246">
        <f t="shared" ref="D42:H42" si="9">ROUND($F$16*D$37,2)</f>
        <v>256.56</v>
      </c>
      <c r="E42" s="1246">
        <f t="shared" si="9"/>
        <v>261.14</v>
      </c>
      <c r="F42" s="1246">
        <f t="shared" si="9"/>
        <v>261.14</v>
      </c>
      <c r="G42" s="1246">
        <f t="shared" si="9"/>
        <v>265.72000000000003</v>
      </c>
      <c r="H42" s="1246">
        <f t="shared" si="9"/>
        <v>265.72000000000003</v>
      </c>
    </row>
    <row r="43" spans="1:8" s="1194" customFormat="1">
      <c r="A43" s="1199" t="s">
        <v>755</v>
      </c>
      <c r="B43" s="1246">
        <f>ROUND($G$16*B$37,2)</f>
        <v>7091.93</v>
      </c>
      <c r="C43" s="1246">
        <f>ROUND($G$16*C$37,2)</f>
        <v>7223.26</v>
      </c>
      <c r="D43" s="1246">
        <f t="shared" ref="D43:H43" si="10">ROUND($G$16*D$37,2)</f>
        <v>7354.59</v>
      </c>
      <c r="E43" s="1246">
        <f t="shared" si="10"/>
        <v>7485.92</v>
      </c>
      <c r="F43" s="1246">
        <f t="shared" si="10"/>
        <v>7485.92</v>
      </c>
      <c r="G43" s="1246">
        <f t="shared" si="10"/>
        <v>7617.26</v>
      </c>
      <c r="H43" s="1246">
        <f t="shared" si="10"/>
        <v>7617.26</v>
      </c>
    </row>
    <row r="44" spans="1:8" s="1194" customFormat="1">
      <c r="A44" s="1199" t="s">
        <v>754</v>
      </c>
      <c r="B44" s="1246">
        <f>ROUND($H$16*B$37,2)</f>
        <v>5195.25</v>
      </c>
      <c r="C44" s="1246">
        <f>ROUND($H$16*C$37,2)</f>
        <v>5291.46</v>
      </c>
      <c r="D44" s="1246">
        <f t="shared" ref="D44:H44" si="11">ROUND($H$16*D$37,2)</f>
        <v>5387.67</v>
      </c>
      <c r="E44" s="1246">
        <f t="shared" si="11"/>
        <v>5483.88</v>
      </c>
      <c r="F44" s="1246">
        <f t="shared" si="11"/>
        <v>5483.88</v>
      </c>
      <c r="G44" s="1246">
        <f t="shared" si="11"/>
        <v>5580.08</v>
      </c>
      <c r="H44" s="1246">
        <f t="shared" si="11"/>
        <v>5580.08</v>
      </c>
    </row>
    <row r="45" spans="1:8" s="1194" customFormat="1">
      <c r="A45" s="1199" t="s">
        <v>746</v>
      </c>
      <c r="B45" s="1246">
        <f t="shared" ref="B45:H45" si="12">ROUND($C$21*B37,2)</f>
        <v>28862.5</v>
      </c>
      <c r="C45" s="1246">
        <f t="shared" si="12"/>
        <v>29396.99</v>
      </c>
      <c r="D45" s="1246">
        <f t="shared" si="12"/>
        <v>29931.48</v>
      </c>
      <c r="E45" s="1246">
        <f t="shared" si="12"/>
        <v>30465.97</v>
      </c>
      <c r="F45" s="1246">
        <f t="shared" si="12"/>
        <v>30465.97</v>
      </c>
      <c r="G45" s="1246">
        <f t="shared" si="12"/>
        <v>31000.46</v>
      </c>
      <c r="H45" s="1246">
        <f t="shared" si="12"/>
        <v>31000.46</v>
      </c>
    </row>
    <row r="46" spans="1:8" s="1194" customFormat="1">
      <c r="A46" s="1199" t="s">
        <v>747</v>
      </c>
      <c r="B46" s="1246">
        <v>0</v>
      </c>
      <c r="C46" s="1246">
        <v>0</v>
      </c>
      <c r="D46" s="1246">
        <v>0</v>
      </c>
      <c r="E46" s="1246">
        <v>0</v>
      </c>
      <c r="F46" s="1246">
        <v>0</v>
      </c>
      <c r="G46" s="1246">
        <v>0</v>
      </c>
      <c r="H46" s="1246">
        <v>0</v>
      </c>
    </row>
    <row r="48" spans="1:8">
      <c r="A48" s="1573" t="s">
        <v>856</v>
      </c>
      <c r="B48" s="1247" t="s">
        <v>377</v>
      </c>
      <c r="C48" s="1247" t="s">
        <v>378</v>
      </c>
      <c r="D48" s="1247" t="s">
        <v>379</v>
      </c>
      <c r="E48" s="1247" t="s">
        <v>380</v>
      </c>
      <c r="F48" s="1247" t="s">
        <v>381</v>
      </c>
      <c r="G48" s="1247" t="s">
        <v>382</v>
      </c>
      <c r="H48" s="1247" t="s">
        <v>383</v>
      </c>
    </row>
    <row r="49" spans="1:8">
      <c r="A49" s="1574"/>
      <c r="B49" s="1255">
        <v>2032</v>
      </c>
      <c r="C49" s="1255">
        <v>2033</v>
      </c>
      <c r="D49" s="1255">
        <v>2034</v>
      </c>
      <c r="E49" s="1255">
        <v>2035</v>
      </c>
      <c r="F49" s="1255">
        <v>2036</v>
      </c>
      <c r="G49" s="1255">
        <v>2037</v>
      </c>
      <c r="H49" s="1255">
        <v>2038</v>
      </c>
    </row>
    <row r="50" spans="1:8">
      <c r="A50" s="1197" t="s">
        <v>733</v>
      </c>
      <c r="B50" s="1254">
        <v>59</v>
      </c>
      <c r="C50" s="1254">
        <v>59</v>
      </c>
      <c r="D50" s="1254">
        <v>59</v>
      </c>
      <c r="E50" s="1254">
        <v>60</v>
      </c>
      <c r="F50" s="1254">
        <v>60</v>
      </c>
      <c r="G50" s="1254">
        <v>61</v>
      </c>
      <c r="H50" s="1254">
        <v>61</v>
      </c>
    </row>
    <row r="51" spans="1:8">
      <c r="A51" s="1197" t="s">
        <v>736</v>
      </c>
      <c r="B51" s="1195">
        <f>H34</f>
        <v>127.94741995983472</v>
      </c>
      <c r="C51" s="1195">
        <f t="shared" ref="C51:H52" si="13">B51</f>
        <v>127.94741995983472</v>
      </c>
      <c r="D51" s="1195">
        <f t="shared" si="13"/>
        <v>127.94741995983472</v>
      </c>
      <c r="E51" s="1195">
        <f t="shared" si="13"/>
        <v>127.94741995983472</v>
      </c>
      <c r="F51" s="1195">
        <f t="shared" si="13"/>
        <v>127.94741995983472</v>
      </c>
      <c r="G51" s="1195">
        <f t="shared" si="13"/>
        <v>127.94741995983472</v>
      </c>
      <c r="H51" s="1195">
        <f t="shared" si="13"/>
        <v>127.94741995983472</v>
      </c>
    </row>
    <row r="52" spans="1:8">
      <c r="A52" s="1197" t="s">
        <v>735</v>
      </c>
      <c r="B52" s="1195">
        <f>H35</f>
        <v>3.27</v>
      </c>
      <c r="C52" s="1195">
        <f t="shared" si="13"/>
        <v>3.27</v>
      </c>
      <c r="D52" s="1195">
        <f t="shared" si="13"/>
        <v>3.27</v>
      </c>
      <c r="E52" s="1195">
        <f t="shared" si="13"/>
        <v>3.27</v>
      </c>
      <c r="F52" s="1195">
        <f t="shared" si="13"/>
        <v>3.27</v>
      </c>
      <c r="G52" s="1195">
        <f t="shared" si="13"/>
        <v>3.27</v>
      </c>
      <c r="H52" s="1195">
        <f t="shared" si="13"/>
        <v>3.27</v>
      </c>
    </row>
    <row r="53" spans="1:8">
      <c r="A53" s="1197" t="s">
        <v>734</v>
      </c>
      <c r="B53" s="1195">
        <f t="shared" ref="B53:H53" si="14">B50*B52*B51/86400</f>
        <v>0.28570481172281148</v>
      </c>
      <c r="C53" s="1195">
        <f t="shared" si="14"/>
        <v>0.28570481172281148</v>
      </c>
      <c r="D53" s="1195">
        <f t="shared" si="14"/>
        <v>0.28570481172281148</v>
      </c>
      <c r="E53" s="1195">
        <f t="shared" si="14"/>
        <v>0.29054726615879128</v>
      </c>
      <c r="F53" s="1195">
        <f t="shared" si="14"/>
        <v>0.29054726615879128</v>
      </c>
      <c r="G53" s="1195">
        <f t="shared" si="14"/>
        <v>0.2953897205947712</v>
      </c>
      <c r="H53" s="1195">
        <f t="shared" si="14"/>
        <v>0.2953897205947712</v>
      </c>
    </row>
    <row r="54" spans="1:8">
      <c r="A54" s="1197" t="s">
        <v>748</v>
      </c>
      <c r="B54" s="1195">
        <f t="shared" ref="B54:H54" si="15">B53*86.4*365</f>
        <v>9009.9869424905846</v>
      </c>
      <c r="C54" s="1195">
        <f t="shared" si="15"/>
        <v>9009.9869424905846</v>
      </c>
      <c r="D54" s="1195">
        <f t="shared" si="15"/>
        <v>9009.9869424905846</v>
      </c>
      <c r="E54" s="1195">
        <f t="shared" si="15"/>
        <v>9162.6985855836429</v>
      </c>
      <c r="F54" s="1195">
        <f t="shared" si="15"/>
        <v>9162.6985855836429</v>
      </c>
      <c r="G54" s="1195">
        <f t="shared" si="15"/>
        <v>9315.4102286767065</v>
      </c>
      <c r="H54" s="1195">
        <f t="shared" si="15"/>
        <v>9315.4102286767065</v>
      </c>
    </row>
    <row r="55" spans="1:8">
      <c r="A55" s="1199" t="s">
        <v>764</v>
      </c>
      <c r="B55" s="1199"/>
      <c r="C55" s="1199"/>
      <c r="D55" s="1199"/>
      <c r="E55" s="1199"/>
      <c r="F55" s="1199"/>
      <c r="G55" s="1199"/>
      <c r="H55" s="1199"/>
    </row>
    <row r="56" spans="1:8">
      <c r="A56" s="1199" t="s">
        <v>750</v>
      </c>
      <c r="B56" s="1246">
        <f t="shared" ref="B56:H56" si="16">ROUND($C$16*B54,2)</f>
        <v>3153.5</v>
      </c>
      <c r="C56" s="1246">
        <f t="shared" si="16"/>
        <v>3153.5</v>
      </c>
      <c r="D56" s="1246">
        <f t="shared" si="16"/>
        <v>3153.5</v>
      </c>
      <c r="E56" s="1246">
        <f t="shared" si="16"/>
        <v>3206.94</v>
      </c>
      <c r="F56" s="1246">
        <f t="shared" si="16"/>
        <v>3206.94</v>
      </c>
      <c r="G56" s="1246">
        <f t="shared" si="16"/>
        <v>3260.39</v>
      </c>
      <c r="H56" s="1246">
        <f t="shared" si="16"/>
        <v>3260.39</v>
      </c>
    </row>
    <row r="57" spans="1:8">
      <c r="A57" s="1199" t="s">
        <v>751</v>
      </c>
      <c r="B57" s="1246">
        <f t="shared" ref="B57:H57" si="17">ROUND($D$16*B$54,2)</f>
        <v>1982.2</v>
      </c>
      <c r="C57" s="1246">
        <f t="shared" si="17"/>
        <v>1982.2</v>
      </c>
      <c r="D57" s="1246">
        <f t="shared" si="17"/>
        <v>1982.2</v>
      </c>
      <c r="E57" s="1246">
        <f t="shared" si="17"/>
        <v>2015.79</v>
      </c>
      <c r="F57" s="1246">
        <f t="shared" si="17"/>
        <v>2015.79</v>
      </c>
      <c r="G57" s="1246">
        <f t="shared" si="17"/>
        <v>2049.39</v>
      </c>
      <c r="H57" s="1246">
        <f t="shared" si="17"/>
        <v>2049.39</v>
      </c>
    </row>
    <row r="58" spans="1:8">
      <c r="A58" s="1199" t="s">
        <v>752</v>
      </c>
      <c r="B58" s="1246">
        <f t="shared" ref="B58:H58" si="18">ROUND($E$16*B$54,2)</f>
        <v>6937.69</v>
      </c>
      <c r="C58" s="1246">
        <f t="shared" si="18"/>
        <v>6937.69</v>
      </c>
      <c r="D58" s="1246">
        <f t="shared" si="18"/>
        <v>6937.69</v>
      </c>
      <c r="E58" s="1246">
        <f t="shared" si="18"/>
        <v>7055.28</v>
      </c>
      <c r="F58" s="1246">
        <f t="shared" si="18"/>
        <v>7055.28</v>
      </c>
      <c r="G58" s="1246">
        <f t="shared" si="18"/>
        <v>7172.87</v>
      </c>
      <c r="H58" s="1246">
        <f t="shared" si="18"/>
        <v>7172.87</v>
      </c>
    </row>
    <row r="59" spans="1:8">
      <c r="A59" s="1199" t="s">
        <v>753</v>
      </c>
      <c r="B59" s="1246">
        <f t="shared" ref="B59:H59" si="19">ROUND($F$16*B$54,2)</f>
        <v>270.3</v>
      </c>
      <c r="C59" s="1246">
        <f t="shared" si="19"/>
        <v>270.3</v>
      </c>
      <c r="D59" s="1246">
        <f t="shared" si="19"/>
        <v>270.3</v>
      </c>
      <c r="E59" s="1246">
        <f t="shared" si="19"/>
        <v>274.88</v>
      </c>
      <c r="F59" s="1246">
        <f t="shared" si="19"/>
        <v>274.88</v>
      </c>
      <c r="G59" s="1246">
        <f t="shared" si="19"/>
        <v>279.45999999999998</v>
      </c>
      <c r="H59" s="1246">
        <f t="shared" si="19"/>
        <v>279.45999999999998</v>
      </c>
    </row>
    <row r="60" spans="1:8">
      <c r="A60" s="1199" t="s">
        <v>755</v>
      </c>
      <c r="B60" s="1246">
        <f t="shared" ref="B60:H60" si="20">ROUND($G$16*B$54,2)</f>
        <v>7748.59</v>
      </c>
      <c r="C60" s="1246">
        <f t="shared" si="20"/>
        <v>7748.59</v>
      </c>
      <c r="D60" s="1246">
        <f t="shared" si="20"/>
        <v>7748.59</v>
      </c>
      <c r="E60" s="1246">
        <f t="shared" si="20"/>
        <v>7879.92</v>
      </c>
      <c r="F60" s="1246">
        <f t="shared" si="20"/>
        <v>7879.92</v>
      </c>
      <c r="G60" s="1246">
        <f t="shared" si="20"/>
        <v>8011.25</v>
      </c>
      <c r="H60" s="1246">
        <f t="shared" si="20"/>
        <v>8011.25</v>
      </c>
    </row>
    <row r="61" spans="1:8">
      <c r="A61" s="1199" t="s">
        <v>754</v>
      </c>
      <c r="B61" s="1246">
        <f t="shared" ref="B61:H61" si="21">ROUND($H$16*B$54,2)</f>
        <v>5676.29</v>
      </c>
      <c r="C61" s="1246">
        <f t="shared" si="21"/>
        <v>5676.29</v>
      </c>
      <c r="D61" s="1246">
        <f t="shared" si="21"/>
        <v>5676.29</v>
      </c>
      <c r="E61" s="1246">
        <f t="shared" si="21"/>
        <v>5772.5</v>
      </c>
      <c r="F61" s="1246">
        <f t="shared" si="21"/>
        <v>5772.5</v>
      </c>
      <c r="G61" s="1246">
        <f t="shared" si="21"/>
        <v>5868.71</v>
      </c>
      <c r="H61" s="1246">
        <f t="shared" si="21"/>
        <v>5868.71</v>
      </c>
    </row>
    <row r="62" spans="1:8">
      <c r="A62" s="1199" t="s">
        <v>746</v>
      </c>
      <c r="B62" s="1246">
        <f t="shared" ref="B62:H62" si="22">ROUND($C$21*B54,2)</f>
        <v>31534.95</v>
      </c>
      <c r="C62" s="1246">
        <f t="shared" si="22"/>
        <v>31534.95</v>
      </c>
      <c r="D62" s="1246">
        <f t="shared" si="22"/>
        <v>31534.95</v>
      </c>
      <c r="E62" s="1246">
        <f t="shared" si="22"/>
        <v>32069.45</v>
      </c>
      <c r="F62" s="1246">
        <f t="shared" si="22"/>
        <v>32069.45</v>
      </c>
      <c r="G62" s="1246">
        <f t="shared" si="22"/>
        <v>32603.94</v>
      </c>
      <c r="H62" s="1246">
        <f t="shared" si="22"/>
        <v>32603.94</v>
      </c>
    </row>
    <row r="63" spans="1:8">
      <c r="A63" s="1199" t="s">
        <v>747</v>
      </c>
      <c r="B63" s="1246">
        <v>0</v>
      </c>
      <c r="C63" s="1246">
        <v>0</v>
      </c>
      <c r="D63" s="1246">
        <v>0</v>
      </c>
      <c r="E63" s="1246">
        <v>0</v>
      </c>
      <c r="F63" s="1246">
        <v>0</v>
      </c>
      <c r="G63" s="1246">
        <v>0</v>
      </c>
      <c r="H63" s="1246">
        <v>0</v>
      </c>
    </row>
    <row r="65" spans="1:9">
      <c r="A65" s="1573" t="s">
        <v>856</v>
      </c>
      <c r="B65" s="1247" t="s">
        <v>384</v>
      </c>
      <c r="C65" s="1247" t="s">
        <v>385</v>
      </c>
      <c r="D65" s="1247" t="s">
        <v>386</v>
      </c>
      <c r="E65" s="1247" t="s">
        <v>387</v>
      </c>
      <c r="F65" s="1247" t="s">
        <v>388</v>
      </c>
      <c r="G65" s="1247" t="s">
        <v>389</v>
      </c>
      <c r="H65" s="1247" t="s">
        <v>390</v>
      </c>
      <c r="I65" s="1575" t="s">
        <v>121</v>
      </c>
    </row>
    <row r="66" spans="1:9">
      <c r="A66" s="1574"/>
      <c r="B66" s="1255">
        <v>2039</v>
      </c>
      <c r="C66" s="1255">
        <v>2040</v>
      </c>
      <c r="D66" s="1255">
        <v>2041</v>
      </c>
      <c r="E66" s="1255">
        <v>2042</v>
      </c>
      <c r="F66" s="1255">
        <v>2043</v>
      </c>
      <c r="G66" s="1255">
        <v>2044</v>
      </c>
      <c r="H66" s="1255">
        <v>2045</v>
      </c>
      <c r="I66" s="1575"/>
    </row>
    <row r="67" spans="1:9">
      <c r="A67" s="1197" t="s">
        <v>733</v>
      </c>
      <c r="B67" s="1254">
        <v>62</v>
      </c>
      <c r="C67" s="1254">
        <v>62</v>
      </c>
      <c r="D67" s="1254">
        <v>63</v>
      </c>
      <c r="E67" s="1254">
        <v>64</v>
      </c>
      <c r="F67" s="1254">
        <v>65</v>
      </c>
      <c r="G67" s="1254">
        <v>65</v>
      </c>
      <c r="H67" s="1254">
        <v>66</v>
      </c>
      <c r="I67" s="1015"/>
    </row>
    <row r="68" spans="1:9">
      <c r="A68" s="1197" t="s">
        <v>736</v>
      </c>
      <c r="B68" s="1195">
        <f>H51</f>
        <v>127.94741995983472</v>
      </c>
      <c r="C68" s="1195">
        <f t="shared" ref="C68:H69" si="23">B68</f>
        <v>127.94741995983472</v>
      </c>
      <c r="D68" s="1195">
        <f t="shared" si="23"/>
        <v>127.94741995983472</v>
      </c>
      <c r="E68" s="1195">
        <f t="shared" si="23"/>
        <v>127.94741995983472</v>
      </c>
      <c r="F68" s="1195">
        <f t="shared" si="23"/>
        <v>127.94741995983472</v>
      </c>
      <c r="G68" s="1195">
        <f t="shared" si="23"/>
        <v>127.94741995983472</v>
      </c>
      <c r="H68" s="1195">
        <f t="shared" si="23"/>
        <v>127.94741995983472</v>
      </c>
      <c r="I68" s="1015"/>
    </row>
    <row r="69" spans="1:9">
      <c r="A69" s="1197" t="s">
        <v>735</v>
      </c>
      <c r="B69" s="1195">
        <f>H52</f>
        <v>3.27</v>
      </c>
      <c r="C69" s="1195">
        <f t="shared" si="23"/>
        <v>3.27</v>
      </c>
      <c r="D69" s="1195">
        <f t="shared" si="23"/>
        <v>3.27</v>
      </c>
      <c r="E69" s="1195">
        <f t="shared" si="23"/>
        <v>3.27</v>
      </c>
      <c r="F69" s="1195">
        <f t="shared" si="23"/>
        <v>3.27</v>
      </c>
      <c r="G69" s="1195">
        <f t="shared" si="23"/>
        <v>3.27</v>
      </c>
      <c r="H69" s="1195">
        <f t="shared" si="23"/>
        <v>3.27</v>
      </c>
      <c r="I69" s="1015"/>
    </row>
    <row r="70" spans="1:9">
      <c r="A70" s="1197" t="s">
        <v>734</v>
      </c>
      <c r="B70" s="1195">
        <f t="shared" ref="B70:H70" si="24">B67*B69*B68/86400</f>
        <v>0.30023217503075106</v>
      </c>
      <c r="C70" s="1195">
        <f t="shared" si="24"/>
        <v>0.30023217503075106</v>
      </c>
      <c r="D70" s="1195">
        <f t="shared" si="24"/>
        <v>0.30507462946673086</v>
      </c>
      <c r="E70" s="1195">
        <f t="shared" si="24"/>
        <v>0.30991708390271078</v>
      </c>
      <c r="F70" s="1195">
        <f t="shared" si="24"/>
        <v>0.31475953833869064</v>
      </c>
      <c r="G70" s="1195">
        <f t="shared" si="24"/>
        <v>0.31475953833869064</v>
      </c>
      <c r="H70" s="1195">
        <f t="shared" si="24"/>
        <v>0.31960199277467044</v>
      </c>
      <c r="I70" s="1015"/>
    </row>
    <row r="71" spans="1:9">
      <c r="A71" s="1197" t="s">
        <v>748</v>
      </c>
      <c r="B71" s="1195">
        <f t="shared" ref="B71:H71" si="25">B70*86.4*365</f>
        <v>9468.1218717697666</v>
      </c>
      <c r="C71" s="1195">
        <f t="shared" si="25"/>
        <v>9468.1218717697666</v>
      </c>
      <c r="D71" s="1195">
        <f t="shared" si="25"/>
        <v>9620.8335148628248</v>
      </c>
      <c r="E71" s="1195">
        <f t="shared" si="25"/>
        <v>9773.5451579558867</v>
      </c>
      <c r="F71" s="1195">
        <f t="shared" si="25"/>
        <v>9926.2568010489485</v>
      </c>
      <c r="G71" s="1195">
        <f t="shared" si="25"/>
        <v>9926.2568010489485</v>
      </c>
      <c r="H71" s="1195">
        <f t="shared" si="25"/>
        <v>10078.968444142009</v>
      </c>
      <c r="I71" s="1246">
        <f t="shared" ref="I71:I80" si="26">SUM(B37:V37)</f>
        <v>60321.099021758986</v>
      </c>
    </row>
    <row r="72" spans="1:9">
      <c r="A72" s="1199" t="s">
        <v>764</v>
      </c>
      <c r="B72" s="1199"/>
      <c r="C72" s="1199"/>
      <c r="D72" s="1199"/>
      <c r="E72" s="1199"/>
      <c r="F72" s="1199"/>
      <c r="G72" s="1199"/>
      <c r="H72" s="1199"/>
      <c r="I72" s="1246">
        <f t="shared" si="26"/>
        <v>685756.7830182102</v>
      </c>
    </row>
    <row r="73" spans="1:9">
      <c r="A73" s="1199" t="s">
        <v>750</v>
      </c>
      <c r="B73" s="1246">
        <f t="shared" ref="B73:H73" si="27">ROUND($C$16*B71,2)</f>
        <v>3313.84</v>
      </c>
      <c r="C73" s="1246">
        <f t="shared" si="27"/>
        <v>3313.84</v>
      </c>
      <c r="D73" s="1246">
        <f t="shared" si="27"/>
        <v>3367.29</v>
      </c>
      <c r="E73" s="1246">
        <f t="shared" si="27"/>
        <v>3420.74</v>
      </c>
      <c r="F73" s="1246">
        <f t="shared" si="27"/>
        <v>3474.19</v>
      </c>
      <c r="G73" s="1246">
        <f t="shared" si="27"/>
        <v>3474.19</v>
      </c>
      <c r="H73" s="1246">
        <f t="shared" si="27"/>
        <v>3527.64</v>
      </c>
      <c r="I73" s="1246">
        <f t="shared" si="26"/>
        <v>21112.400000000001</v>
      </c>
    </row>
    <row r="74" spans="1:9">
      <c r="A74" s="1199" t="s">
        <v>751</v>
      </c>
      <c r="B74" s="1246">
        <f t="shared" ref="B74:H74" si="28">ROUND($D$16*B$71,2)</f>
        <v>2082.9899999999998</v>
      </c>
      <c r="C74" s="1246">
        <f t="shared" si="28"/>
        <v>2082.9899999999998</v>
      </c>
      <c r="D74" s="1246">
        <f t="shared" si="28"/>
        <v>2116.58</v>
      </c>
      <c r="E74" s="1246">
        <f t="shared" si="28"/>
        <v>2150.1799999999998</v>
      </c>
      <c r="F74" s="1246">
        <f t="shared" si="28"/>
        <v>2183.7800000000002</v>
      </c>
      <c r="G74" s="1246">
        <f t="shared" si="28"/>
        <v>2183.7800000000002</v>
      </c>
      <c r="H74" s="1246">
        <f t="shared" si="28"/>
        <v>2217.37</v>
      </c>
      <c r="I74" s="1246">
        <f t="shared" si="26"/>
        <v>13270.630000000001</v>
      </c>
    </row>
    <row r="75" spans="1:9">
      <c r="A75" s="1199" t="s">
        <v>752</v>
      </c>
      <c r="B75" s="1246">
        <f t="shared" ref="B75:H75" si="29">ROUND($E$16*B$71,2)</f>
        <v>7290.45</v>
      </c>
      <c r="C75" s="1246">
        <f t="shared" si="29"/>
        <v>7290.45</v>
      </c>
      <c r="D75" s="1246">
        <f t="shared" si="29"/>
        <v>7408.04</v>
      </c>
      <c r="E75" s="1246">
        <f t="shared" si="29"/>
        <v>7525.63</v>
      </c>
      <c r="F75" s="1246">
        <f t="shared" si="29"/>
        <v>7643.22</v>
      </c>
      <c r="G75" s="1246">
        <f t="shared" si="29"/>
        <v>7643.22</v>
      </c>
      <c r="H75" s="1246">
        <f t="shared" si="29"/>
        <v>7760.81</v>
      </c>
      <c r="I75" s="1246">
        <f t="shared" si="26"/>
        <v>46447.24</v>
      </c>
    </row>
    <row r="76" spans="1:9">
      <c r="A76" s="1199" t="s">
        <v>753</v>
      </c>
      <c r="B76" s="1246">
        <f t="shared" ref="B76:H76" si="30">ROUND($F$16*B$71,2)</f>
        <v>284.04000000000002</v>
      </c>
      <c r="C76" s="1246">
        <f t="shared" si="30"/>
        <v>284.04000000000002</v>
      </c>
      <c r="D76" s="1246">
        <f t="shared" si="30"/>
        <v>288.63</v>
      </c>
      <c r="E76" s="1246">
        <f t="shared" si="30"/>
        <v>293.20999999999998</v>
      </c>
      <c r="F76" s="1246">
        <f t="shared" si="30"/>
        <v>297.79000000000002</v>
      </c>
      <c r="G76" s="1246">
        <f t="shared" si="30"/>
        <v>297.79000000000002</v>
      </c>
      <c r="H76" s="1246">
        <f t="shared" si="30"/>
        <v>302.37</v>
      </c>
      <c r="I76" s="1246">
        <f t="shared" si="26"/>
        <v>1809.64</v>
      </c>
    </row>
    <row r="77" spans="1:9">
      <c r="A77" s="1199" t="s">
        <v>755</v>
      </c>
      <c r="B77" s="1246">
        <f t="shared" ref="B77:H77" si="31">ROUND($G$16*B$71,2)</f>
        <v>8142.58</v>
      </c>
      <c r="C77" s="1246">
        <f t="shared" si="31"/>
        <v>8142.58</v>
      </c>
      <c r="D77" s="1246">
        <f t="shared" si="31"/>
        <v>8273.92</v>
      </c>
      <c r="E77" s="1246">
        <f t="shared" si="31"/>
        <v>8405.25</v>
      </c>
      <c r="F77" s="1246">
        <f t="shared" si="31"/>
        <v>8536.58</v>
      </c>
      <c r="G77" s="1246">
        <f t="shared" si="31"/>
        <v>8536.58</v>
      </c>
      <c r="H77" s="1246">
        <f t="shared" si="31"/>
        <v>8667.91</v>
      </c>
      <c r="I77" s="1246">
        <f t="shared" si="26"/>
        <v>51876.14</v>
      </c>
    </row>
    <row r="78" spans="1:9">
      <c r="A78" s="1199" t="s">
        <v>754</v>
      </c>
      <c r="B78" s="1246">
        <f t="shared" ref="B78:H78" si="32">ROUND($H$16*B$71,2)</f>
        <v>5964.92</v>
      </c>
      <c r="C78" s="1246">
        <f t="shared" si="32"/>
        <v>5964.92</v>
      </c>
      <c r="D78" s="1246">
        <f t="shared" si="32"/>
        <v>6061.13</v>
      </c>
      <c r="E78" s="1246">
        <f t="shared" si="32"/>
        <v>6157.33</v>
      </c>
      <c r="F78" s="1246">
        <f t="shared" si="32"/>
        <v>6253.54</v>
      </c>
      <c r="G78" s="1246">
        <f t="shared" si="32"/>
        <v>6253.54</v>
      </c>
      <c r="H78" s="1246">
        <f t="shared" si="32"/>
        <v>6349.75</v>
      </c>
      <c r="I78" s="1246">
        <f t="shared" si="26"/>
        <v>38002.300000000003</v>
      </c>
    </row>
    <row r="79" spans="1:9">
      <c r="A79" s="1199" t="s">
        <v>746</v>
      </c>
      <c r="B79" s="1246">
        <f t="shared" ref="B79:H79" si="33">ROUND($C$21*B71,2)</f>
        <v>33138.43</v>
      </c>
      <c r="C79" s="1246">
        <f t="shared" si="33"/>
        <v>33138.43</v>
      </c>
      <c r="D79" s="1246">
        <f t="shared" si="33"/>
        <v>33672.92</v>
      </c>
      <c r="E79" s="1246">
        <f t="shared" si="33"/>
        <v>34207.410000000003</v>
      </c>
      <c r="F79" s="1246">
        <f t="shared" si="33"/>
        <v>34741.9</v>
      </c>
      <c r="G79" s="1246">
        <f t="shared" si="33"/>
        <v>34741.9</v>
      </c>
      <c r="H79" s="1246">
        <f t="shared" si="33"/>
        <v>35276.39</v>
      </c>
      <c r="I79" s="1246">
        <f t="shared" si="26"/>
        <v>211123.83</v>
      </c>
    </row>
    <row r="80" spans="1:9">
      <c r="A80" s="1199" t="s">
        <v>747</v>
      </c>
      <c r="B80" s="1246">
        <v>0</v>
      </c>
      <c r="C80" s="1246">
        <v>0</v>
      </c>
      <c r="D80" s="1246">
        <v>0</v>
      </c>
      <c r="E80" s="1246">
        <v>0</v>
      </c>
      <c r="F80" s="1246">
        <v>0</v>
      </c>
      <c r="G80" s="1246">
        <v>0</v>
      </c>
      <c r="H80" s="1246">
        <v>0</v>
      </c>
      <c r="I80" s="1246">
        <f t="shared" si="26"/>
        <v>0</v>
      </c>
    </row>
  </sheetData>
  <mergeCells count="4">
    <mergeCell ref="A31:A32"/>
    <mergeCell ref="I65:I66"/>
    <mergeCell ref="A48:A49"/>
    <mergeCell ref="A65:A66"/>
  </mergeCells>
  <phoneticPr fontId="12" type="noConversion"/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691E2-CA50-4C01-B8C6-9EB5150020FD}">
  <sheetPr>
    <tabColor theme="8"/>
    <pageSetUpPr fitToPage="1"/>
  </sheetPr>
  <dimension ref="A1:AL371"/>
  <sheetViews>
    <sheetView workbookViewId="0"/>
  </sheetViews>
  <sheetFormatPr defaultRowHeight="12.75"/>
  <cols>
    <col min="1" max="1" width="14" style="13" bestFit="1" customWidth="1"/>
    <col min="2" max="2" width="14.85546875" style="13" customWidth="1"/>
    <col min="3" max="3" width="8.85546875" style="13"/>
    <col min="4" max="4" width="10.42578125" style="13" customWidth="1"/>
    <col min="5" max="5" width="9.140625" style="13" customWidth="1"/>
    <col min="6" max="33" width="8.85546875" style="13"/>
    <col min="34" max="34" width="11" style="13" customWidth="1"/>
    <col min="35" max="256" width="8.85546875" style="13"/>
    <col min="257" max="257" width="14" style="13" bestFit="1" customWidth="1"/>
    <col min="258" max="258" width="14.85546875" style="13" customWidth="1"/>
    <col min="259" max="260" width="8.85546875" style="13"/>
    <col min="261" max="261" width="9.140625" style="13" customWidth="1"/>
    <col min="262" max="289" width="8.85546875" style="13"/>
    <col min="290" max="290" width="11" style="13" customWidth="1"/>
    <col min="291" max="512" width="8.85546875" style="13"/>
    <col min="513" max="513" width="14" style="13" bestFit="1" customWidth="1"/>
    <col min="514" max="514" width="14.85546875" style="13" customWidth="1"/>
    <col min="515" max="516" width="8.85546875" style="13"/>
    <col min="517" max="517" width="9.140625" style="13" customWidth="1"/>
    <col min="518" max="545" width="8.85546875" style="13"/>
    <col min="546" max="546" width="11" style="13" customWidth="1"/>
    <col min="547" max="768" width="8.85546875" style="13"/>
    <col min="769" max="769" width="14" style="13" bestFit="1" customWidth="1"/>
    <col min="770" max="770" width="14.85546875" style="13" customWidth="1"/>
    <col min="771" max="772" width="8.85546875" style="13"/>
    <col min="773" max="773" width="9.140625" style="13" customWidth="1"/>
    <col min="774" max="801" width="8.85546875" style="13"/>
    <col min="802" max="802" width="11" style="13" customWidth="1"/>
    <col min="803" max="1024" width="8.85546875" style="13"/>
    <col min="1025" max="1025" width="14" style="13" bestFit="1" customWidth="1"/>
    <col min="1026" max="1026" width="14.85546875" style="13" customWidth="1"/>
    <col min="1027" max="1028" width="8.85546875" style="13"/>
    <col min="1029" max="1029" width="9.140625" style="13" customWidth="1"/>
    <col min="1030" max="1057" width="8.85546875" style="13"/>
    <col min="1058" max="1058" width="11" style="13" customWidth="1"/>
    <col min="1059" max="1280" width="8.85546875" style="13"/>
    <col min="1281" max="1281" width="14" style="13" bestFit="1" customWidth="1"/>
    <col min="1282" max="1282" width="14.85546875" style="13" customWidth="1"/>
    <col min="1283" max="1284" width="8.85546875" style="13"/>
    <col min="1285" max="1285" width="9.140625" style="13" customWidth="1"/>
    <col min="1286" max="1313" width="8.85546875" style="13"/>
    <col min="1314" max="1314" width="11" style="13" customWidth="1"/>
    <col min="1315" max="1536" width="8.85546875" style="13"/>
    <col min="1537" max="1537" width="14" style="13" bestFit="1" customWidth="1"/>
    <col min="1538" max="1538" width="14.85546875" style="13" customWidth="1"/>
    <col min="1539" max="1540" width="8.85546875" style="13"/>
    <col min="1541" max="1541" width="9.140625" style="13" customWidth="1"/>
    <col min="1542" max="1569" width="8.85546875" style="13"/>
    <col min="1570" max="1570" width="11" style="13" customWidth="1"/>
    <col min="1571" max="1792" width="8.85546875" style="13"/>
    <col min="1793" max="1793" width="14" style="13" bestFit="1" customWidth="1"/>
    <col min="1794" max="1794" width="14.85546875" style="13" customWidth="1"/>
    <col min="1795" max="1796" width="8.85546875" style="13"/>
    <col min="1797" max="1797" width="9.140625" style="13" customWidth="1"/>
    <col min="1798" max="1825" width="8.85546875" style="13"/>
    <col min="1826" max="1826" width="11" style="13" customWidth="1"/>
    <col min="1827" max="2048" width="8.85546875" style="13"/>
    <col min="2049" max="2049" width="14" style="13" bestFit="1" customWidth="1"/>
    <col min="2050" max="2050" width="14.85546875" style="13" customWidth="1"/>
    <col min="2051" max="2052" width="8.85546875" style="13"/>
    <col min="2053" max="2053" width="9.140625" style="13" customWidth="1"/>
    <col min="2054" max="2081" width="8.85546875" style="13"/>
    <col min="2082" max="2082" width="11" style="13" customWidth="1"/>
    <col min="2083" max="2304" width="8.85546875" style="13"/>
    <col min="2305" max="2305" width="14" style="13" bestFit="1" customWidth="1"/>
    <col min="2306" max="2306" width="14.85546875" style="13" customWidth="1"/>
    <col min="2307" max="2308" width="8.85546875" style="13"/>
    <col min="2309" max="2309" width="9.140625" style="13" customWidth="1"/>
    <col min="2310" max="2337" width="8.85546875" style="13"/>
    <col min="2338" max="2338" width="11" style="13" customWidth="1"/>
    <col min="2339" max="2560" width="8.85546875" style="13"/>
    <col min="2561" max="2561" width="14" style="13" bestFit="1" customWidth="1"/>
    <col min="2562" max="2562" width="14.85546875" style="13" customWidth="1"/>
    <col min="2563" max="2564" width="8.85546875" style="13"/>
    <col min="2565" max="2565" width="9.140625" style="13" customWidth="1"/>
    <col min="2566" max="2593" width="8.85546875" style="13"/>
    <col min="2594" max="2594" width="11" style="13" customWidth="1"/>
    <col min="2595" max="2816" width="8.85546875" style="13"/>
    <col min="2817" max="2817" width="14" style="13" bestFit="1" customWidth="1"/>
    <col min="2818" max="2818" width="14.85546875" style="13" customWidth="1"/>
    <col min="2819" max="2820" width="8.85546875" style="13"/>
    <col min="2821" max="2821" width="9.140625" style="13" customWidth="1"/>
    <col min="2822" max="2849" width="8.85546875" style="13"/>
    <col min="2850" max="2850" width="11" style="13" customWidth="1"/>
    <col min="2851" max="3072" width="8.85546875" style="13"/>
    <col min="3073" max="3073" width="14" style="13" bestFit="1" customWidth="1"/>
    <col min="3074" max="3074" width="14.85546875" style="13" customWidth="1"/>
    <col min="3075" max="3076" width="8.85546875" style="13"/>
    <col min="3077" max="3077" width="9.140625" style="13" customWidth="1"/>
    <col min="3078" max="3105" width="8.85546875" style="13"/>
    <col min="3106" max="3106" width="11" style="13" customWidth="1"/>
    <col min="3107" max="3328" width="8.85546875" style="13"/>
    <col min="3329" max="3329" width="14" style="13" bestFit="1" customWidth="1"/>
    <col min="3330" max="3330" width="14.85546875" style="13" customWidth="1"/>
    <col min="3331" max="3332" width="8.85546875" style="13"/>
    <col min="3333" max="3333" width="9.140625" style="13" customWidth="1"/>
    <col min="3334" max="3361" width="8.85546875" style="13"/>
    <col min="3362" max="3362" width="11" style="13" customWidth="1"/>
    <col min="3363" max="3584" width="8.85546875" style="13"/>
    <col min="3585" max="3585" width="14" style="13" bestFit="1" customWidth="1"/>
    <col min="3586" max="3586" width="14.85546875" style="13" customWidth="1"/>
    <col min="3587" max="3588" width="8.85546875" style="13"/>
    <col min="3589" max="3589" width="9.140625" style="13" customWidth="1"/>
    <col min="3590" max="3617" width="8.85546875" style="13"/>
    <col min="3618" max="3618" width="11" style="13" customWidth="1"/>
    <col min="3619" max="3840" width="8.85546875" style="13"/>
    <col min="3841" max="3841" width="14" style="13" bestFit="1" customWidth="1"/>
    <col min="3842" max="3842" width="14.85546875" style="13" customWidth="1"/>
    <col min="3843" max="3844" width="8.85546875" style="13"/>
    <col min="3845" max="3845" width="9.140625" style="13" customWidth="1"/>
    <col min="3846" max="3873" width="8.85546875" style="13"/>
    <col min="3874" max="3874" width="11" style="13" customWidth="1"/>
    <col min="3875" max="4096" width="8.85546875" style="13"/>
    <col min="4097" max="4097" width="14" style="13" bestFit="1" customWidth="1"/>
    <col min="4098" max="4098" width="14.85546875" style="13" customWidth="1"/>
    <col min="4099" max="4100" width="8.85546875" style="13"/>
    <col min="4101" max="4101" width="9.140625" style="13" customWidth="1"/>
    <col min="4102" max="4129" width="8.85546875" style="13"/>
    <col min="4130" max="4130" width="11" style="13" customWidth="1"/>
    <col min="4131" max="4352" width="8.85546875" style="13"/>
    <col min="4353" max="4353" width="14" style="13" bestFit="1" customWidth="1"/>
    <col min="4354" max="4354" width="14.85546875" style="13" customWidth="1"/>
    <col min="4355" max="4356" width="8.85546875" style="13"/>
    <col min="4357" max="4357" width="9.140625" style="13" customWidth="1"/>
    <col min="4358" max="4385" width="8.85546875" style="13"/>
    <col min="4386" max="4386" width="11" style="13" customWidth="1"/>
    <col min="4387" max="4608" width="8.85546875" style="13"/>
    <col min="4609" max="4609" width="14" style="13" bestFit="1" customWidth="1"/>
    <col min="4610" max="4610" width="14.85546875" style="13" customWidth="1"/>
    <col min="4611" max="4612" width="8.85546875" style="13"/>
    <col min="4613" max="4613" width="9.140625" style="13" customWidth="1"/>
    <col min="4614" max="4641" width="8.85546875" style="13"/>
    <col min="4642" max="4642" width="11" style="13" customWidth="1"/>
    <col min="4643" max="4864" width="8.85546875" style="13"/>
    <col min="4865" max="4865" width="14" style="13" bestFit="1" customWidth="1"/>
    <col min="4866" max="4866" width="14.85546875" style="13" customWidth="1"/>
    <col min="4867" max="4868" width="8.85546875" style="13"/>
    <col min="4869" max="4869" width="9.140625" style="13" customWidth="1"/>
    <col min="4870" max="4897" width="8.85546875" style="13"/>
    <col min="4898" max="4898" width="11" style="13" customWidth="1"/>
    <col min="4899" max="5120" width="8.85546875" style="13"/>
    <col min="5121" max="5121" width="14" style="13" bestFit="1" customWidth="1"/>
    <col min="5122" max="5122" width="14.85546875" style="13" customWidth="1"/>
    <col min="5123" max="5124" width="8.85546875" style="13"/>
    <col min="5125" max="5125" width="9.140625" style="13" customWidth="1"/>
    <col min="5126" max="5153" width="8.85546875" style="13"/>
    <col min="5154" max="5154" width="11" style="13" customWidth="1"/>
    <col min="5155" max="5376" width="8.85546875" style="13"/>
    <col min="5377" max="5377" width="14" style="13" bestFit="1" customWidth="1"/>
    <col min="5378" max="5378" width="14.85546875" style="13" customWidth="1"/>
    <col min="5379" max="5380" width="8.85546875" style="13"/>
    <col min="5381" max="5381" width="9.140625" style="13" customWidth="1"/>
    <col min="5382" max="5409" width="8.85546875" style="13"/>
    <col min="5410" max="5410" width="11" style="13" customWidth="1"/>
    <col min="5411" max="5632" width="8.85546875" style="13"/>
    <col min="5633" max="5633" width="14" style="13" bestFit="1" customWidth="1"/>
    <col min="5634" max="5634" width="14.85546875" style="13" customWidth="1"/>
    <col min="5635" max="5636" width="8.85546875" style="13"/>
    <col min="5637" max="5637" width="9.140625" style="13" customWidth="1"/>
    <col min="5638" max="5665" width="8.85546875" style="13"/>
    <col min="5666" max="5666" width="11" style="13" customWidth="1"/>
    <col min="5667" max="5888" width="8.85546875" style="13"/>
    <col min="5889" max="5889" width="14" style="13" bestFit="1" customWidth="1"/>
    <col min="5890" max="5890" width="14.85546875" style="13" customWidth="1"/>
    <col min="5891" max="5892" width="8.85546875" style="13"/>
    <col min="5893" max="5893" width="9.140625" style="13" customWidth="1"/>
    <col min="5894" max="5921" width="8.85546875" style="13"/>
    <col min="5922" max="5922" width="11" style="13" customWidth="1"/>
    <col min="5923" max="6144" width="8.85546875" style="13"/>
    <col min="6145" max="6145" width="14" style="13" bestFit="1" customWidth="1"/>
    <col min="6146" max="6146" width="14.85546875" style="13" customWidth="1"/>
    <col min="6147" max="6148" width="8.85546875" style="13"/>
    <col min="6149" max="6149" width="9.140625" style="13" customWidth="1"/>
    <col min="6150" max="6177" width="8.85546875" style="13"/>
    <col min="6178" max="6178" width="11" style="13" customWidth="1"/>
    <col min="6179" max="6400" width="8.85546875" style="13"/>
    <col min="6401" max="6401" width="14" style="13" bestFit="1" customWidth="1"/>
    <col min="6402" max="6402" width="14.85546875" style="13" customWidth="1"/>
    <col min="6403" max="6404" width="8.85546875" style="13"/>
    <col min="6405" max="6405" width="9.140625" style="13" customWidth="1"/>
    <col min="6406" max="6433" width="8.85546875" style="13"/>
    <col min="6434" max="6434" width="11" style="13" customWidth="1"/>
    <col min="6435" max="6656" width="8.85546875" style="13"/>
    <col min="6657" max="6657" width="14" style="13" bestFit="1" customWidth="1"/>
    <col min="6658" max="6658" width="14.85546875" style="13" customWidth="1"/>
    <col min="6659" max="6660" width="8.85546875" style="13"/>
    <col min="6661" max="6661" width="9.140625" style="13" customWidth="1"/>
    <col min="6662" max="6689" width="8.85546875" style="13"/>
    <col min="6690" max="6690" width="11" style="13" customWidth="1"/>
    <col min="6691" max="6912" width="8.85546875" style="13"/>
    <col min="6913" max="6913" width="14" style="13" bestFit="1" customWidth="1"/>
    <col min="6914" max="6914" width="14.85546875" style="13" customWidth="1"/>
    <col min="6915" max="6916" width="8.85546875" style="13"/>
    <col min="6917" max="6917" width="9.140625" style="13" customWidth="1"/>
    <col min="6918" max="6945" width="8.85546875" style="13"/>
    <col min="6946" max="6946" width="11" style="13" customWidth="1"/>
    <col min="6947" max="7168" width="8.85546875" style="13"/>
    <col min="7169" max="7169" width="14" style="13" bestFit="1" customWidth="1"/>
    <col min="7170" max="7170" width="14.85546875" style="13" customWidth="1"/>
    <col min="7171" max="7172" width="8.85546875" style="13"/>
    <col min="7173" max="7173" width="9.140625" style="13" customWidth="1"/>
    <col min="7174" max="7201" width="8.85546875" style="13"/>
    <col min="7202" max="7202" width="11" style="13" customWidth="1"/>
    <col min="7203" max="7424" width="8.85546875" style="13"/>
    <col min="7425" max="7425" width="14" style="13" bestFit="1" customWidth="1"/>
    <col min="7426" max="7426" width="14.85546875" style="13" customWidth="1"/>
    <col min="7427" max="7428" width="8.85546875" style="13"/>
    <col min="7429" max="7429" width="9.140625" style="13" customWidth="1"/>
    <col min="7430" max="7457" width="8.85546875" style="13"/>
    <col min="7458" max="7458" width="11" style="13" customWidth="1"/>
    <col min="7459" max="7680" width="8.85546875" style="13"/>
    <col min="7681" max="7681" width="14" style="13" bestFit="1" customWidth="1"/>
    <col min="7682" max="7682" width="14.85546875" style="13" customWidth="1"/>
    <col min="7683" max="7684" width="8.85546875" style="13"/>
    <col min="7685" max="7685" width="9.140625" style="13" customWidth="1"/>
    <col min="7686" max="7713" width="8.85546875" style="13"/>
    <col min="7714" max="7714" width="11" style="13" customWidth="1"/>
    <col min="7715" max="7936" width="8.85546875" style="13"/>
    <col min="7937" max="7937" width="14" style="13" bestFit="1" customWidth="1"/>
    <col min="7938" max="7938" width="14.85546875" style="13" customWidth="1"/>
    <col min="7939" max="7940" width="8.85546875" style="13"/>
    <col min="7941" max="7941" width="9.140625" style="13" customWidth="1"/>
    <col min="7942" max="7969" width="8.85546875" style="13"/>
    <col min="7970" max="7970" width="11" style="13" customWidth="1"/>
    <col min="7971" max="8192" width="8.85546875" style="13"/>
    <col min="8193" max="8193" width="14" style="13" bestFit="1" customWidth="1"/>
    <col min="8194" max="8194" width="14.85546875" style="13" customWidth="1"/>
    <col min="8195" max="8196" width="8.85546875" style="13"/>
    <col min="8197" max="8197" width="9.140625" style="13" customWidth="1"/>
    <col min="8198" max="8225" width="8.85546875" style="13"/>
    <col min="8226" max="8226" width="11" style="13" customWidth="1"/>
    <col min="8227" max="8448" width="8.85546875" style="13"/>
    <col min="8449" max="8449" width="14" style="13" bestFit="1" customWidth="1"/>
    <col min="8450" max="8450" width="14.85546875" style="13" customWidth="1"/>
    <col min="8451" max="8452" width="8.85546875" style="13"/>
    <col min="8453" max="8453" width="9.140625" style="13" customWidth="1"/>
    <col min="8454" max="8481" width="8.85546875" style="13"/>
    <col min="8482" max="8482" width="11" style="13" customWidth="1"/>
    <col min="8483" max="8704" width="8.85546875" style="13"/>
    <col min="8705" max="8705" width="14" style="13" bestFit="1" customWidth="1"/>
    <col min="8706" max="8706" width="14.85546875" style="13" customWidth="1"/>
    <col min="8707" max="8708" width="8.85546875" style="13"/>
    <col min="8709" max="8709" width="9.140625" style="13" customWidth="1"/>
    <col min="8710" max="8737" width="8.85546875" style="13"/>
    <col min="8738" max="8738" width="11" style="13" customWidth="1"/>
    <col min="8739" max="8960" width="8.85546875" style="13"/>
    <col min="8961" max="8961" width="14" style="13" bestFit="1" customWidth="1"/>
    <col min="8962" max="8962" width="14.85546875" style="13" customWidth="1"/>
    <col min="8963" max="8964" width="8.85546875" style="13"/>
    <col min="8965" max="8965" width="9.140625" style="13" customWidth="1"/>
    <col min="8966" max="8993" width="8.85546875" style="13"/>
    <col min="8994" max="8994" width="11" style="13" customWidth="1"/>
    <col min="8995" max="9216" width="8.85546875" style="13"/>
    <col min="9217" max="9217" width="14" style="13" bestFit="1" customWidth="1"/>
    <col min="9218" max="9218" width="14.85546875" style="13" customWidth="1"/>
    <col min="9219" max="9220" width="8.85546875" style="13"/>
    <col min="9221" max="9221" width="9.140625" style="13" customWidth="1"/>
    <col min="9222" max="9249" width="8.85546875" style="13"/>
    <col min="9250" max="9250" width="11" style="13" customWidth="1"/>
    <col min="9251" max="9472" width="8.85546875" style="13"/>
    <col min="9473" max="9473" width="14" style="13" bestFit="1" customWidth="1"/>
    <col min="9474" max="9474" width="14.85546875" style="13" customWidth="1"/>
    <col min="9475" max="9476" width="8.85546875" style="13"/>
    <col min="9477" max="9477" width="9.140625" style="13" customWidth="1"/>
    <col min="9478" max="9505" width="8.85546875" style="13"/>
    <col min="9506" max="9506" width="11" style="13" customWidth="1"/>
    <col min="9507" max="9728" width="8.85546875" style="13"/>
    <col min="9729" max="9729" width="14" style="13" bestFit="1" customWidth="1"/>
    <col min="9730" max="9730" width="14.85546875" style="13" customWidth="1"/>
    <col min="9731" max="9732" width="8.85546875" style="13"/>
    <col min="9733" max="9733" width="9.140625" style="13" customWidth="1"/>
    <col min="9734" max="9761" width="8.85546875" style="13"/>
    <col min="9762" max="9762" width="11" style="13" customWidth="1"/>
    <col min="9763" max="9984" width="8.85546875" style="13"/>
    <col min="9985" max="9985" width="14" style="13" bestFit="1" customWidth="1"/>
    <col min="9986" max="9986" width="14.85546875" style="13" customWidth="1"/>
    <col min="9987" max="9988" width="8.85546875" style="13"/>
    <col min="9989" max="9989" width="9.140625" style="13" customWidth="1"/>
    <col min="9990" max="10017" width="8.85546875" style="13"/>
    <col min="10018" max="10018" width="11" style="13" customWidth="1"/>
    <col min="10019" max="10240" width="8.85546875" style="13"/>
    <col min="10241" max="10241" width="14" style="13" bestFit="1" customWidth="1"/>
    <col min="10242" max="10242" width="14.85546875" style="13" customWidth="1"/>
    <col min="10243" max="10244" width="8.85546875" style="13"/>
    <col min="10245" max="10245" width="9.140625" style="13" customWidth="1"/>
    <col min="10246" max="10273" width="8.85546875" style="13"/>
    <col min="10274" max="10274" width="11" style="13" customWidth="1"/>
    <col min="10275" max="10496" width="8.85546875" style="13"/>
    <col min="10497" max="10497" width="14" style="13" bestFit="1" customWidth="1"/>
    <col min="10498" max="10498" width="14.85546875" style="13" customWidth="1"/>
    <col min="10499" max="10500" width="8.85546875" style="13"/>
    <col min="10501" max="10501" width="9.140625" style="13" customWidth="1"/>
    <col min="10502" max="10529" width="8.85546875" style="13"/>
    <col min="10530" max="10530" width="11" style="13" customWidth="1"/>
    <col min="10531" max="10752" width="8.85546875" style="13"/>
    <col min="10753" max="10753" width="14" style="13" bestFit="1" customWidth="1"/>
    <col min="10754" max="10754" width="14.85546875" style="13" customWidth="1"/>
    <col min="10755" max="10756" width="8.85546875" style="13"/>
    <col min="10757" max="10757" width="9.140625" style="13" customWidth="1"/>
    <col min="10758" max="10785" width="8.85546875" style="13"/>
    <col min="10786" max="10786" width="11" style="13" customWidth="1"/>
    <col min="10787" max="11008" width="8.85546875" style="13"/>
    <col min="11009" max="11009" width="14" style="13" bestFit="1" customWidth="1"/>
    <col min="11010" max="11010" width="14.85546875" style="13" customWidth="1"/>
    <col min="11011" max="11012" width="8.85546875" style="13"/>
    <col min="11013" max="11013" width="9.140625" style="13" customWidth="1"/>
    <col min="11014" max="11041" width="8.85546875" style="13"/>
    <col min="11042" max="11042" width="11" style="13" customWidth="1"/>
    <col min="11043" max="11264" width="8.85546875" style="13"/>
    <col min="11265" max="11265" width="14" style="13" bestFit="1" customWidth="1"/>
    <col min="11266" max="11266" width="14.85546875" style="13" customWidth="1"/>
    <col min="11267" max="11268" width="8.85546875" style="13"/>
    <col min="11269" max="11269" width="9.140625" style="13" customWidth="1"/>
    <col min="11270" max="11297" width="8.85546875" style="13"/>
    <col min="11298" max="11298" width="11" style="13" customWidth="1"/>
    <col min="11299" max="11520" width="8.85546875" style="13"/>
    <col min="11521" max="11521" width="14" style="13" bestFit="1" customWidth="1"/>
    <col min="11522" max="11522" width="14.85546875" style="13" customWidth="1"/>
    <col min="11523" max="11524" width="8.85546875" style="13"/>
    <col min="11525" max="11525" width="9.140625" style="13" customWidth="1"/>
    <col min="11526" max="11553" width="8.85546875" style="13"/>
    <col min="11554" max="11554" width="11" style="13" customWidth="1"/>
    <col min="11555" max="11776" width="8.85546875" style="13"/>
    <col min="11777" max="11777" width="14" style="13" bestFit="1" customWidth="1"/>
    <col min="11778" max="11778" width="14.85546875" style="13" customWidth="1"/>
    <col min="11779" max="11780" width="8.85546875" style="13"/>
    <col min="11781" max="11781" width="9.140625" style="13" customWidth="1"/>
    <col min="11782" max="11809" width="8.85546875" style="13"/>
    <col min="11810" max="11810" width="11" style="13" customWidth="1"/>
    <col min="11811" max="12032" width="8.85546875" style="13"/>
    <col min="12033" max="12033" width="14" style="13" bestFit="1" customWidth="1"/>
    <col min="12034" max="12034" width="14.85546875" style="13" customWidth="1"/>
    <col min="12035" max="12036" width="8.85546875" style="13"/>
    <col min="12037" max="12037" width="9.140625" style="13" customWidth="1"/>
    <col min="12038" max="12065" width="8.85546875" style="13"/>
    <col min="12066" max="12066" width="11" style="13" customWidth="1"/>
    <col min="12067" max="12288" width="8.85546875" style="13"/>
    <col min="12289" max="12289" width="14" style="13" bestFit="1" customWidth="1"/>
    <col min="12290" max="12290" width="14.85546875" style="13" customWidth="1"/>
    <col min="12291" max="12292" width="8.85546875" style="13"/>
    <col min="12293" max="12293" width="9.140625" style="13" customWidth="1"/>
    <col min="12294" max="12321" width="8.85546875" style="13"/>
    <col min="12322" max="12322" width="11" style="13" customWidth="1"/>
    <col min="12323" max="12544" width="8.85546875" style="13"/>
    <col min="12545" max="12545" width="14" style="13" bestFit="1" customWidth="1"/>
    <col min="12546" max="12546" width="14.85546875" style="13" customWidth="1"/>
    <col min="12547" max="12548" width="8.85546875" style="13"/>
    <col min="12549" max="12549" width="9.140625" style="13" customWidth="1"/>
    <col min="12550" max="12577" width="8.85546875" style="13"/>
    <col min="12578" max="12578" width="11" style="13" customWidth="1"/>
    <col min="12579" max="12800" width="8.85546875" style="13"/>
    <col min="12801" max="12801" width="14" style="13" bestFit="1" customWidth="1"/>
    <col min="12802" max="12802" width="14.85546875" style="13" customWidth="1"/>
    <col min="12803" max="12804" width="8.85546875" style="13"/>
    <col min="12805" max="12805" width="9.140625" style="13" customWidth="1"/>
    <col min="12806" max="12833" width="8.85546875" style="13"/>
    <col min="12834" max="12834" width="11" style="13" customWidth="1"/>
    <col min="12835" max="13056" width="8.85546875" style="13"/>
    <col min="13057" max="13057" width="14" style="13" bestFit="1" customWidth="1"/>
    <col min="13058" max="13058" width="14.85546875" style="13" customWidth="1"/>
    <col min="13059" max="13060" width="8.85546875" style="13"/>
    <col min="13061" max="13061" width="9.140625" style="13" customWidth="1"/>
    <col min="13062" max="13089" width="8.85546875" style="13"/>
    <col min="13090" max="13090" width="11" style="13" customWidth="1"/>
    <col min="13091" max="13312" width="8.85546875" style="13"/>
    <col min="13313" max="13313" width="14" style="13" bestFit="1" customWidth="1"/>
    <col min="13314" max="13314" width="14.85546875" style="13" customWidth="1"/>
    <col min="13315" max="13316" width="8.85546875" style="13"/>
    <col min="13317" max="13317" width="9.140625" style="13" customWidth="1"/>
    <col min="13318" max="13345" width="8.85546875" style="13"/>
    <col min="13346" max="13346" width="11" style="13" customWidth="1"/>
    <col min="13347" max="13568" width="8.85546875" style="13"/>
    <col min="13569" max="13569" width="14" style="13" bestFit="1" customWidth="1"/>
    <col min="13570" max="13570" width="14.85546875" style="13" customWidth="1"/>
    <col min="13571" max="13572" width="8.85546875" style="13"/>
    <col min="13573" max="13573" width="9.140625" style="13" customWidth="1"/>
    <col min="13574" max="13601" width="8.85546875" style="13"/>
    <col min="13602" max="13602" width="11" style="13" customWidth="1"/>
    <col min="13603" max="13824" width="8.85546875" style="13"/>
    <col min="13825" max="13825" width="14" style="13" bestFit="1" customWidth="1"/>
    <col min="13826" max="13826" width="14.85546875" style="13" customWidth="1"/>
    <col min="13827" max="13828" width="8.85546875" style="13"/>
    <col min="13829" max="13829" width="9.140625" style="13" customWidth="1"/>
    <col min="13830" max="13857" width="8.85546875" style="13"/>
    <col min="13858" max="13858" width="11" style="13" customWidth="1"/>
    <col min="13859" max="14080" width="8.85546875" style="13"/>
    <col min="14081" max="14081" width="14" style="13" bestFit="1" customWidth="1"/>
    <col min="14082" max="14082" width="14.85546875" style="13" customWidth="1"/>
    <col min="14083" max="14084" width="8.85546875" style="13"/>
    <col min="14085" max="14085" width="9.140625" style="13" customWidth="1"/>
    <col min="14086" max="14113" width="8.85546875" style="13"/>
    <col min="14114" max="14114" width="11" style="13" customWidth="1"/>
    <col min="14115" max="14336" width="8.85546875" style="13"/>
    <col min="14337" max="14337" width="14" style="13" bestFit="1" customWidth="1"/>
    <col min="14338" max="14338" width="14.85546875" style="13" customWidth="1"/>
    <col min="14339" max="14340" width="8.85546875" style="13"/>
    <col min="14341" max="14341" width="9.140625" style="13" customWidth="1"/>
    <col min="14342" max="14369" width="8.85546875" style="13"/>
    <col min="14370" max="14370" width="11" style="13" customWidth="1"/>
    <col min="14371" max="14592" width="8.85546875" style="13"/>
    <col min="14593" max="14593" width="14" style="13" bestFit="1" customWidth="1"/>
    <col min="14594" max="14594" width="14.85546875" style="13" customWidth="1"/>
    <col min="14595" max="14596" width="8.85546875" style="13"/>
    <col min="14597" max="14597" width="9.140625" style="13" customWidth="1"/>
    <col min="14598" max="14625" width="8.85546875" style="13"/>
    <col min="14626" max="14626" width="11" style="13" customWidth="1"/>
    <col min="14627" max="14848" width="8.85546875" style="13"/>
    <col min="14849" max="14849" width="14" style="13" bestFit="1" customWidth="1"/>
    <col min="14850" max="14850" width="14.85546875" style="13" customWidth="1"/>
    <col min="14851" max="14852" width="8.85546875" style="13"/>
    <col min="14853" max="14853" width="9.140625" style="13" customWidth="1"/>
    <col min="14854" max="14881" width="8.85546875" style="13"/>
    <col min="14882" max="14882" width="11" style="13" customWidth="1"/>
    <col min="14883" max="15104" width="8.85546875" style="13"/>
    <col min="15105" max="15105" width="14" style="13" bestFit="1" customWidth="1"/>
    <col min="15106" max="15106" width="14.85546875" style="13" customWidth="1"/>
    <col min="15107" max="15108" width="8.85546875" style="13"/>
    <col min="15109" max="15109" width="9.140625" style="13" customWidth="1"/>
    <col min="15110" max="15137" width="8.85546875" style="13"/>
    <col min="15138" max="15138" width="11" style="13" customWidth="1"/>
    <col min="15139" max="15360" width="8.85546875" style="13"/>
    <col min="15361" max="15361" width="14" style="13" bestFit="1" customWidth="1"/>
    <col min="15362" max="15362" width="14.85546875" style="13" customWidth="1"/>
    <col min="15363" max="15364" width="8.85546875" style="13"/>
    <col min="15365" max="15365" width="9.140625" style="13" customWidth="1"/>
    <col min="15366" max="15393" width="8.85546875" style="13"/>
    <col min="15394" max="15394" width="11" style="13" customWidth="1"/>
    <col min="15395" max="15616" width="8.85546875" style="13"/>
    <col min="15617" max="15617" width="14" style="13" bestFit="1" customWidth="1"/>
    <col min="15618" max="15618" width="14.85546875" style="13" customWidth="1"/>
    <col min="15619" max="15620" width="8.85546875" style="13"/>
    <col min="15621" max="15621" width="9.140625" style="13" customWidth="1"/>
    <col min="15622" max="15649" width="8.85546875" style="13"/>
    <col min="15650" max="15650" width="11" style="13" customWidth="1"/>
    <col min="15651" max="15872" width="8.85546875" style="13"/>
    <col min="15873" max="15873" width="14" style="13" bestFit="1" customWidth="1"/>
    <col min="15874" max="15874" width="14.85546875" style="13" customWidth="1"/>
    <col min="15875" max="15876" width="8.85546875" style="13"/>
    <col min="15877" max="15877" width="9.140625" style="13" customWidth="1"/>
    <col min="15878" max="15905" width="8.85546875" style="13"/>
    <col min="15906" max="15906" width="11" style="13" customWidth="1"/>
    <col min="15907" max="16128" width="8.85546875" style="13"/>
    <col min="16129" max="16129" width="14" style="13" bestFit="1" customWidth="1"/>
    <col min="16130" max="16130" width="14.85546875" style="13" customWidth="1"/>
    <col min="16131" max="16132" width="8.85546875" style="13"/>
    <col min="16133" max="16133" width="9.140625" style="13" customWidth="1"/>
    <col min="16134" max="16161" width="8.85546875" style="13"/>
    <col min="16162" max="16162" width="11" style="13" customWidth="1"/>
    <col min="16163" max="16384" width="8.8554687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21202876.446646273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299">
        <f>'17 R1 INV'!M73</f>
        <v>5209890.1252055857</v>
      </c>
      <c r="I7" s="299">
        <f>'17 R1 INV'!N73</f>
        <v>727898.33131925284</v>
      </c>
      <c r="J7" s="299">
        <f>'17 R1 INV'!O73</f>
        <v>1713105.5265664214</v>
      </c>
      <c r="K7" s="299">
        <f>'17 R1 INV'!P73</f>
        <v>1191741.8254753242</v>
      </c>
      <c r="L7" s="299">
        <f>'17 R1 INV'!Q73</f>
        <v>1924165.9188391753</v>
      </c>
      <c r="M7" s="1461">
        <f>'17 R1 INV'!R73+'E2 VALE PASSAROS'!B38</f>
        <v>1685534.8535779708</v>
      </c>
      <c r="N7" s="1461">
        <f>'17 R1 INV'!S73+'E2 VALE PASSAROS'!C38</f>
        <v>2653505.4796216656</v>
      </c>
      <c r="O7" s="1461">
        <f>'17 R1 INV'!T73+'E2 VALE PASSAROS'!D38</f>
        <v>2353010.2054911945</v>
      </c>
      <c r="P7" s="1461">
        <f>'17 R1 INV'!U73+'E2 VALE PASSAROS'!E38</f>
        <v>68386.753752136574</v>
      </c>
      <c r="Q7" s="1461">
        <f>'17 R1 INV'!V73+'E2 VALE PASSAROS'!F38</f>
        <v>68386.753752136574</v>
      </c>
      <c r="R7" s="1461">
        <f>'17 R1 INV'!W73+'E2 VALE PASSAROS'!G38</f>
        <v>68386.753752136574</v>
      </c>
      <c r="S7" s="1461">
        <f>'17 R1 INV'!X73+'E2 VALE PASSAROS'!H38</f>
        <v>63098.753752136574</v>
      </c>
      <c r="T7" s="1461">
        <f>'17 R1 INV'!Y73+'E2 VALE PASSAROS'!B55</f>
        <v>63098.753752136574</v>
      </c>
      <c r="U7" s="1461">
        <f>'17 R1 INV'!Z73+'E2 VALE PASSAROS'!C55</f>
        <v>63098.753752136574</v>
      </c>
      <c r="V7" s="1461">
        <f>'17 R1 INV'!AA73+'E2 VALE PASSAROS'!D55</f>
        <v>63098.753752136574</v>
      </c>
      <c r="W7" s="1461">
        <f>'17 R1 INV'!AB73+'E2 VALE PASSAROS'!E55</f>
        <v>63098.753752136574</v>
      </c>
      <c r="X7" s="1461">
        <f>'17 R1 INV'!AC73+'E2 VALE PASSAROS'!F55</f>
        <v>68793.753752136574</v>
      </c>
      <c r="Y7" s="1461">
        <f>'17 R1 INV'!AD73+'E2 VALE PASSAROS'!G55</f>
        <v>59438.753752136574</v>
      </c>
      <c r="Z7" s="1461">
        <f>'17 R1 INV'!AE73+'E2 VALE PASSAROS'!H55</f>
        <v>59438.753752136574</v>
      </c>
      <c r="AA7" s="1461">
        <f>'17 R1 INV'!AF73+'E2 VALE PASSAROS'!B72</f>
        <v>59438.753752136574</v>
      </c>
      <c r="AB7" s="1461">
        <f>'17 R1 INV'!AG73+'E2 VALE PASSAROS'!C72</f>
        <v>59438.753752136574</v>
      </c>
      <c r="AC7" s="1461">
        <f>'17 R1 INV'!AH73+'E2 VALE PASSAROS'!D72</f>
        <v>68793.753752136574</v>
      </c>
      <c r="AD7" s="1461">
        <f>'17 R1 INV'!AI73+'E2 VALE PASSAROS'!E72</f>
        <v>60252.753752136574</v>
      </c>
      <c r="AE7" s="1461">
        <f>'17 R1 INV'!AJ73+'E2 VALE PASSAROS'!F72</f>
        <v>61066.753752136574</v>
      </c>
      <c r="AF7" s="1461">
        <f>'17 R1 INV'!AK73+'E2 VALE PASSAROS'!G72</f>
        <v>62284.753752136574</v>
      </c>
      <c r="AG7" s="1461">
        <f>'17 R1 INV'!AL73+'E2 VALE PASSAROS'!H72</f>
        <v>59447.247996732927</v>
      </c>
      <c r="AH7" s="300">
        <f>SUM(D7:AG7)</f>
        <v>21202876.446646273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208395.60500822344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304965.65942868049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208395.60500822344</v>
      </c>
      <c r="I16" s="308">
        <f>I7/24</f>
        <v>30329.097138302201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335294.75656698272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208395.60500822344</v>
      </c>
      <c r="I17" s="305">
        <f>I16</f>
        <v>30329.097138302201</v>
      </c>
      <c r="J17" s="308">
        <f>J7/23</f>
        <v>74482.848981148753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409777.60554813145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208395.60500822344</v>
      </c>
      <c r="I18" s="305">
        <f t="shared" si="9"/>
        <v>30329.097138302201</v>
      </c>
      <c r="J18" s="305">
        <f>J17</f>
        <v>74482.848981148753</v>
      </c>
      <c r="K18" s="308">
        <f>K7/22</f>
        <v>54170.082976151098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463947.68852428254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208395.60500822344</v>
      </c>
      <c r="I19" s="305">
        <f t="shared" si="9"/>
        <v>30329.097138302201</v>
      </c>
      <c r="J19" s="305">
        <f t="shared" si="9"/>
        <v>74482.848981148753</v>
      </c>
      <c r="K19" s="305">
        <f>K18</f>
        <v>54170.082976151098</v>
      </c>
      <c r="L19" s="308">
        <f>L7/21</f>
        <v>91626.948516151198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555574.63704043371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208395.60500822344</v>
      </c>
      <c r="I20" s="305">
        <f t="shared" si="9"/>
        <v>30329.097138302201</v>
      </c>
      <c r="J20" s="305">
        <f t="shared" si="9"/>
        <v>74482.848981148753</v>
      </c>
      <c r="K20" s="305">
        <f t="shared" si="9"/>
        <v>54170.082976151098</v>
      </c>
      <c r="L20" s="305">
        <f>L19</f>
        <v>91626.948516151198</v>
      </c>
      <c r="M20" s="308">
        <f>M7/20</f>
        <v>84276.742678898532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639851.37971933221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208395.60500822344</v>
      </c>
      <c r="I21" s="305">
        <f t="shared" si="9"/>
        <v>30329.097138302201</v>
      </c>
      <c r="J21" s="305">
        <f t="shared" si="9"/>
        <v>74482.848981148753</v>
      </c>
      <c r="K21" s="305">
        <f t="shared" si="9"/>
        <v>54170.082976151098</v>
      </c>
      <c r="L21" s="305">
        <f t="shared" si="9"/>
        <v>91626.948516151198</v>
      </c>
      <c r="M21" s="309">
        <f>M20</f>
        <v>84276.742678898532</v>
      </c>
      <c r="N21" s="308">
        <f>N7/19</f>
        <v>139658.18313798239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779509.5628573146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208395.60500822344</v>
      </c>
      <c r="I22" s="305">
        <f t="shared" si="9"/>
        <v>30329.097138302201</v>
      </c>
      <c r="J22" s="305">
        <f t="shared" si="9"/>
        <v>74482.848981148753</v>
      </c>
      <c r="K22" s="305">
        <f t="shared" si="9"/>
        <v>54170.082976151098</v>
      </c>
      <c r="L22" s="305">
        <f t="shared" si="9"/>
        <v>91626.948516151198</v>
      </c>
      <c r="M22" s="309">
        <f t="shared" si="9"/>
        <v>84276.742678898532</v>
      </c>
      <c r="N22" s="305">
        <f>N21</f>
        <v>139658.18313798239</v>
      </c>
      <c r="O22" s="308">
        <f>O7/18</f>
        <v>130722.78919395525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910232.35205126985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208395.60500822344</v>
      </c>
      <c r="I23" s="305">
        <f t="shared" si="9"/>
        <v>30329.097138302201</v>
      </c>
      <c r="J23" s="305">
        <f t="shared" si="9"/>
        <v>74482.848981148753</v>
      </c>
      <c r="K23" s="305">
        <f t="shared" si="9"/>
        <v>54170.082976151098</v>
      </c>
      <c r="L23" s="305">
        <f t="shared" si="9"/>
        <v>91626.948516151198</v>
      </c>
      <c r="M23" s="309">
        <f t="shared" si="9"/>
        <v>84276.742678898532</v>
      </c>
      <c r="N23" s="305">
        <f t="shared" si="9"/>
        <v>139658.18313798239</v>
      </c>
      <c r="O23" s="305">
        <f>O22</f>
        <v>130722.78919395525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914255.10227198375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208395.60500822344</v>
      </c>
      <c r="I24" s="305">
        <f t="shared" si="9"/>
        <v>30329.097138302201</v>
      </c>
      <c r="J24" s="305">
        <f t="shared" si="9"/>
        <v>74482.848981148753</v>
      </c>
      <c r="K24" s="305">
        <f t="shared" si="9"/>
        <v>54170.082976151098</v>
      </c>
      <c r="L24" s="305">
        <f t="shared" si="9"/>
        <v>91626.948516151198</v>
      </c>
      <c r="M24" s="309">
        <f t="shared" si="9"/>
        <v>84276.742678898532</v>
      </c>
      <c r="N24" s="305">
        <f t="shared" si="9"/>
        <v>139658.18313798239</v>
      </c>
      <c r="O24" s="305">
        <f t="shared" si="9"/>
        <v>130722.78919395525</v>
      </c>
      <c r="P24" s="305">
        <f>P23</f>
        <v>4022.750220713916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918529.27438149229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208395.60500822344</v>
      </c>
      <c r="I25" s="305">
        <f t="shared" si="9"/>
        <v>30329.097138302201</v>
      </c>
      <c r="J25" s="305">
        <f t="shared" si="9"/>
        <v>74482.848981148753</v>
      </c>
      <c r="K25" s="305">
        <f t="shared" si="9"/>
        <v>54170.082976151098</v>
      </c>
      <c r="L25" s="305">
        <f t="shared" si="9"/>
        <v>91626.948516151198</v>
      </c>
      <c r="M25" s="309">
        <f t="shared" si="9"/>
        <v>84276.742678898532</v>
      </c>
      <c r="N25" s="305">
        <f t="shared" si="9"/>
        <v>139658.18313798239</v>
      </c>
      <c r="O25" s="305">
        <f t="shared" si="9"/>
        <v>130722.78919395525</v>
      </c>
      <c r="P25" s="305">
        <f t="shared" si="9"/>
        <v>4022.750220713916</v>
      </c>
      <c r="Q25" s="305">
        <f>Q24</f>
        <v>4274.1721095085359</v>
      </c>
      <c r="R25" s="308">
        <f>R7/15</f>
        <v>4559.1169168091046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923088.3912983014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208395.60500822344</v>
      </c>
      <c r="I26" s="305">
        <f t="shared" si="9"/>
        <v>30329.097138302201</v>
      </c>
      <c r="J26" s="305">
        <f t="shared" si="9"/>
        <v>74482.848981148753</v>
      </c>
      <c r="K26" s="305">
        <f t="shared" si="9"/>
        <v>54170.082976151098</v>
      </c>
      <c r="L26" s="305">
        <f t="shared" si="9"/>
        <v>91626.948516151198</v>
      </c>
      <c r="M26" s="309">
        <f t="shared" si="9"/>
        <v>84276.742678898532</v>
      </c>
      <c r="N26" s="305">
        <f t="shared" si="9"/>
        <v>139658.18313798239</v>
      </c>
      <c r="O26" s="305">
        <f t="shared" si="9"/>
        <v>130722.78919395525</v>
      </c>
      <c r="P26" s="305">
        <f t="shared" si="9"/>
        <v>4022.750220713916</v>
      </c>
      <c r="Q26" s="305">
        <f t="shared" si="9"/>
        <v>4274.1721095085359</v>
      </c>
      <c r="R26" s="305">
        <f>R25</f>
        <v>4559.1169168091046</v>
      </c>
      <c r="S26" s="308">
        <f>S7/14</f>
        <v>4507.0538394383266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927595.44513773976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208395.60500822344</v>
      </c>
      <c r="I27" s="305">
        <f t="shared" si="9"/>
        <v>30329.097138302201</v>
      </c>
      <c r="J27" s="305">
        <f t="shared" si="9"/>
        <v>74482.848981148753</v>
      </c>
      <c r="K27" s="305">
        <f t="shared" si="9"/>
        <v>54170.082976151098</v>
      </c>
      <c r="L27" s="305">
        <f t="shared" si="9"/>
        <v>91626.948516151198</v>
      </c>
      <c r="M27" s="309">
        <f t="shared" si="9"/>
        <v>84276.742678898532</v>
      </c>
      <c r="N27" s="305">
        <f t="shared" si="9"/>
        <v>139658.18313798239</v>
      </c>
      <c r="O27" s="305">
        <f t="shared" si="9"/>
        <v>130722.78919395525</v>
      </c>
      <c r="P27" s="305">
        <f t="shared" si="9"/>
        <v>4022.750220713916</v>
      </c>
      <c r="Q27" s="305">
        <f t="shared" si="9"/>
        <v>4274.1721095085359</v>
      </c>
      <c r="R27" s="305">
        <f t="shared" si="9"/>
        <v>4559.1169168091046</v>
      </c>
      <c r="S27" s="305">
        <f>S26</f>
        <v>4507.0538394383266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932449.19542636571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208395.60500822344</v>
      </c>
      <c r="I28" s="305">
        <f t="shared" si="9"/>
        <v>30329.097138302201</v>
      </c>
      <c r="J28" s="305">
        <f t="shared" si="9"/>
        <v>74482.848981148753</v>
      </c>
      <c r="K28" s="305">
        <f t="shared" si="9"/>
        <v>54170.082976151098</v>
      </c>
      <c r="L28" s="305">
        <f t="shared" si="9"/>
        <v>91626.948516151198</v>
      </c>
      <c r="M28" s="309">
        <f t="shared" si="9"/>
        <v>84276.742678898532</v>
      </c>
      <c r="N28" s="305">
        <f t="shared" si="9"/>
        <v>139658.18313798239</v>
      </c>
      <c r="O28" s="305">
        <f t="shared" si="9"/>
        <v>130722.78919395525</v>
      </c>
      <c r="P28" s="305">
        <f t="shared" si="9"/>
        <v>4022.750220713916</v>
      </c>
      <c r="Q28" s="305">
        <f t="shared" si="9"/>
        <v>4274.1721095085359</v>
      </c>
      <c r="R28" s="305">
        <f t="shared" si="9"/>
        <v>4559.1169168091046</v>
      </c>
      <c r="S28" s="305">
        <f>S27</f>
        <v>4507.0538394383266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937707.42490571039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208395.60500822344</v>
      </c>
      <c r="I29" s="305">
        <f t="shared" si="10"/>
        <v>30329.097138302201</v>
      </c>
      <c r="J29" s="305">
        <f t="shared" si="10"/>
        <v>74482.848981148753</v>
      </c>
      <c r="K29" s="305">
        <f t="shared" si="10"/>
        <v>54170.082976151098</v>
      </c>
      <c r="L29" s="305">
        <f t="shared" si="10"/>
        <v>91626.948516151198</v>
      </c>
      <c r="M29" s="309">
        <f t="shared" si="10"/>
        <v>84276.742678898532</v>
      </c>
      <c r="N29" s="305">
        <f t="shared" si="10"/>
        <v>139658.18313798239</v>
      </c>
      <c r="O29" s="305">
        <f t="shared" si="10"/>
        <v>130722.78919395525</v>
      </c>
      <c r="P29" s="305">
        <f t="shared" si="10"/>
        <v>4022.750220713916</v>
      </c>
      <c r="Q29" s="305">
        <f t="shared" si="10"/>
        <v>4274.1721095085359</v>
      </c>
      <c r="R29" s="305">
        <f t="shared" si="10"/>
        <v>4559.1169168091046</v>
      </c>
      <c r="S29" s="305">
        <f t="shared" si="10"/>
        <v>4507.0538394383266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943443.67524681368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208395.60500822344</v>
      </c>
      <c r="I30" s="305">
        <f t="shared" si="10"/>
        <v>30329.097138302201</v>
      </c>
      <c r="J30" s="305">
        <f t="shared" si="10"/>
        <v>74482.848981148753</v>
      </c>
      <c r="K30" s="305">
        <f t="shared" si="10"/>
        <v>54170.082976151098</v>
      </c>
      <c r="L30" s="305">
        <f t="shared" si="10"/>
        <v>91626.948516151198</v>
      </c>
      <c r="M30" s="309">
        <f t="shared" si="10"/>
        <v>84276.742678898532</v>
      </c>
      <c r="N30" s="305">
        <f t="shared" si="10"/>
        <v>139658.18313798239</v>
      </c>
      <c r="O30" s="305">
        <f t="shared" si="10"/>
        <v>130722.78919395525</v>
      </c>
      <c r="P30" s="305">
        <f t="shared" si="10"/>
        <v>4022.750220713916</v>
      </c>
      <c r="Q30" s="305">
        <f t="shared" si="10"/>
        <v>4274.1721095085359</v>
      </c>
      <c r="R30" s="305">
        <f t="shared" si="10"/>
        <v>4559.1169168091046</v>
      </c>
      <c r="S30" s="305">
        <f t="shared" si="10"/>
        <v>4507.0538394383266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949753.55062202737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208395.60500822344</v>
      </c>
      <c r="I31" s="305">
        <f t="shared" si="10"/>
        <v>30329.097138302201</v>
      </c>
      <c r="J31" s="305">
        <f t="shared" si="10"/>
        <v>74482.848981148753</v>
      </c>
      <c r="K31" s="305">
        <f t="shared" si="10"/>
        <v>54170.082976151098</v>
      </c>
      <c r="L31" s="305">
        <f t="shared" si="10"/>
        <v>91626.948516151198</v>
      </c>
      <c r="M31" s="309">
        <f t="shared" si="10"/>
        <v>84276.742678898532</v>
      </c>
      <c r="N31" s="305">
        <f t="shared" si="10"/>
        <v>139658.18313798239</v>
      </c>
      <c r="O31" s="305">
        <f t="shared" si="10"/>
        <v>130722.78919395525</v>
      </c>
      <c r="P31" s="305">
        <f t="shared" si="10"/>
        <v>4022.750220713916</v>
      </c>
      <c r="Q31" s="305">
        <f t="shared" si="10"/>
        <v>4274.1721095085359</v>
      </c>
      <c r="R31" s="305">
        <f t="shared" si="10"/>
        <v>4559.1169168091046</v>
      </c>
      <c r="S31" s="305">
        <f t="shared" si="10"/>
        <v>4507.0538394383266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957397.30103893147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208395.60500822344</v>
      </c>
      <c r="I32" s="305">
        <f t="shared" si="10"/>
        <v>30329.097138302201</v>
      </c>
      <c r="J32" s="305">
        <f t="shared" si="10"/>
        <v>74482.848981148753</v>
      </c>
      <c r="K32" s="305">
        <f t="shared" si="10"/>
        <v>54170.082976151098</v>
      </c>
      <c r="L32" s="305">
        <f t="shared" si="10"/>
        <v>91626.948516151198</v>
      </c>
      <c r="M32" s="309">
        <f t="shared" si="10"/>
        <v>84276.742678898532</v>
      </c>
      <c r="N32" s="305">
        <f t="shared" si="10"/>
        <v>139658.18313798239</v>
      </c>
      <c r="O32" s="305">
        <f t="shared" si="10"/>
        <v>130722.78919395525</v>
      </c>
      <c r="P32" s="305">
        <f t="shared" si="10"/>
        <v>4022.750220713916</v>
      </c>
      <c r="Q32" s="305">
        <f t="shared" si="10"/>
        <v>4274.1721095085359</v>
      </c>
      <c r="R32" s="305">
        <f t="shared" si="10"/>
        <v>4559.1169168091046</v>
      </c>
      <c r="S32" s="305">
        <f t="shared" si="10"/>
        <v>4507.0538394383266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964827.14525794855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208395.60500822344</v>
      </c>
      <c r="I33" s="305">
        <f t="shared" si="10"/>
        <v>30329.097138302201</v>
      </c>
      <c r="J33" s="305">
        <f t="shared" si="10"/>
        <v>74482.848981148753</v>
      </c>
      <c r="K33" s="305">
        <f t="shared" si="10"/>
        <v>54170.082976151098</v>
      </c>
      <c r="L33" s="305">
        <f t="shared" si="10"/>
        <v>91626.948516151198</v>
      </c>
      <c r="M33" s="309">
        <f t="shared" si="10"/>
        <v>84276.742678898532</v>
      </c>
      <c r="N33" s="305">
        <f t="shared" si="10"/>
        <v>139658.18313798239</v>
      </c>
      <c r="O33" s="305">
        <f t="shared" si="10"/>
        <v>130722.78919395525</v>
      </c>
      <c r="P33" s="305">
        <f t="shared" si="10"/>
        <v>4022.750220713916</v>
      </c>
      <c r="Q33" s="305">
        <f t="shared" si="10"/>
        <v>4274.1721095085359</v>
      </c>
      <c r="R33" s="305">
        <f t="shared" si="10"/>
        <v>4559.1169168091046</v>
      </c>
      <c r="S33" s="305">
        <f t="shared" si="10"/>
        <v>4507.0538394383266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973318.39579396811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208395.60500822344</v>
      </c>
      <c r="I34" s="305">
        <f t="shared" si="10"/>
        <v>30329.097138302201</v>
      </c>
      <c r="J34" s="305">
        <f t="shared" si="10"/>
        <v>74482.848981148753</v>
      </c>
      <c r="K34" s="305">
        <f t="shared" si="10"/>
        <v>54170.082976151098</v>
      </c>
      <c r="L34" s="305">
        <f t="shared" si="10"/>
        <v>91626.948516151198</v>
      </c>
      <c r="M34" s="309">
        <f t="shared" si="10"/>
        <v>84276.742678898532</v>
      </c>
      <c r="N34" s="305">
        <f t="shared" si="10"/>
        <v>139658.18313798239</v>
      </c>
      <c r="O34" s="305">
        <f t="shared" si="10"/>
        <v>130722.78919395525</v>
      </c>
      <c r="P34" s="305">
        <f t="shared" si="10"/>
        <v>4022.750220713916</v>
      </c>
      <c r="Q34" s="305">
        <f t="shared" si="10"/>
        <v>4274.1721095085359</v>
      </c>
      <c r="R34" s="305">
        <f t="shared" si="10"/>
        <v>4559.1169168091046</v>
      </c>
      <c r="S34" s="305">
        <f t="shared" si="10"/>
        <v>4507.0538394383266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983224.85475265759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208395.60500822344</v>
      </c>
      <c r="I35" s="305">
        <f t="shared" si="10"/>
        <v>30329.097138302201</v>
      </c>
      <c r="J35" s="305">
        <f t="shared" si="10"/>
        <v>74482.848981148753</v>
      </c>
      <c r="K35" s="305">
        <f t="shared" si="10"/>
        <v>54170.082976151098</v>
      </c>
      <c r="L35" s="305">
        <f t="shared" si="10"/>
        <v>91626.948516151198</v>
      </c>
      <c r="M35" s="309">
        <f t="shared" si="10"/>
        <v>84276.742678898532</v>
      </c>
      <c r="N35" s="305">
        <f t="shared" si="10"/>
        <v>139658.18313798239</v>
      </c>
      <c r="O35" s="305">
        <f t="shared" si="10"/>
        <v>130722.78919395525</v>
      </c>
      <c r="P35" s="305">
        <f t="shared" si="10"/>
        <v>4022.750220713916</v>
      </c>
      <c r="Q35" s="305">
        <f t="shared" si="10"/>
        <v>4274.1721095085359</v>
      </c>
      <c r="R35" s="305">
        <f t="shared" si="10"/>
        <v>4559.1169168091046</v>
      </c>
      <c r="S35" s="305">
        <f t="shared" si="10"/>
        <v>4507.0538394383266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995112.60550308495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208395.60500822344</v>
      </c>
      <c r="I36" s="305">
        <f t="shared" si="10"/>
        <v>30329.097138302201</v>
      </c>
      <c r="J36" s="305">
        <f t="shared" si="10"/>
        <v>74482.848981148753</v>
      </c>
      <c r="K36" s="305">
        <f t="shared" si="10"/>
        <v>54170.082976151098</v>
      </c>
      <c r="L36" s="305">
        <f t="shared" si="10"/>
        <v>91626.948516151198</v>
      </c>
      <c r="M36" s="309">
        <f t="shared" si="10"/>
        <v>84276.742678898532</v>
      </c>
      <c r="N36" s="305">
        <f t="shared" si="10"/>
        <v>139658.18313798239</v>
      </c>
      <c r="O36" s="305">
        <f t="shared" si="10"/>
        <v>130722.78919395525</v>
      </c>
      <c r="P36" s="305">
        <f t="shared" si="10"/>
        <v>4022.750220713916</v>
      </c>
      <c r="Q36" s="305">
        <f t="shared" si="10"/>
        <v>4274.1721095085359</v>
      </c>
      <c r="R36" s="305">
        <f t="shared" si="10"/>
        <v>4559.1169168091046</v>
      </c>
      <c r="S36" s="305">
        <f t="shared" si="10"/>
        <v>4507.0538394383266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1012311.0439411191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208395.60500822344</v>
      </c>
      <c r="I37" s="305">
        <f t="shared" si="10"/>
        <v>30329.097138302201</v>
      </c>
      <c r="J37" s="305">
        <f t="shared" si="10"/>
        <v>74482.848981148753</v>
      </c>
      <c r="K37" s="305">
        <f t="shared" si="10"/>
        <v>54170.082976151098</v>
      </c>
      <c r="L37" s="305">
        <f t="shared" si="10"/>
        <v>91626.948516151198</v>
      </c>
      <c r="M37" s="309">
        <f t="shared" si="10"/>
        <v>84276.742678898532</v>
      </c>
      <c r="N37" s="305">
        <f t="shared" si="10"/>
        <v>139658.18313798239</v>
      </c>
      <c r="O37" s="305">
        <f t="shared" si="10"/>
        <v>130722.78919395525</v>
      </c>
      <c r="P37" s="305">
        <f t="shared" si="10"/>
        <v>4022.750220713916</v>
      </c>
      <c r="Q37" s="305">
        <f t="shared" si="10"/>
        <v>4274.1721095085359</v>
      </c>
      <c r="R37" s="305">
        <f t="shared" si="10"/>
        <v>4559.1169168091046</v>
      </c>
      <c r="S37" s="305">
        <f t="shared" si="10"/>
        <v>4507.0538394383266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1032395.2951918313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208395.60500822344</v>
      </c>
      <c r="I38" s="305">
        <f t="shared" si="10"/>
        <v>30329.097138302201</v>
      </c>
      <c r="J38" s="305">
        <f t="shared" si="10"/>
        <v>74482.848981148753</v>
      </c>
      <c r="K38" s="305">
        <f t="shared" si="10"/>
        <v>54170.082976151098</v>
      </c>
      <c r="L38" s="305">
        <f t="shared" si="10"/>
        <v>91626.948516151198</v>
      </c>
      <c r="M38" s="309">
        <f t="shared" si="10"/>
        <v>84276.742678898532</v>
      </c>
      <c r="N38" s="305">
        <f t="shared" si="10"/>
        <v>139658.18313798239</v>
      </c>
      <c r="O38" s="305">
        <f t="shared" si="10"/>
        <v>130722.78919395525</v>
      </c>
      <c r="P38" s="305">
        <f t="shared" si="10"/>
        <v>4022.750220713916</v>
      </c>
      <c r="Q38" s="305">
        <f t="shared" si="10"/>
        <v>4274.1721095085359</v>
      </c>
      <c r="R38" s="305">
        <f t="shared" si="10"/>
        <v>4559.1169168091046</v>
      </c>
      <c r="S38" s="305">
        <f t="shared" si="10"/>
        <v>4507.0538394383266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1062928.6720678995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208395.60500822344</v>
      </c>
      <c r="I39" s="305">
        <f t="shared" si="10"/>
        <v>30329.097138302201</v>
      </c>
      <c r="J39" s="305">
        <f t="shared" si="10"/>
        <v>74482.848981148753</v>
      </c>
      <c r="K39" s="305">
        <f t="shared" si="10"/>
        <v>54170.082976151098</v>
      </c>
      <c r="L39" s="305">
        <f t="shared" si="10"/>
        <v>91626.948516151198</v>
      </c>
      <c r="M39" s="309">
        <f t="shared" si="10"/>
        <v>84276.742678898532</v>
      </c>
      <c r="N39" s="305">
        <f t="shared" si="10"/>
        <v>139658.18313798239</v>
      </c>
      <c r="O39" s="305">
        <f t="shared" si="10"/>
        <v>130722.78919395525</v>
      </c>
      <c r="P39" s="305">
        <f t="shared" si="10"/>
        <v>4022.750220713916</v>
      </c>
      <c r="Q39" s="305">
        <f t="shared" si="10"/>
        <v>4274.1721095085359</v>
      </c>
      <c r="R39" s="305">
        <f t="shared" si="10"/>
        <v>4559.1169168091046</v>
      </c>
      <c r="S39" s="305">
        <f t="shared" si="10"/>
        <v>4507.0538394383266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1184660.6738167689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5209890.1252055857</v>
      </c>
      <c r="I40" s="312">
        <f t="shared" si="12"/>
        <v>727898.33131925284</v>
      </c>
      <c r="J40" s="312">
        <f t="shared" si="12"/>
        <v>1713105.5265664218</v>
      </c>
      <c r="K40" s="312">
        <f t="shared" si="12"/>
        <v>1191741.8254753244</v>
      </c>
      <c r="L40" s="312">
        <f t="shared" si="12"/>
        <v>1924165.9188391748</v>
      </c>
      <c r="M40" s="313">
        <f t="shared" si="12"/>
        <v>1685534.853577971</v>
      </c>
      <c r="N40" s="312">
        <f t="shared" si="12"/>
        <v>2653505.4796216646</v>
      </c>
      <c r="O40" s="312">
        <f t="shared" si="12"/>
        <v>2353010.2054911945</v>
      </c>
      <c r="P40" s="312">
        <f t="shared" si="12"/>
        <v>68386.753752136588</v>
      </c>
      <c r="Q40" s="312">
        <f t="shared" si="12"/>
        <v>68386.753752136588</v>
      </c>
      <c r="R40" s="312">
        <f t="shared" si="12"/>
        <v>68386.753752136588</v>
      </c>
      <c r="S40" s="312">
        <f t="shared" si="12"/>
        <v>63098.753752136567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21202876.446646307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3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D103:Z113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5"/>
        <v>#VALUE!</v>
      </c>
      <c r="E104" s="305" t="e">
        <f t="shared" si="25"/>
        <v>#VALUE!</v>
      </c>
      <c r="F104" s="305" t="e">
        <f t="shared" si="25"/>
        <v>#VALUE!</v>
      </c>
      <c r="G104" s="305" t="e">
        <f t="shared" si="25"/>
        <v>#VALUE!</v>
      </c>
      <c r="H104" s="305" t="e">
        <f t="shared" si="25"/>
        <v>#VALUE!</v>
      </c>
      <c r="I104" s="305" t="e">
        <f t="shared" si="25"/>
        <v>#VALUE!</v>
      </c>
      <c r="J104" s="305" t="e">
        <f t="shared" si="25"/>
        <v>#VALUE!</v>
      </c>
      <c r="K104" s="305" t="e">
        <f t="shared" si="25"/>
        <v>#VALUE!</v>
      </c>
      <c r="L104" s="305" t="e">
        <f t="shared" si="25"/>
        <v>#VALUE!</v>
      </c>
      <c r="M104" s="305" t="e">
        <f t="shared" si="25"/>
        <v>#VALUE!</v>
      </c>
      <c r="N104" s="305" t="e">
        <f t="shared" si="25"/>
        <v>#VALUE!</v>
      </c>
      <c r="O104" s="305" t="e">
        <f t="shared" si="25"/>
        <v>#VALUE!</v>
      </c>
      <c r="P104" s="305" t="e">
        <f t="shared" si="25"/>
        <v>#VALUE!</v>
      </c>
      <c r="Q104" s="305" t="e">
        <f t="shared" si="25"/>
        <v>#VALUE!</v>
      </c>
      <c r="R104" s="305" t="e">
        <f t="shared" si="25"/>
        <v>#VALUE!</v>
      </c>
      <c r="S104" s="305" t="e">
        <f t="shared" si="25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5"/>
        <v>#VALUE!</v>
      </c>
      <c r="F105" s="305" t="e">
        <f t="shared" si="25"/>
        <v>#VALUE!</v>
      </c>
      <c r="G105" s="305" t="e">
        <f t="shared" si="25"/>
        <v>#VALUE!</v>
      </c>
      <c r="H105" s="305" t="e">
        <f t="shared" si="25"/>
        <v>#VALUE!</v>
      </c>
      <c r="I105" s="305" t="e">
        <f t="shared" si="25"/>
        <v>#VALUE!</v>
      </c>
      <c r="J105" s="305" t="e">
        <f t="shared" si="25"/>
        <v>#VALUE!</v>
      </c>
      <c r="K105" s="305" t="e">
        <f t="shared" si="25"/>
        <v>#VALUE!</v>
      </c>
      <c r="L105" s="305" t="e">
        <f t="shared" si="25"/>
        <v>#VALUE!</v>
      </c>
      <c r="M105" s="305" t="e">
        <f t="shared" si="25"/>
        <v>#VALUE!</v>
      </c>
      <c r="N105" s="305" t="e">
        <f t="shared" si="25"/>
        <v>#VALUE!</v>
      </c>
      <c r="O105" s="305" t="e">
        <f t="shared" si="25"/>
        <v>#VALUE!</v>
      </c>
      <c r="P105" s="305" t="e">
        <f t="shared" si="25"/>
        <v>#VALUE!</v>
      </c>
      <c r="Q105" s="305" t="e">
        <f t="shared" si="25"/>
        <v>#VALUE!</v>
      </c>
      <c r="R105" s="305" t="e">
        <f t="shared" si="25"/>
        <v>#VALUE!</v>
      </c>
      <c r="S105" s="305" t="e">
        <f t="shared" si="25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5"/>
        <v>#VALUE!</v>
      </c>
      <c r="G106" s="305" t="e">
        <f t="shared" si="25"/>
        <v>#VALUE!</v>
      </c>
      <c r="H106" s="305" t="e">
        <f t="shared" si="25"/>
        <v>#VALUE!</v>
      </c>
      <c r="I106" s="305" t="e">
        <f t="shared" si="25"/>
        <v>#VALUE!</v>
      </c>
      <c r="J106" s="305" t="e">
        <f t="shared" si="25"/>
        <v>#VALUE!</v>
      </c>
      <c r="K106" s="305" t="e">
        <f t="shared" si="25"/>
        <v>#VALUE!</v>
      </c>
      <c r="L106" s="305" t="e">
        <f t="shared" si="25"/>
        <v>#VALUE!</v>
      </c>
      <c r="M106" s="305" t="e">
        <f t="shared" si="25"/>
        <v>#VALUE!</v>
      </c>
      <c r="N106" s="305" t="e">
        <f t="shared" si="25"/>
        <v>#VALUE!</v>
      </c>
      <c r="O106" s="305" t="e">
        <f t="shared" si="25"/>
        <v>#VALUE!</v>
      </c>
      <c r="P106" s="305" t="e">
        <f t="shared" si="25"/>
        <v>#VALUE!</v>
      </c>
      <c r="Q106" s="305" t="e">
        <f t="shared" si="25"/>
        <v>#VALUE!</v>
      </c>
      <c r="R106" s="305" t="e">
        <f t="shared" si="25"/>
        <v>#VALUE!</v>
      </c>
      <c r="S106" s="305" t="e">
        <f t="shared" si="25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si="25"/>
        <v>#VALUE!</v>
      </c>
      <c r="H107" s="305" t="e">
        <f t="shared" si="25"/>
        <v>#VALUE!</v>
      </c>
      <c r="I107" s="305" t="e">
        <f t="shared" si="25"/>
        <v>#VALUE!</v>
      </c>
      <c r="J107" s="305" t="e">
        <f t="shared" si="25"/>
        <v>#VALUE!</v>
      </c>
      <c r="K107" s="305" t="e">
        <f t="shared" si="25"/>
        <v>#VALUE!</v>
      </c>
      <c r="L107" s="305" t="e">
        <f t="shared" si="25"/>
        <v>#VALUE!</v>
      </c>
      <c r="M107" s="305" t="e">
        <f t="shared" si="25"/>
        <v>#VALUE!</v>
      </c>
      <c r="N107" s="305" t="e">
        <f t="shared" si="25"/>
        <v>#VALUE!</v>
      </c>
      <c r="O107" s="305" t="e">
        <f t="shared" si="25"/>
        <v>#VALUE!</v>
      </c>
      <c r="P107" s="305" t="e">
        <f t="shared" si="25"/>
        <v>#VALUE!</v>
      </c>
      <c r="Q107" s="305" t="e">
        <f t="shared" si="25"/>
        <v>#VALUE!</v>
      </c>
      <c r="R107" s="305" t="e">
        <f t="shared" si="25"/>
        <v>#VALUE!</v>
      </c>
      <c r="S107" s="305" t="e">
        <f t="shared" si="25"/>
        <v>#VALUE!</v>
      </c>
      <c r="T107" s="305" t="e">
        <f t="shared" si="25"/>
        <v>#VALUE!</v>
      </c>
      <c r="U107" s="305" t="e">
        <f t="shared" si="25"/>
        <v>#VALUE!</v>
      </c>
      <c r="V107" s="305" t="e">
        <f t="shared" si="25"/>
        <v>#VALUE!</v>
      </c>
      <c r="W107" s="305" t="e">
        <f t="shared" si="25"/>
        <v>#VALUE!</v>
      </c>
      <c r="X107" s="305" t="e">
        <f t="shared" si="25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5"/>
        <v>#VALUE!</v>
      </c>
      <c r="I108" s="305" t="e">
        <f t="shared" si="25"/>
        <v>#VALUE!</v>
      </c>
      <c r="J108" s="305" t="e">
        <f t="shared" si="25"/>
        <v>#VALUE!</v>
      </c>
      <c r="K108" s="305" t="e">
        <f t="shared" si="25"/>
        <v>#VALUE!</v>
      </c>
      <c r="L108" s="305" t="e">
        <f t="shared" si="25"/>
        <v>#VALUE!</v>
      </c>
      <c r="M108" s="305" t="e">
        <f t="shared" si="25"/>
        <v>#VALUE!</v>
      </c>
      <c r="N108" s="305" t="e">
        <f t="shared" si="25"/>
        <v>#VALUE!</v>
      </c>
      <c r="O108" s="305" t="e">
        <f t="shared" si="25"/>
        <v>#VALUE!</v>
      </c>
      <c r="P108" s="305" t="e">
        <f t="shared" si="25"/>
        <v>#VALUE!</v>
      </c>
      <c r="Q108" s="305" t="e">
        <f t="shared" si="25"/>
        <v>#VALUE!</v>
      </c>
      <c r="R108" s="305" t="e">
        <f t="shared" si="25"/>
        <v>#VALUE!</v>
      </c>
      <c r="S108" s="305" t="e">
        <f t="shared" si="25"/>
        <v>#VALUE!</v>
      </c>
      <c r="T108" s="305" t="e">
        <f t="shared" si="25"/>
        <v>#VALUE!</v>
      </c>
      <c r="U108" s="305" t="e">
        <f t="shared" si="25"/>
        <v>#VALUE!</v>
      </c>
      <c r="V108" s="305" t="e">
        <f t="shared" si="25"/>
        <v>#VALUE!</v>
      </c>
      <c r="W108" s="305" t="e">
        <f t="shared" si="25"/>
        <v>#VALUE!</v>
      </c>
      <c r="X108" s="305" t="e">
        <f t="shared" si="25"/>
        <v>#VALUE!</v>
      </c>
      <c r="Y108" s="305" t="e">
        <f t="shared" si="25"/>
        <v>#VALUE!</v>
      </c>
      <c r="Z108" s="305" t="e">
        <f t="shared" si="25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5"/>
        <v>#VALUE!</v>
      </c>
      <c r="J109" s="305" t="e">
        <f t="shared" si="25"/>
        <v>#VALUE!</v>
      </c>
      <c r="K109" s="305" t="e">
        <f t="shared" si="25"/>
        <v>#VALUE!</v>
      </c>
      <c r="L109" s="305" t="e">
        <f t="shared" si="25"/>
        <v>#VALUE!</v>
      </c>
      <c r="M109" s="305" t="e">
        <f t="shared" si="25"/>
        <v>#VALUE!</v>
      </c>
      <c r="N109" s="305" t="e">
        <f t="shared" si="25"/>
        <v>#VALUE!</v>
      </c>
      <c r="O109" s="305" t="e">
        <f t="shared" si="25"/>
        <v>#VALUE!</v>
      </c>
      <c r="P109" s="305" t="e">
        <f t="shared" si="25"/>
        <v>#VALUE!</v>
      </c>
      <c r="Q109" s="305" t="e">
        <f t="shared" si="25"/>
        <v>#VALUE!</v>
      </c>
      <c r="R109" s="305" t="e">
        <f t="shared" si="25"/>
        <v>#VALUE!</v>
      </c>
      <c r="S109" s="305" t="e">
        <f t="shared" si="25"/>
        <v>#VALUE!</v>
      </c>
      <c r="T109" s="305" t="e">
        <f t="shared" si="25"/>
        <v>#VALUE!</v>
      </c>
      <c r="U109" s="305" t="e">
        <f t="shared" si="25"/>
        <v>#VALUE!</v>
      </c>
      <c r="V109" s="305" t="e">
        <f t="shared" si="25"/>
        <v>#VALUE!</v>
      </c>
      <c r="W109" s="305" t="e">
        <f t="shared" si="25"/>
        <v>#VALUE!</v>
      </c>
      <c r="X109" s="305" t="e">
        <f t="shared" si="25"/>
        <v>#VALUE!</v>
      </c>
      <c r="Y109" s="305" t="e">
        <f t="shared" si="25"/>
        <v>#VALUE!</v>
      </c>
      <c r="Z109" s="305" t="e">
        <f t="shared" si="25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5"/>
        <v>#VALUE!</v>
      </c>
      <c r="K110" s="305" t="e">
        <f t="shared" si="25"/>
        <v>#VALUE!</v>
      </c>
      <c r="L110" s="305" t="e">
        <f t="shared" si="25"/>
        <v>#VALUE!</v>
      </c>
      <c r="M110" s="305" t="e">
        <f t="shared" si="25"/>
        <v>#VALUE!</v>
      </c>
      <c r="N110" s="305" t="e">
        <f t="shared" si="25"/>
        <v>#VALUE!</v>
      </c>
      <c r="O110" s="305" t="e">
        <f t="shared" si="25"/>
        <v>#VALUE!</v>
      </c>
      <c r="P110" s="305" t="e">
        <f t="shared" si="25"/>
        <v>#VALUE!</v>
      </c>
      <c r="Q110" s="305" t="e">
        <f t="shared" si="25"/>
        <v>#VALUE!</v>
      </c>
      <c r="R110" s="305" t="e">
        <f t="shared" si="25"/>
        <v>#VALUE!</v>
      </c>
      <c r="S110" s="305" t="e">
        <f t="shared" si="25"/>
        <v>#VALUE!</v>
      </c>
      <c r="T110" s="305" t="e">
        <f t="shared" si="25"/>
        <v>#VALUE!</v>
      </c>
      <c r="U110" s="305" t="e">
        <f t="shared" si="25"/>
        <v>#VALUE!</v>
      </c>
      <c r="V110" s="305" t="e">
        <f t="shared" si="25"/>
        <v>#VALUE!</v>
      </c>
      <c r="W110" s="305" t="e">
        <f t="shared" si="25"/>
        <v>#VALUE!</v>
      </c>
      <c r="X110" s="305" t="e">
        <f t="shared" si="25"/>
        <v>#VALUE!</v>
      </c>
      <c r="Y110" s="305" t="e">
        <f t="shared" si="25"/>
        <v>#VALUE!</v>
      </c>
      <c r="Z110" s="305" t="e">
        <f t="shared" si="25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5"/>
        <v>#VALUE!</v>
      </c>
      <c r="L111" s="305" t="e">
        <f t="shared" si="25"/>
        <v>#VALUE!</v>
      </c>
      <c r="M111" s="305" t="e">
        <f t="shared" si="25"/>
        <v>#VALUE!</v>
      </c>
      <c r="N111" s="305" t="e">
        <f t="shared" si="25"/>
        <v>#VALUE!</v>
      </c>
      <c r="O111" s="305" t="e">
        <f t="shared" si="25"/>
        <v>#VALUE!</v>
      </c>
      <c r="P111" s="305" t="e">
        <f t="shared" si="25"/>
        <v>#VALUE!</v>
      </c>
      <c r="Q111" s="305" t="e">
        <f t="shared" si="25"/>
        <v>#VALUE!</v>
      </c>
      <c r="R111" s="305" t="e">
        <f t="shared" si="25"/>
        <v>#VALUE!</v>
      </c>
      <c r="S111" s="305" t="e">
        <f t="shared" si="25"/>
        <v>#VALUE!</v>
      </c>
      <c r="T111" s="305" t="e">
        <f t="shared" si="25"/>
        <v>#VALUE!</v>
      </c>
      <c r="U111" s="305" t="e">
        <f t="shared" si="25"/>
        <v>#VALUE!</v>
      </c>
      <c r="V111" s="305" t="e">
        <f t="shared" si="25"/>
        <v>#VALUE!</v>
      </c>
      <c r="W111" s="305" t="e">
        <f t="shared" si="25"/>
        <v>#VALUE!</v>
      </c>
      <c r="X111" s="305" t="e">
        <f t="shared" si="25"/>
        <v>#VALUE!</v>
      </c>
      <c r="Y111" s="305" t="e">
        <f t="shared" si="25"/>
        <v>#VALUE!</v>
      </c>
      <c r="Z111" s="305" t="e">
        <f t="shared" si="25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5"/>
        <v>#VALUE!</v>
      </c>
      <c r="M112" s="305" t="e">
        <f t="shared" si="25"/>
        <v>#VALUE!</v>
      </c>
      <c r="N112" s="305" t="e">
        <f t="shared" si="25"/>
        <v>#VALUE!</v>
      </c>
      <c r="O112" s="305" t="e">
        <f t="shared" si="25"/>
        <v>#VALUE!</v>
      </c>
      <c r="P112" s="305" t="e">
        <f t="shared" si="25"/>
        <v>#VALUE!</v>
      </c>
      <c r="Q112" s="305" t="e">
        <f t="shared" si="25"/>
        <v>#VALUE!</v>
      </c>
      <c r="R112" s="305" t="e">
        <f t="shared" si="25"/>
        <v>#VALUE!</v>
      </c>
      <c r="S112" s="305" t="e">
        <f t="shared" si="25"/>
        <v>#VALUE!</v>
      </c>
      <c r="T112" s="305" t="e">
        <f t="shared" si="25"/>
        <v>#VALUE!</v>
      </c>
      <c r="U112" s="305" t="e">
        <f t="shared" si="25"/>
        <v>#VALUE!</v>
      </c>
      <c r="V112" s="305" t="e">
        <f t="shared" si="25"/>
        <v>#VALUE!</v>
      </c>
      <c r="W112" s="305" t="e">
        <f t="shared" si="25"/>
        <v>#VALUE!</v>
      </c>
      <c r="X112" s="305" t="e">
        <f t="shared" si="25"/>
        <v>#VALUE!</v>
      </c>
      <c r="Y112" s="305" t="e">
        <f t="shared" si="25"/>
        <v>#VALUE!</v>
      </c>
      <c r="Z112" s="305" t="e">
        <f t="shared" si="25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5"/>
        <v>#VALUE!</v>
      </c>
      <c r="N113" s="305" t="e">
        <f t="shared" si="25"/>
        <v>#VALUE!</v>
      </c>
      <c r="O113" s="305" t="e">
        <f t="shared" si="25"/>
        <v>#VALUE!</v>
      </c>
      <c r="P113" s="305" t="e">
        <f t="shared" si="25"/>
        <v>#VALUE!</v>
      </c>
      <c r="Q113" s="305" t="e">
        <f t="shared" si="25"/>
        <v>#VALUE!</v>
      </c>
      <c r="R113" s="305" t="e">
        <f t="shared" si="25"/>
        <v>#VALUE!</v>
      </c>
      <c r="S113" s="305" t="e">
        <f t="shared" si="25"/>
        <v>#VALUE!</v>
      </c>
      <c r="T113" s="305" t="e">
        <f t="shared" si="25"/>
        <v>#VALUE!</v>
      </c>
      <c r="U113" s="305" t="e">
        <f t="shared" si="25"/>
        <v>#VALUE!</v>
      </c>
      <c r="V113" s="305" t="e">
        <f t="shared" si="25"/>
        <v>#VALUE!</v>
      </c>
      <c r="W113" s="305" t="e">
        <f t="shared" si="25"/>
        <v>#VALUE!</v>
      </c>
      <c r="X113" s="305" t="e">
        <f t="shared" si="25"/>
        <v>#VALUE!</v>
      </c>
      <c r="Y113" s="305" t="e">
        <f t="shared" si="25"/>
        <v>#VALUE!</v>
      </c>
      <c r="Z113" s="305" t="e">
        <f t="shared" si="25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6">SUM(D83:D113)</f>
        <v>#VALUE!</v>
      </c>
      <c r="E114" s="328" t="e">
        <f t="shared" si="26"/>
        <v>#VALUE!</v>
      </c>
      <c r="F114" s="328" t="e">
        <f t="shared" si="26"/>
        <v>#VALUE!</v>
      </c>
      <c r="G114" s="328" t="e">
        <f t="shared" si="26"/>
        <v>#VALUE!</v>
      </c>
      <c r="H114" s="328" t="e">
        <f t="shared" si="26"/>
        <v>#VALUE!</v>
      </c>
      <c r="I114" s="328" t="e">
        <f t="shared" si="26"/>
        <v>#VALUE!</v>
      </c>
      <c r="J114" s="328" t="e">
        <f t="shared" si="26"/>
        <v>#VALUE!</v>
      </c>
      <c r="K114" s="328" t="e">
        <f t="shared" si="26"/>
        <v>#VALUE!</v>
      </c>
      <c r="L114" s="328" t="e">
        <f t="shared" si="26"/>
        <v>#VALUE!</v>
      </c>
      <c r="M114" s="328" t="e">
        <f t="shared" si="26"/>
        <v>#VALUE!</v>
      </c>
      <c r="N114" s="328" t="e">
        <f t="shared" si="26"/>
        <v>#VALUE!</v>
      </c>
      <c r="O114" s="328" t="e">
        <f t="shared" si="26"/>
        <v>#VALUE!</v>
      </c>
      <c r="P114" s="328" t="e">
        <f t="shared" si="26"/>
        <v>#VALUE!</v>
      </c>
      <c r="Q114" s="328" t="e">
        <f t="shared" si="26"/>
        <v>#VALUE!</v>
      </c>
      <c r="R114" s="328" t="e">
        <f t="shared" si="26"/>
        <v>#VALUE!</v>
      </c>
      <c r="S114" s="328" t="e">
        <f t="shared" si="26"/>
        <v>#VALUE!</v>
      </c>
      <c r="T114" s="328" t="e">
        <f t="shared" si="26"/>
        <v>#VALUE!</v>
      </c>
      <c r="U114" s="328" t="e">
        <f t="shared" si="26"/>
        <v>#VALUE!</v>
      </c>
      <c r="V114" s="328" t="e">
        <f t="shared" si="26"/>
        <v>#VALUE!</v>
      </c>
      <c r="W114" s="328" t="e">
        <f t="shared" si="26"/>
        <v>#VALUE!</v>
      </c>
      <c r="X114" s="328" t="e">
        <f t="shared" si="26"/>
        <v>#VALUE!</v>
      </c>
      <c r="Y114" s="328" t="e">
        <f t="shared" si="26"/>
        <v>#VALUE!</v>
      </c>
      <c r="Z114" s="328" t="e">
        <f t="shared" si="26"/>
        <v>#VALUE!</v>
      </c>
      <c r="AA114" s="328" t="e">
        <f t="shared" si="26"/>
        <v>#VALUE!</v>
      </c>
      <c r="AB114" s="328" t="e">
        <f t="shared" si="26"/>
        <v>#VALUE!</v>
      </c>
      <c r="AC114" s="328" t="e">
        <f t="shared" si="26"/>
        <v>#VALUE!</v>
      </c>
      <c r="AD114" s="328" t="e">
        <f t="shared" si="26"/>
        <v>#VALUE!</v>
      </c>
      <c r="AE114" s="328" t="e">
        <f t="shared" si="26"/>
        <v>#VALUE!</v>
      </c>
      <c r="AF114" s="329" t="e">
        <f t="shared" si="26"/>
        <v>#VALUE!</v>
      </c>
      <c r="AG114" s="329" t="e">
        <f t="shared" si="26"/>
        <v>#VALUE!</v>
      </c>
      <c r="AH114" s="315" t="e">
        <f t="shared" si="26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7">D119+1</f>
        <v>2</v>
      </c>
      <c r="F119" s="302">
        <f t="shared" si="27"/>
        <v>3</v>
      </c>
      <c r="G119" s="302">
        <f t="shared" si="27"/>
        <v>4</v>
      </c>
      <c r="H119" s="302">
        <f t="shared" si="27"/>
        <v>5</v>
      </c>
      <c r="I119" s="302">
        <f t="shared" si="27"/>
        <v>6</v>
      </c>
      <c r="J119" s="302">
        <f t="shared" si="27"/>
        <v>7</v>
      </c>
      <c r="K119" s="302">
        <f t="shared" si="27"/>
        <v>8</v>
      </c>
      <c r="L119" s="302">
        <f t="shared" si="27"/>
        <v>9</v>
      </c>
      <c r="M119" s="302">
        <f t="shared" si="27"/>
        <v>10</v>
      </c>
      <c r="N119" s="302">
        <f t="shared" si="27"/>
        <v>11</v>
      </c>
      <c r="O119" s="302">
        <f t="shared" si="27"/>
        <v>12</v>
      </c>
      <c r="P119" s="302">
        <f t="shared" si="27"/>
        <v>13</v>
      </c>
      <c r="Q119" s="302">
        <f t="shared" si="27"/>
        <v>14</v>
      </c>
      <c r="R119" s="302">
        <f t="shared" si="27"/>
        <v>15</v>
      </c>
      <c r="S119" s="302">
        <f t="shared" si="27"/>
        <v>16</v>
      </c>
      <c r="T119" s="302">
        <f t="shared" si="27"/>
        <v>17</v>
      </c>
      <c r="U119" s="302">
        <f t="shared" si="27"/>
        <v>18</v>
      </c>
      <c r="V119" s="302">
        <f t="shared" si="27"/>
        <v>19</v>
      </c>
      <c r="W119" s="302">
        <f t="shared" si="27"/>
        <v>20</v>
      </c>
      <c r="X119" s="302">
        <f t="shared" si="27"/>
        <v>21</v>
      </c>
      <c r="Y119" s="302">
        <f t="shared" si="27"/>
        <v>22</v>
      </c>
      <c r="Z119" s="302">
        <f t="shared" si="27"/>
        <v>23</v>
      </c>
      <c r="AA119" s="302">
        <f t="shared" si="27"/>
        <v>24</v>
      </c>
      <c r="AB119" s="302">
        <f t="shared" si="27"/>
        <v>25</v>
      </c>
      <c r="AC119" s="302">
        <f t="shared" si="27"/>
        <v>26</v>
      </c>
      <c r="AD119" s="302">
        <f t="shared" si="27"/>
        <v>27</v>
      </c>
      <c r="AE119" s="302">
        <f t="shared" si="27"/>
        <v>28</v>
      </c>
      <c r="AF119" s="302">
        <f t="shared" si="27"/>
        <v>29</v>
      </c>
      <c r="AG119" s="302">
        <f t="shared" si="27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8">SUM(D120:AG120)</f>
        <v>0</v>
      </c>
    </row>
    <row r="121" spans="1:34">
      <c r="C121" s="304">
        <f t="shared" ref="C121:C150" si="29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8"/>
        <v>0</v>
      </c>
    </row>
    <row r="122" spans="1:34">
      <c r="C122" s="304">
        <f t="shared" si="29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8"/>
        <v>#VALUE!</v>
      </c>
    </row>
    <row r="123" spans="1:34">
      <c r="C123" s="304">
        <f t="shared" si="29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8"/>
        <v>#VALUE!</v>
      </c>
    </row>
    <row r="124" spans="1:34">
      <c r="C124" s="304">
        <f t="shared" si="29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8"/>
        <v>#VALUE!</v>
      </c>
    </row>
    <row r="125" spans="1:34">
      <c r="C125" s="304">
        <f t="shared" si="29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8"/>
        <v>#VALUE!</v>
      </c>
    </row>
    <row r="126" spans="1:34">
      <c r="C126" s="304">
        <f t="shared" si="29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8"/>
        <v>#VALUE!</v>
      </c>
    </row>
    <row r="127" spans="1:34">
      <c r="C127" s="304">
        <f t="shared" si="29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8"/>
        <v>#VALUE!</v>
      </c>
    </row>
    <row r="128" spans="1:34">
      <c r="C128" s="304">
        <f t="shared" si="29"/>
        <v>8</v>
      </c>
      <c r="D128" s="305" t="e">
        <f t="shared" ref="D128:O139" si="30">D127</f>
        <v>#VALUE!</v>
      </c>
      <c r="E128" s="305" t="e">
        <f t="shared" si="30"/>
        <v>#VALUE!</v>
      </c>
      <c r="F128" s="305" t="e">
        <f t="shared" si="30"/>
        <v>#VALUE!</v>
      </c>
      <c r="G128" s="305" t="e">
        <f t="shared" si="30"/>
        <v>#VALUE!</v>
      </c>
      <c r="H128" s="305" t="e">
        <f t="shared" si="30"/>
        <v>#VALUE!</v>
      </c>
      <c r="I128" s="305" t="e">
        <f t="shared" si="30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8"/>
        <v>#VALUE!</v>
      </c>
    </row>
    <row r="129" spans="3:34">
      <c r="C129" s="304">
        <f t="shared" si="29"/>
        <v>9</v>
      </c>
      <c r="D129" s="305" t="e">
        <f t="shared" si="30"/>
        <v>#VALUE!</v>
      </c>
      <c r="E129" s="305" t="e">
        <f t="shared" si="30"/>
        <v>#VALUE!</v>
      </c>
      <c r="F129" s="305" t="e">
        <f t="shared" si="30"/>
        <v>#VALUE!</v>
      </c>
      <c r="G129" s="305" t="e">
        <f t="shared" si="30"/>
        <v>#VALUE!</v>
      </c>
      <c r="H129" s="305" t="e">
        <f t="shared" si="30"/>
        <v>#VALUE!</v>
      </c>
      <c r="I129" s="305" t="e">
        <f t="shared" si="30"/>
        <v>#VALUE!</v>
      </c>
      <c r="J129" s="305" t="e">
        <f t="shared" si="30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8"/>
        <v>#VALUE!</v>
      </c>
    </row>
    <row r="130" spans="3:34">
      <c r="C130" s="304">
        <f t="shared" si="29"/>
        <v>10</v>
      </c>
      <c r="D130" s="305" t="e">
        <f t="shared" si="30"/>
        <v>#VALUE!</v>
      </c>
      <c r="E130" s="305" t="e">
        <f t="shared" si="30"/>
        <v>#VALUE!</v>
      </c>
      <c r="F130" s="305" t="e">
        <f t="shared" si="30"/>
        <v>#VALUE!</v>
      </c>
      <c r="G130" s="305" t="e">
        <f t="shared" si="30"/>
        <v>#VALUE!</v>
      </c>
      <c r="H130" s="305" t="e">
        <f t="shared" si="30"/>
        <v>#VALUE!</v>
      </c>
      <c r="I130" s="305" t="e">
        <f t="shared" si="30"/>
        <v>#VALUE!</v>
      </c>
      <c r="J130" s="305" t="e">
        <f t="shared" si="30"/>
        <v>#VALUE!</v>
      </c>
      <c r="K130" s="305" t="e">
        <f t="shared" si="30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8"/>
        <v>#VALUE!</v>
      </c>
    </row>
    <row r="131" spans="3:34">
      <c r="C131" s="304">
        <f t="shared" si="29"/>
        <v>11</v>
      </c>
      <c r="D131" s="305" t="e">
        <f t="shared" si="30"/>
        <v>#VALUE!</v>
      </c>
      <c r="E131" s="305" t="e">
        <f t="shared" si="30"/>
        <v>#VALUE!</v>
      </c>
      <c r="F131" s="305" t="e">
        <f t="shared" si="30"/>
        <v>#VALUE!</v>
      </c>
      <c r="G131" s="305" t="e">
        <f t="shared" si="30"/>
        <v>#VALUE!</v>
      </c>
      <c r="H131" s="305" t="e">
        <f t="shared" si="30"/>
        <v>#VALUE!</v>
      </c>
      <c r="I131" s="305" t="e">
        <f t="shared" si="30"/>
        <v>#VALUE!</v>
      </c>
      <c r="J131" s="305" t="e">
        <f t="shared" si="30"/>
        <v>#VALUE!</v>
      </c>
      <c r="K131" s="305" t="e">
        <f t="shared" si="30"/>
        <v>#VALUE!</v>
      </c>
      <c r="L131" s="305" t="e">
        <f t="shared" si="30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8"/>
        <v>#VALUE!</v>
      </c>
    </row>
    <row r="132" spans="3:34">
      <c r="C132" s="304">
        <f t="shared" si="29"/>
        <v>12</v>
      </c>
      <c r="D132" s="305" t="e">
        <f t="shared" si="30"/>
        <v>#VALUE!</v>
      </c>
      <c r="E132" s="305" t="e">
        <f t="shared" si="30"/>
        <v>#VALUE!</v>
      </c>
      <c r="F132" s="305" t="e">
        <f t="shared" si="30"/>
        <v>#VALUE!</v>
      </c>
      <c r="G132" s="305" t="e">
        <f t="shared" si="30"/>
        <v>#VALUE!</v>
      </c>
      <c r="H132" s="305" t="e">
        <f t="shared" si="30"/>
        <v>#VALUE!</v>
      </c>
      <c r="I132" s="305" t="e">
        <f t="shared" si="30"/>
        <v>#VALUE!</v>
      </c>
      <c r="J132" s="305" t="e">
        <f t="shared" si="30"/>
        <v>#VALUE!</v>
      </c>
      <c r="K132" s="305" t="e">
        <f t="shared" si="30"/>
        <v>#VALUE!</v>
      </c>
      <c r="L132" s="305" t="e">
        <f t="shared" si="30"/>
        <v>#VALUE!</v>
      </c>
      <c r="M132" s="305" t="e">
        <f t="shared" si="30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8"/>
        <v>#VALUE!</v>
      </c>
    </row>
    <row r="133" spans="3:34">
      <c r="C133" s="304">
        <f t="shared" si="29"/>
        <v>13</v>
      </c>
      <c r="D133" s="305" t="e">
        <f t="shared" si="30"/>
        <v>#VALUE!</v>
      </c>
      <c r="E133" s="305" t="e">
        <f t="shared" si="30"/>
        <v>#VALUE!</v>
      </c>
      <c r="F133" s="305" t="e">
        <f t="shared" si="30"/>
        <v>#VALUE!</v>
      </c>
      <c r="G133" s="305" t="e">
        <f t="shared" si="30"/>
        <v>#VALUE!</v>
      </c>
      <c r="H133" s="305" t="e">
        <f t="shared" si="30"/>
        <v>#VALUE!</v>
      </c>
      <c r="I133" s="305" t="e">
        <f t="shared" si="30"/>
        <v>#VALUE!</v>
      </c>
      <c r="J133" s="305" t="e">
        <f t="shared" si="30"/>
        <v>#VALUE!</v>
      </c>
      <c r="K133" s="305" t="e">
        <f t="shared" si="30"/>
        <v>#VALUE!</v>
      </c>
      <c r="L133" s="305" t="e">
        <f t="shared" si="30"/>
        <v>#VALUE!</v>
      </c>
      <c r="M133" s="305" t="e">
        <f t="shared" si="30"/>
        <v>#VALUE!</v>
      </c>
      <c r="N133" s="305" t="e">
        <f t="shared" si="30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8"/>
        <v>#VALUE!</v>
      </c>
    </row>
    <row r="134" spans="3:34">
      <c r="C134" s="304">
        <f t="shared" si="29"/>
        <v>14</v>
      </c>
      <c r="D134" s="305" t="e">
        <f t="shared" si="30"/>
        <v>#VALUE!</v>
      </c>
      <c r="E134" s="305" t="e">
        <f t="shared" si="30"/>
        <v>#VALUE!</v>
      </c>
      <c r="F134" s="305" t="e">
        <f t="shared" si="30"/>
        <v>#VALUE!</v>
      </c>
      <c r="G134" s="305" t="e">
        <f t="shared" si="30"/>
        <v>#VALUE!</v>
      </c>
      <c r="H134" s="305" t="e">
        <f t="shared" si="30"/>
        <v>#VALUE!</v>
      </c>
      <c r="I134" s="305" t="e">
        <f t="shared" si="30"/>
        <v>#VALUE!</v>
      </c>
      <c r="J134" s="305" t="e">
        <f t="shared" si="30"/>
        <v>#VALUE!</v>
      </c>
      <c r="K134" s="305" t="e">
        <f t="shared" si="30"/>
        <v>#VALUE!</v>
      </c>
      <c r="L134" s="305" t="e">
        <f t="shared" si="30"/>
        <v>#VALUE!</v>
      </c>
      <c r="M134" s="305" t="e">
        <f t="shared" si="30"/>
        <v>#VALUE!</v>
      </c>
      <c r="N134" s="305" t="e">
        <f t="shared" si="30"/>
        <v>#VALUE!</v>
      </c>
      <c r="O134" s="305" t="e">
        <f t="shared" si="30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8"/>
        <v>#VALUE!</v>
      </c>
    </row>
    <row r="135" spans="3:34">
      <c r="C135" s="304">
        <f t="shared" si="29"/>
        <v>15</v>
      </c>
      <c r="D135" s="305" t="e">
        <f t="shared" si="30"/>
        <v>#VALUE!</v>
      </c>
      <c r="E135" s="305" t="e">
        <f t="shared" si="30"/>
        <v>#VALUE!</v>
      </c>
      <c r="F135" s="305" t="e">
        <f t="shared" si="30"/>
        <v>#VALUE!</v>
      </c>
      <c r="G135" s="305" t="e">
        <f t="shared" si="30"/>
        <v>#VALUE!</v>
      </c>
      <c r="H135" s="305" t="e">
        <f t="shared" si="30"/>
        <v>#VALUE!</v>
      </c>
      <c r="I135" s="305" t="e">
        <f t="shared" si="30"/>
        <v>#VALUE!</v>
      </c>
      <c r="J135" s="305" t="e">
        <f t="shared" si="30"/>
        <v>#VALUE!</v>
      </c>
      <c r="K135" s="305" t="e">
        <f t="shared" si="30"/>
        <v>#VALUE!</v>
      </c>
      <c r="L135" s="305" t="e">
        <f t="shared" si="30"/>
        <v>#VALUE!</v>
      </c>
      <c r="M135" s="305" t="e">
        <f t="shared" si="30"/>
        <v>#VALUE!</v>
      </c>
      <c r="N135" s="305" t="e">
        <f t="shared" si="30"/>
        <v>#VALUE!</v>
      </c>
      <c r="O135" s="305" t="e">
        <f t="shared" si="30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8"/>
        <v>#VALUE!</v>
      </c>
    </row>
    <row r="136" spans="3:34">
      <c r="C136" s="304">
        <f t="shared" si="29"/>
        <v>16</v>
      </c>
      <c r="D136" s="305" t="e">
        <f t="shared" si="30"/>
        <v>#VALUE!</v>
      </c>
      <c r="E136" s="305" t="e">
        <f t="shared" si="30"/>
        <v>#VALUE!</v>
      </c>
      <c r="F136" s="305" t="e">
        <f t="shared" si="30"/>
        <v>#VALUE!</v>
      </c>
      <c r="G136" s="305" t="e">
        <f t="shared" si="30"/>
        <v>#VALUE!</v>
      </c>
      <c r="H136" s="305" t="e">
        <f t="shared" si="30"/>
        <v>#VALUE!</v>
      </c>
      <c r="I136" s="305" t="e">
        <f t="shared" si="30"/>
        <v>#VALUE!</v>
      </c>
      <c r="J136" s="305" t="e">
        <f t="shared" si="30"/>
        <v>#VALUE!</v>
      </c>
      <c r="K136" s="305" t="e">
        <f t="shared" si="30"/>
        <v>#VALUE!</v>
      </c>
      <c r="L136" s="305" t="e">
        <f t="shared" si="30"/>
        <v>#VALUE!</v>
      </c>
      <c r="M136" s="305" t="e">
        <f t="shared" si="30"/>
        <v>#VALUE!</v>
      </c>
      <c r="N136" s="305" t="e">
        <f t="shared" si="30"/>
        <v>#VALUE!</v>
      </c>
      <c r="O136" s="305" t="e">
        <f t="shared" si="30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8"/>
        <v>#VALUE!</v>
      </c>
    </row>
    <row r="137" spans="3:34">
      <c r="C137" s="304">
        <f t="shared" si="29"/>
        <v>17</v>
      </c>
      <c r="D137" s="305"/>
      <c r="E137" s="305" t="e">
        <f t="shared" si="30"/>
        <v>#VALUE!</v>
      </c>
      <c r="F137" s="305" t="e">
        <f t="shared" si="30"/>
        <v>#VALUE!</v>
      </c>
      <c r="G137" s="305" t="e">
        <f t="shared" si="30"/>
        <v>#VALUE!</v>
      </c>
      <c r="H137" s="305" t="e">
        <f t="shared" si="30"/>
        <v>#VALUE!</v>
      </c>
      <c r="I137" s="305" t="e">
        <f t="shared" si="30"/>
        <v>#VALUE!</v>
      </c>
      <c r="J137" s="305" t="e">
        <f t="shared" si="30"/>
        <v>#VALUE!</v>
      </c>
      <c r="K137" s="305" t="e">
        <f t="shared" si="30"/>
        <v>#VALUE!</v>
      </c>
      <c r="L137" s="305" t="e">
        <f t="shared" si="30"/>
        <v>#VALUE!</v>
      </c>
      <c r="M137" s="305" t="e">
        <f t="shared" si="30"/>
        <v>#VALUE!</v>
      </c>
      <c r="N137" s="305" t="e">
        <f t="shared" si="30"/>
        <v>#VALUE!</v>
      </c>
      <c r="O137" s="305" t="e">
        <f t="shared" si="30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8"/>
        <v>#VALUE!</v>
      </c>
    </row>
    <row r="138" spans="3:34">
      <c r="C138" s="304">
        <f t="shared" si="29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0"/>
        <v>#VALUE!</v>
      </c>
      <c r="L138" s="305" t="e">
        <f t="shared" si="30"/>
        <v>#VALUE!</v>
      </c>
      <c r="M138" s="305" t="e">
        <f t="shared" si="30"/>
        <v>#VALUE!</v>
      </c>
      <c r="N138" s="305" t="e">
        <f t="shared" si="30"/>
        <v>#VALUE!</v>
      </c>
      <c r="O138" s="305" t="e">
        <f t="shared" si="30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8"/>
        <v>#VALUE!</v>
      </c>
    </row>
    <row r="139" spans="3:34">
      <c r="C139" s="304">
        <f t="shared" si="29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0"/>
        <v>#VALUE!</v>
      </c>
      <c r="L139" s="305" t="e">
        <f t="shared" si="30"/>
        <v>#VALUE!</v>
      </c>
      <c r="M139" s="305" t="e">
        <f t="shared" si="30"/>
        <v>#VALUE!</v>
      </c>
      <c r="N139" s="305" t="e">
        <f t="shared" si="30"/>
        <v>#VALUE!</v>
      </c>
      <c r="O139" s="305" t="e">
        <f t="shared" si="30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1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8"/>
        <v>#VALUE!</v>
      </c>
    </row>
    <row r="140" spans="3:34">
      <c r="C140" s="304">
        <f t="shared" si="29"/>
        <v>20</v>
      </c>
      <c r="D140" s="305"/>
      <c r="E140" s="305"/>
      <c r="F140" s="305"/>
      <c r="G140" s="305"/>
      <c r="H140" s="305" t="e">
        <f t="shared" ref="H140:R150" si="32">H139</f>
        <v>#VALUE!</v>
      </c>
      <c r="I140" s="305" t="e">
        <f t="shared" si="32"/>
        <v>#VALUE!</v>
      </c>
      <c r="J140" s="305" t="e">
        <f t="shared" si="32"/>
        <v>#VALUE!</v>
      </c>
      <c r="K140" s="305" t="e">
        <f t="shared" si="32"/>
        <v>#VALUE!</v>
      </c>
      <c r="L140" s="305" t="e">
        <f t="shared" si="32"/>
        <v>#VALUE!</v>
      </c>
      <c r="M140" s="305" t="e">
        <f t="shared" si="32"/>
        <v>#VALUE!</v>
      </c>
      <c r="N140" s="305" t="e">
        <f t="shared" si="32"/>
        <v>#VALUE!</v>
      </c>
      <c r="O140" s="305" t="e">
        <f t="shared" si="32"/>
        <v>#VALUE!</v>
      </c>
      <c r="P140" s="305" t="e">
        <f t="shared" si="32"/>
        <v>#VALUE!</v>
      </c>
      <c r="Q140" s="305" t="e">
        <f t="shared" si="32"/>
        <v>#VALUE!</v>
      </c>
      <c r="R140" s="305" t="e">
        <f t="shared" si="32"/>
        <v>#VALUE!</v>
      </c>
      <c r="S140" s="305" t="e">
        <f t="shared" si="31"/>
        <v>#VALUE!</v>
      </c>
      <c r="T140" s="305" t="e">
        <f t="shared" si="31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8"/>
        <v>#VALUE!</v>
      </c>
    </row>
    <row r="141" spans="3:34">
      <c r="C141" s="304">
        <f t="shared" si="29"/>
        <v>21</v>
      </c>
      <c r="D141" s="305"/>
      <c r="E141" s="305"/>
      <c r="F141" s="305"/>
      <c r="G141" s="305"/>
      <c r="H141" s="305"/>
      <c r="I141" s="305" t="e">
        <f t="shared" si="32"/>
        <v>#VALUE!</v>
      </c>
      <c r="J141" s="305" t="e">
        <f t="shared" si="32"/>
        <v>#VALUE!</v>
      </c>
      <c r="K141" s="305" t="e">
        <f t="shared" si="32"/>
        <v>#VALUE!</v>
      </c>
      <c r="L141" s="305" t="e">
        <f t="shared" si="32"/>
        <v>#VALUE!</v>
      </c>
      <c r="M141" s="305" t="e">
        <f t="shared" si="32"/>
        <v>#VALUE!</v>
      </c>
      <c r="N141" s="305" t="e">
        <f t="shared" si="32"/>
        <v>#VALUE!</v>
      </c>
      <c r="O141" s="305" t="e">
        <f t="shared" si="32"/>
        <v>#VALUE!</v>
      </c>
      <c r="P141" s="305" t="e">
        <f t="shared" si="32"/>
        <v>#VALUE!</v>
      </c>
      <c r="Q141" s="305" t="e">
        <f t="shared" si="32"/>
        <v>#VALUE!</v>
      </c>
      <c r="R141" s="305" t="e">
        <f t="shared" si="32"/>
        <v>#VALUE!</v>
      </c>
      <c r="S141" s="305" t="e">
        <f t="shared" si="31"/>
        <v>#VALUE!</v>
      </c>
      <c r="T141" s="305" t="e">
        <f t="shared" si="31"/>
        <v>#VALUE!</v>
      </c>
      <c r="U141" s="305" t="e">
        <f t="shared" si="31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8"/>
        <v>#VALUE!</v>
      </c>
    </row>
    <row r="142" spans="3:34">
      <c r="C142" s="330">
        <f t="shared" si="29"/>
        <v>22</v>
      </c>
      <c r="D142" s="305"/>
      <c r="E142" s="305"/>
      <c r="F142" s="305"/>
      <c r="G142" s="305"/>
      <c r="H142" s="305"/>
      <c r="I142" s="305"/>
      <c r="J142" s="305" t="e">
        <f t="shared" si="32"/>
        <v>#VALUE!</v>
      </c>
      <c r="K142" s="305" t="e">
        <f t="shared" si="32"/>
        <v>#VALUE!</v>
      </c>
      <c r="L142" s="305" t="e">
        <f t="shared" si="32"/>
        <v>#VALUE!</v>
      </c>
      <c r="M142" s="305" t="e">
        <f t="shared" si="32"/>
        <v>#VALUE!</v>
      </c>
      <c r="N142" s="305" t="e">
        <f t="shared" si="32"/>
        <v>#VALUE!</v>
      </c>
      <c r="O142" s="305" t="e">
        <f t="shared" si="32"/>
        <v>#VALUE!</v>
      </c>
      <c r="P142" s="305" t="e">
        <f t="shared" si="32"/>
        <v>#VALUE!</v>
      </c>
      <c r="Q142" s="305" t="e">
        <f t="shared" si="32"/>
        <v>#VALUE!</v>
      </c>
      <c r="R142" s="305" t="e">
        <f t="shared" si="32"/>
        <v>#VALUE!</v>
      </c>
      <c r="S142" s="305" t="e">
        <f t="shared" si="31"/>
        <v>#VALUE!</v>
      </c>
      <c r="T142" s="305" t="e">
        <f t="shared" si="31"/>
        <v>#VALUE!</v>
      </c>
      <c r="U142" s="305" t="e">
        <f t="shared" si="31"/>
        <v>#VALUE!</v>
      </c>
      <c r="V142" s="305" t="e">
        <f t="shared" si="31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8"/>
        <v>#VALUE!</v>
      </c>
    </row>
    <row r="143" spans="3:34">
      <c r="C143" s="330">
        <f t="shared" si="29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2"/>
        <v>#VALUE!</v>
      </c>
      <c r="L143" s="305" t="e">
        <f t="shared" si="32"/>
        <v>#VALUE!</v>
      </c>
      <c r="M143" s="305" t="e">
        <f t="shared" si="32"/>
        <v>#VALUE!</v>
      </c>
      <c r="N143" s="305" t="e">
        <f t="shared" si="32"/>
        <v>#VALUE!</v>
      </c>
      <c r="O143" s="305" t="e">
        <f t="shared" si="32"/>
        <v>#VALUE!</v>
      </c>
      <c r="P143" s="305" t="e">
        <f t="shared" si="32"/>
        <v>#VALUE!</v>
      </c>
      <c r="Q143" s="305" t="e">
        <f t="shared" si="32"/>
        <v>#VALUE!</v>
      </c>
      <c r="R143" s="305" t="e">
        <f t="shared" si="32"/>
        <v>#VALUE!</v>
      </c>
      <c r="S143" s="305" t="e">
        <f t="shared" si="31"/>
        <v>#VALUE!</v>
      </c>
      <c r="T143" s="305" t="e">
        <f t="shared" si="31"/>
        <v>#VALUE!</v>
      </c>
      <c r="U143" s="305" t="e">
        <f t="shared" si="31"/>
        <v>#VALUE!</v>
      </c>
      <c r="V143" s="305" t="e">
        <f t="shared" si="31"/>
        <v>#VALUE!</v>
      </c>
      <c r="W143" s="305" t="e">
        <f t="shared" si="31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8"/>
        <v>#VALUE!</v>
      </c>
    </row>
    <row r="144" spans="3:34">
      <c r="C144" s="330">
        <f t="shared" si="29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2"/>
        <v>#VALUE!</v>
      </c>
      <c r="M144" s="305" t="e">
        <f t="shared" si="32"/>
        <v>#VALUE!</v>
      </c>
      <c r="N144" s="305" t="e">
        <f t="shared" si="32"/>
        <v>#VALUE!</v>
      </c>
      <c r="O144" s="305" t="e">
        <f t="shared" si="32"/>
        <v>#VALUE!</v>
      </c>
      <c r="P144" s="305" t="e">
        <f t="shared" si="32"/>
        <v>#VALUE!</v>
      </c>
      <c r="Q144" s="305" t="e">
        <f t="shared" si="32"/>
        <v>#VALUE!</v>
      </c>
      <c r="R144" s="305" t="e">
        <f t="shared" si="32"/>
        <v>#VALUE!</v>
      </c>
      <c r="S144" s="305" t="e">
        <f t="shared" si="31"/>
        <v>#VALUE!</v>
      </c>
      <c r="T144" s="305" t="e">
        <f t="shared" si="31"/>
        <v>#VALUE!</v>
      </c>
      <c r="U144" s="305" t="e">
        <f t="shared" si="31"/>
        <v>#VALUE!</v>
      </c>
      <c r="V144" s="305" t="e">
        <f t="shared" si="31"/>
        <v>#VALUE!</v>
      </c>
      <c r="W144" s="305" t="e">
        <f t="shared" si="31"/>
        <v>#VALUE!</v>
      </c>
      <c r="X144" s="305" t="e">
        <f t="shared" si="31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8"/>
        <v>#VALUE!</v>
      </c>
    </row>
    <row r="145" spans="1:34">
      <c r="C145" s="330">
        <f t="shared" si="29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2"/>
        <v>#VALUE!</v>
      </c>
      <c r="N145" s="305" t="e">
        <f t="shared" si="32"/>
        <v>#VALUE!</v>
      </c>
      <c r="O145" s="305" t="e">
        <f t="shared" si="32"/>
        <v>#VALUE!</v>
      </c>
      <c r="P145" s="305" t="e">
        <f t="shared" si="32"/>
        <v>#VALUE!</v>
      </c>
      <c r="Q145" s="305" t="e">
        <f t="shared" si="32"/>
        <v>#VALUE!</v>
      </c>
      <c r="R145" s="305" t="e">
        <f t="shared" si="32"/>
        <v>#VALUE!</v>
      </c>
      <c r="S145" s="305" t="e">
        <f t="shared" si="31"/>
        <v>#VALUE!</v>
      </c>
      <c r="T145" s="305" t="e">
        <f t="shared" si="31"/>
        <v>#VALUE!</v>
      </c>
      <c r="U145" s="305" t="e">
        <f t="shared" si="31"/>
        <v>#VALUE!</v>
      </c>
      <c r="V145" s="305" t="e">
        <f t="shared" si="31"/>
        <v>#VALUE!</v>
      </c>
      <c r="W145" s="305" t="e">
        <f t="shared" si="31"/>
        <v>#VALUE!</v>
      </c>
      <c r="X145" s="305" t="e">
        <f t="shared" si="31"/>
        <v>#VALUE!</v>
      </c>
      <c r="Y145" s="305" t="e">
        <f t="shared" si="31"/>
        <v>#VALUE!</v>
      </c>
      <c r="Z145" s="305" t="e">
        <f t="shared" si="31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8"/>
        <v>#VALUE!</v>
      </c>
    </row>
    <row r="146" spans="1:34">
      <c r="C146" s="330">
        <f t="shared" si="29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2"/>
        <v>#VALUE!</v>
      </c>
      <c r="O146" s="305" t="e">
        <f t="shared" si="32"/>
        <v>#VALUE!</v>
      </c>
      <c r="P146" s="305" t="e">
        <f t="shared" si="32"/>
        <v>#VALUE!</v>
      </c>
      <c r="Q146" s="305" t="e">
        <f t="shared" si="32"/>
        <v>#VALUE!</v>
      </c>
      <c r="R146" s="305" t="e">
        <f t="shared" si="32"/>
        <v>#VALUE!</v>
      </c>
      <c r="S146" s="305" t="e">
        <f t="shared" si="31"/>
        <v>#VALUE!</v>
      </c>
      <c r="T146" s="305" t="e">
        <f t="shared" si="31"/>
        <v>#VALUE!</v>
      </c>
      <c r="U146" s="305" t="e">
        <f t="shared" si="31"/>
        <v>#VALUE!</v>
      </c>
      <c r="V146" s="305" t="e">
        <f t="shared" si="31"/>
        <v>#VALUE!</v>
      </c>
      <c r="W146" s="305" t="e">
        <f t="shared" si="31"/>
        <v>#VALUE!</v>
      </c>
      <c r="X146" s="305" t="e">
        <f t="shared" si="31"/>
        <v>#VALUE!</v>
      </c>
      <c r="Y146" s="305" t="e">
        <f t="shared" si="31"/>
        <v>#VALUE!</v>
      </c>
      <c r="Z146" s="305" t="e">
        <f t="shared" si="31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8"/>
        <v>#VALUE!</v>
      </c>
    </row>
    <row r="147" spans="1:34">
      <c r="C147" s="330">
        <f t="shared" si="29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2"/>
        <v>#VALUE!</v>
      </c>
      <c r="P147" s="305" t="e">
        <f t="shared" si="32"/>
        <v>#VALUE!</v>
      </c>
      <c r="Q147" s="305" t="e">
        <f t="shared" si="32"/>
        <v>#VALUE!</v>
      </c>
      <c r="R147" s="305" t="e">
        <f t="shared" si="32"/>
        <v>#VALUE!</v>
      </c>
      <c r="S147" s="305" t="e">
        <f t="shared" si="31"/>
        <v>#VALUE!</v>
      </c>
      <c r="T147" s="305" t="e">
        <f t="shared" si="31"/>
        <v>#VALUE!</v>
      </c>
      <c r="U147" s="305" t="e">
        <f t="shared" si="31"/>
        <v>#VALUE!</v>
      </c>
      <c r="V147" s="305" t="e">
        <f t="shared" si="31"/>
        <v>#VALUE!</v>
      </c>
      <c r="W147" s="305" t="e">
        <f t="shared" si="31"/>
        <v>#VALUE!</v>
      </c>
      <c r="X147" s="305" t="e">
        <f t="shared" si="31"/>
        <v>#VALUE!</v>
      </c>
      <c r="Y147" s="305" t="e">
        <f t="shared" si="31"/>
        <v>#VALUE!</v>
      </c>
      <c r="Z147" s="305" t="e">
        <f t="shared" si="31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8"/>
        <v>#VALUE!</v>
      </c>
    </row>
    <row r="148" spans="1:34">
      <c r="C148" s="330">
        <f t="shared" si="29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2"/>
        <v>#VALUE!</v>
      </c>
      <c r="Q148" s="305" t="e">
        <f t="shared" si="32"/>
        <v>#VALUE!</v>
      </c>
      <c r="R148" s="305" t="e">
        <f t="shared" si="32"/>
        <v>#VALUE!</v>
      </c>
      <c r="S148" s="305" t="e">
        <f t="shared" si="31"/>
        <v>#VALUE!</v>
      </c>
      <c r="T148" s="305" t="e">
        <f t="shared" si="31"/>
        <v>#VALUE!</v>
      </c>
      <c r="U148" s="305" t="e">
        <f t="shared" si="31"/>
        <v>#VALUE!</v>
      </c>
      <c r="V148" s="305" t="e">
        <f t="shared" si="31"/>
        <v>#VALUE!</v>
      </c>
      <c r="W148" s="305" t="e">
        <f t="shared" si="31"/>
        <v>#VALUE!</v>
      </c>
      <c r="X148" s="305" t="e">
        <f t="shared" si="31"/>
        <v>#VALUE!</v>
      </c>
      <c r="Y148" s="305" t="e">
        <f t="shared" si="31"/>
        <v>#VALUE!</v>
      </c>
      <c r="Z148" s="305" t="e">
        <f t="shared" si="31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8"/>
        <v>#VALUE!</v>
      </c>
    </row>
    <row r="149" spans="1:34">
      <c r="C149" s="307">
        <f t="shared" si="29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2"/>
        <v>#VALUE!</v>
      </c>
      <c r="R149" s="305" t="e">
        <f t="shared" si="32"/>
        <v>#VALUE!</v>
      </c>
      <c r="S149" s="305" t="e">
        <f t="shared" si="31"/>
        <v>#VALUE!</v>
      </c>
      <c r="T149" s="305" t="e">
        <f t="shared" si="31"/>
        <v>#VALUE!</v>
      </c>
      <c r="U149" s="305" t="e">
        <f t="shared" si="31"/>
        <v>#VALUE!</v>
      </c>
      <c r="V149" s="305" t="e">
        <f t="shared" si="31"/>
        <v>#VALUE!</v>
      </c>
      <c r="W149" s="305" t="e">
        <f t="shared" si="31"/>
        <v>#VALUE!</v>
      </c>
      <c r="X149" s="305" t="e">
        <f t="shared" si="31"/>
        <v>#VALUE!</v>
      </c>
      <c r="Y149" s="305" t="e">
        <f t="shared" si="31"/>
        <v>#VALUE!</v>
      </c>
      <c r="Z149" s="305" t="e">
        <f t="shared" si="31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8"/>
        <v>#VALUE!</v>
      </c>
    </row>
    <row r="150" spans="1:34" ht="13.5" thickBot="1">
      <c r="C150" s="307">
        <f t="shared" si="29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2"/>
        <v>#VALUE!</v>
      </c>
      <c r="S150" s="305" t="e">
        <f t="shared" si="31"/>
        <v>#VALUE!</v>
      </c>
      <c r="T150" s="305" t="e">
        <f t="shared" si="31"/>
        <v>#VALUE!</v>
      </c>
      <c r="U150" s="305" t="e">
        <f t="shared" si="31"/>
        <v>#VALUE!</v>
      </c>
      <c r="V150" s="305" t="e">
        <f t="shared" si="31"/>
        <v>#VALUE!</v>
      </c>
      <c r="W150" s="305" t="e">
        <f t="shared" si="31"/>
        <v>#VALUE!</v>
      </c>
      <c r="X150" s="305" t="e">
        <f t="shared" si="31"/>
        <v>#VALUE!</v>
      </c>
      <c r="Y150" s="305" t="e">
        <f t="shared" si="31"/>
        <v>#VALUE!</v>
      </c>
      <c r="Z150" s="305" t="e">
        <f t="shared" si="31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8"/>
        <v>#VALUE!</v>
      </c>
    </row>
    <row r="151" spans="1:34" ht="14.25" thickTop="1" thickBot="1">
      <c r="C151" s="311" t="s">
        <v>0</v>
      </c>
      <c r="D151" s="328" t="e">
        <f t="shared" ref="D151:AH151" si="33">SUM(D120:D150)</f>
        <v>#VALUE!</v>
      </c>
      <c r="E151" s="328" t="e">
        <f t="shared" si="33"/>
        <v>#VALUE!</v>
      </c>
      <c r="F151" s="328" t="e">
        <f t="shared" si="33"/>
        <v>#VALUE!</v>
      </c>
      <c r="G151" s="328" t="e">
        <f t="shared" si="33"/>
        <v>#VALUE!</v>
      </c>
      <c r="H151" s="328" t="e">
        <f t="shared" si="33"/>
        <v>#VALUE!</v>
      </c>
      <c r="I151" s="328" t="e">
        <f t="shared" si="33"/>
        <v>#VALUE!</v>
      </c>
      <c r="J151" s="328" t="e">
        <f t="shared" si="33"/>
        <v>#VALUE!</v>
      </c>
      <c r="K151" s="328" t="e">
        <f t="shared" si="33"/>
        <v>#VALUE!</v>
      </c>
      <c r="L151" s="328" t="e">
        <f t="shared" si="33"/>
        <v>#VALUE!</v>
      </c>
      <c r="M151" s="328" t="e">
        <f t="shared" si="33"/>
        <v>#VALUE!</v>
      </c>
      <c r="N151" s="328" t="e">
        <f t="shared" si="33"/>
        <v>#VALUE!</v>
      </c>
      <c r="O151" s="328" t="e">
        <f t="shared" si="33"/>
        <v>#VALUE!</v>
      </c>
      <c r="P151" s="328" t="e">
        <f t="shared" si="33"/>
        <v>#VALUE!</v>
      </c>
      <c r="Q151" s="328" t="e">
        <f t="shared" si="33"/>
        <v>#VALUE!</v>
      </c>
      <c r="R151" s="328" t="e">
        <f t="shared" si="33"/>
        <v>#VALUE!</v>
      </c>
      <c r="S151" s="328" t="e">
        <f t="shared" si="33"/>
        <v>#VALUE!</v>
      </c>
      <c r="T151" s="328" t="e">
        <f t="shared" si="33"/>
        <v>#VALUE!</v>
      </c>
      <c r="U151" s="328" t="e">
        <f t="shared" si="33"/>
        <v>#VALUE!</v>
      </c>
      <c r="V151" s="328" t="e">
        <f t="shared" si="33"/>
        <v>#VALUE!</v>
      </c>
      <c r="W151" s="328" t="e">
        <f t="shared" si="33"/>
        <v>#VALUE!</v>
      </c>
      <c r="X151" s="328" t="e">
        <f t="shared" si="33"/>
        <v>#VALUE!</v>
      </c>
      <c r="Y151" s="328" t="e">
        <f t="shared" si="33"/>
        <v>#VALUE!</v>
      </c>
      <c r="Z151" s="328" t="e">
        <f t="shared" si="33"/>
        <v>#VALUE!</v>
      </c>
      <c r="AA151" s="328" t="e">
        <f t="shared" si="33"/>
        <v>#VALUE!</v>
      </c>
      <c r="AB151" s="328" t="e">
        <f t="shared" si="33"/>
        <v>#VALUE!</v>
      </c>
      <c r="AC151" s="328" t="e">
        <f t="shared" si="33"/>
        <v>#VALUE!</v>
      </c>
      <c r="AD151" s="328" t="e">
        <f t="shared" si="33"/>
        <v>#VALUE!</v>
      </c>
      <c r="AE151" s="328" t="e">
        <f t="shared" si="33"/>
        <v>#VALUE!</v>
      </c>
      <c r="AF151" s="329" t="e">
        <f t="shared" si="33"/>
        <v>#VALUE!</v>
      </c>
      <c r="AG151" s="328">
        <f t="shared" si="33"/>
        <v>0</v>
      </c>
      <c r="AH151" s="315" t="e">
        <f t="shared" si="33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4">D156+1</f>
        <v>2</v>
      </c>
      <c r="F156" s="302">
        <f t="shared" si="34"/>
        <v>3</v>
      </c>
      <c r="G156" s="302">
        <f t="shared" si="34"/>
        <v>4</v>
      </c>
      <c r="H156" s="302">
        <f t="shared" si="34"/>
        <v>5</v>
      </c>
      <c r="I156" s="302">
        <f t="shared" si="34"/>
        <v>6</v>
      </c>
      <c r="J156" s="302">
        <f t="shared" si="34"/>
        <v>7</v>
      </c>
      <c r="K156" s="302">
        <f t="shared" si="34"/>
        <v>8</v>
      </c>
      <c r="L156" s="302">
        <f t="shared" si="34"/>
        <v>9</v>
      </c>
      <c r="M156" s="302">
        <f t="shared" si="34"/>
        <v>10</v>
      </c>
      <c r="N156" s="302">
        <f t="shared" si="34"/>
        <v>11</v>
      </c>
      <c r="O156" s="302">
        <f t="shared" si="34"/>
        <v>12</v>
      </c>
      <c r="P156" s="302">
        <f t="shared" si="34"/>
        <v>13</v>
      </c>
      <c r="Q156" s="302">
        <f t="shared" si="34"/>
        <v>14</v>
      </c>
      <c r="R156" s="302">
        <f t="shared" si="34"/>
        <v>15</v>
      </c>
      <c r="S156" s="302">
        <f t="shared" si="34"/>
        <v>16</v>
      </c>
      <c r="T156" s="302">
        <f t="shared" si="34"/>
        <v>17</v>
      </c>
      <c r="U156" s="302">
        <f t="shared" si="34"/>
        <v>18</v>
      </c>
      <c r="V156" s="302">
        <f t="shared" si="34"/>
        <v>19</v>
      </c>
      <c r="W156" s="302">
        <f t="shared" si="34"/>
        <v>20</v>
      </c>
      <c r="X156" s="302">
        <f t="shared" si="34"/>
        <v>21</v>
      </c>
      <c r="Y156" s="302">
        <f t="shared" si="34"/>
        <v>22</v>
      </c>
      <c r="Z156" s="302">
        <f t="shared" si="34"/>
        <v>23</v>
      </c>
      <c r="AA156" s="302">
        <f t="shared" si="34"/>
        <v>24</v>
      </c>
      <c r="AB156" s="302">
        <f t="shared" si="34"/>
        <v>25</v>
      </c>
      <c r="AC156" s="302">
        <f t="shared" si="34"/>
        <v>26</v>
      </c>
      <c r="AD156" s="302">
        <f t="shared" si="34"/>
        <v>27</v>
      </c>
      <c r="AE156" s="302">
        <f t="shared" si="34"/>
        <v>28</v>
      </c>
      <c r="AF156" s="302">
        <f t="shared" si="34"/>
        <v>29</v>
      </c>
      <c r="AG156" s="302">
        <f t="shared" si="34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5">SUM(D157:AG157)</f>
        <v>0</v>
      </c>
    </row>
    <row r="158" spans="1:34">
      <c r="C158" s="304">
        <f t="shared" ref="C158:C187" si="36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5"/>
        <v>0</v>
      </c>
    </row>
    <row r="159" spans="1:34">
      <c r="C159" s="304">
        <f t="shared" si="36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5"/>
        <v>#VALUE!</v>
      </c>
    </row>
    <row r="160" spans="1:34">
      <c r="C160" s="304">
        <f t="shared" si="36"/>
        <v>3</v>
      </c>
      <c r="D160" s="305" t="e">
        <f t="shared" ref="D160:O175" si="37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5"/>
        <v>#VALUE!</v>
      </c>
    </row>
    <row r="161" spans="3:34">
      <c r="C161" s="304">
        <f t="shared" si="36"/>
        <v>4</v>
      </c>
      <c r="D161" s="305" t="e">
        <f t="shared" si="37"/>
        <v>#VALUE!</v>
      </c>
      <c r="E161" s="305" t="e">
        <f t="shared" si="37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5"/>
        <v>#VALUE!</v>
      </c>
    </row>
    <row r="162" spans="3:34">
      <c r="C162" s="304">
        <f t="shared" si="36"/>
        <v>5</v>
      </c>
      <c r="D162" s="305" t="e">
        <f t="shared" si="37"/>
        <v>#VALUE!</v>
      </c>
      <c r="E162" s="305" t="e">
        <f t="shared" si="37"/>
        <v>#VALUE!</v>
      </c>
      <c r="F162" s="305" t="e">
        <f t="shared" si="37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5"/>
        <v>#VALUE!</v>
      </c>
    </row>
    <row r="163" spans="3:34">
      <c r="C163" s="304">
        <f t="shared" si="36"/>
        <v>6</v>
      </c>
      <c r="D163" s="305" t="e">
        <f t="shared" si="37"/>
        <v>#VALUE!</v>
      </c>
      <c r="E163" s="305" t="e">
        <f t="shared" si="37"/>
        <v>#VALUE!</v>
      </c>
      <c r="F163" s="305" t="e">
        <f t="shared" si="37"/>
        <v>#VALUE!</v>
      </c>
      <c r="G163" s="305" t="e">
        <f t="shared" si="37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5"/>
        <v>#VALUE!</v>
      </c>
    </row>
    <row r="164" spans="3:34">
      <c r="C164" s="304">
        <f t="shared" si="36"/>
        <v>7</v>
      </c>
      <c r="D164" s="305" t="e">
        <f t="shared" si="37"/>
        <v>#VALUE!</v>
      </c>
      <c r="E164" s="305" t="e">
        <f t="shared" si="37"/>
        <v>#VALUE!</v>
      </c>
      <c r="F164" s="305" t="e">
        <f t="shared" si="37"/>
        <v>#VALUE!</v>
      </c>
      <c r="G164" s="305" t="e">
        <f t="shared" si="37"/>
        <v>#VALUE!</v>
      </c>
      <c r="H164" s="305" t="e">
        <f t="shared" si="37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5"/>
        <v>#VALUE!</v>
      </c>
    </row>
    <row r="165" spans="3:34">
      <c r="C165" s="304">
        <f t="shared" si="36"/>
        <v>8</v>
      </c>
      <c r="D165" s="305" t="e">
        <f t="shared" si="37"/>
        <v>#VALUE!</v>
      </c>
      <c r="E165" s="305" t="e">
        <f t="shared" si="37"/>
        <v>#VALUE!</v>
      </c>
      <c r="F165" s="305" t="e">
        <f t="shared" si="37"/>
        <v>#VALUE!</v>
      </c>
      <c r="G165" s="305" t="e">
        <f t="shared" si="37"/>
        <v>#VALUE!</v>
      </c>
      <c r="H165" s="305" t="e">
        <f t="shared" si="37"/>
        <v>#VALUE!</v>
      </c>
      <c r="I165" s="305" t="e">
        <f t="shared" si="37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5"/>
        <v>#VALUE!</v>
      </c>
    </row>
    <row r="166" spans="3:34">
      <c r="C166" s="304">
        <f t="shared" si="36"/>
        <v>9</v>
      </c>
      <c r="D166" s="305" t="e">
        <f t="shared" si="37"/>
        <v>#VALUE!</v>
      </c>
      <c r="E166" s="305" t="e">
        <f t="shared" si="37"/>
        <v>#VALUE!</v>
      </c>
      <c r="F166" s="305" t="e">
        <f t="shared" si="37"/>
        <v>#VALUE!</v>
      </c>
      <c r="G166" s="305" t="e">
        <f t="shared" si="37"/>
        <v>#VALUE!</v>
      </c>
      <c r="H166" s="305" t="e">
        <f t="shared" si="37"/>
        <v>#VALUE!</v>
      </c>
      <c r="I166" s="305" t="e">
        <f t="shared" si="37"/>
        <v>#VALUE!</v>
      </c>
      <c r="J166" s="305" t="e">
        <f t="shared" si="37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5"/>
        <v>#VALUE!</v>
      </c>
    </row>
    <row r="167" spans="3:34">
      <c r="C167" s="304">
        <f t="shared" si="36"/>
        <v>10</v>
      </c>
      <c r="D167" s="305" t="e">
        <f t="shared" si="37"/>
        <v>#VALUE!</v>
      </c>
      <c r="E167" s="305" t="e">
        <f t="shared" si="37"/>
        <v>#VALUE!</v>
      </c>
      <c r="F167" s="305" t="e">
        <f t="shared" si="37"/>
        <v>#VALUE!</v>
      </c>
      <c r="G167" s="305" t="e">
        <f t="shared" si="37"/>
        <v>#VALUE!</v>
      </c>
      <c r="H167" s="305" t="e">
        <f t="shared" si="37"/>
        <v>#VALUE!</v>
      </c>
      <c r="I167" s="305" t="e">
        <f t="shared" si="37"/>
        <v>#VALUE!</v>
      </c>
      <c r="J167" s="305" t="e">
        <f t="shared" si="37"/>
        <v>#VALUE!</v>
      </c>
      <c r="K167" s="305" t="e">
        <f t="shared" si="37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5"/>
        <v>#VALUE!</v>
      </c>
    </row>
    <row r="168" spans="3:34">
      <c r="C168" s="304">
        <f t="shared" si="36"/>
        <v>11</v>
      </c>
      <c r="D168" s="305" t="e">
        <f t="shared" si="37"/>
        <v>#VALUE!</v>
      </c>
      <c r="E168" s="305" t="e">
        <f t="shared" si="37"/>
        <v>#VALUE!</v>
      </c>
      <c r="F168" s="305" t="e">
        <f t="shared" si="37"/>
        <v>#VALUE!</v>
      </c>
      <c r="G168" s="305" t="e">
        <f t="shared" si="37"/>
        <v>#VALUE!</v>
      </c>
      <c r="H168" s="305" t="e">
        <f t="shared" si="37"/>
        <v>#VALUE!</v>
      </c>
      <c r="I168" s="305" t="e">
        <f t="shared" si="37"/>
        <v>#VALUE!</v>
      </c>
      <c r="J168" s="305" t="e">
        <f t="shared" si="37"/>
        <v>#VALUE!</v>
      </c>
      <c r="K168" s="305" t="e">
        <f t="shared" si="37"/>
        <v>#VALUE!</v>
      </c>
      <c r="L168" s="305" t="e">
        <f t="shared" si="37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5"/>
        <v>#VALUE!</v>
      </c>
    </row>
    <row r="169" spans="3:34">
      <c r="C169" s="304">
        <f t="shared" si="36"/>
        <v>12</v>
      </c>
      <c r="D169" s="305" t="e">
        <f t="shared" si="37"/>
        <v>#VALUE!</v>
      </c>
      <c r="E169" s="305" t="e">
        <f t="shared" si="37"/>
        <v>#VALUE!</v>
      </c>
      <c r="F169" s="305" t="e">
        <f t="shared" si="37"/>
        <v>#VALUE!</v>
      </c>
      <c r="G169" s="305" t="e">
        <f t="shared" si="37"/>
        <v>#VALUE!</v>
      </c>
      <c r="H169" s="305" t="e">
        <f t="shared" si="37"/>
        <v>#VALUE!</v>
      </c>
      <c r="I169" s="305" t="e">
        <f t="shared" si="37"/>
        <v>#VALUE!</v>
      </c>
      <c r="J169" s="305" t="e">
        <f t="shared" si="37"/>
        <v>#VALUE!</v>
      </c>
      <c r="K169" s="305" t="e">
        <f t="shared" si="37"/>
        <v>#VALUE!</v>
      </c>
      <c r="L169" s="305" t="e">
        <f t="shared" si="37"/>
        <v>#VALUE!</v>
      </c>
      <c r="M169" s="305" t="e">
        <f t="shared" si="37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5"/>
        <v>#VALUE!</v>
      </c>
    </row>
    <row r="170" spans="3:34">
      <c r="C170" s="304">
        <f t="shared" si="36"/>
        <v>13</v>
      </c>
      <c r="D170" s="305" t="e">
        <f t="shared" si="37"/>
        <v>#VALUE!</v>
      </c>
      <c r="E170" s="305" t="e">
        <f t="shared" si="37"/>
        <v>#VALUE!</v>
      </c>
      <c r="F170" s="305" t="e">
        <f t="shared" si="37"/>
        <v>#VALUE!</v>
      </c>
      <c r="G170" s="305" t="e">
        <f t="shared" si="37"/>
        <v>#VALUE!</v>
      </c>
      <c r="H170" s="305" t="e">
        <f t="shared" si="37"/>
        <v>#VALUE!</v>
      </c>
      <c r="I170" s="305" t="e">
        <f t="shared" si="37"/>
        <v>#VALUE!</v>
      </c>
      <c r="J170" s="305" t="e">
        <f t="shared" si="37"/>
        <v>#VALUE!</v>
      </c>
      <c r="K170" s="305" t="e">
        <f t="shared" si="37"/>
        <v>#VALUE!</v>
      </c>
      <c r="L170" s="305" t="e">
        <f t="shared" si="37"/>
        <v>#VALUE!</v>
      </c>
      <c r="M170" s="305" t="e">
        <f t="shared" si="37"/>
        <v>#VALUE!</v>
      </c>
      <c r="N170" s="305" t="e">
        <f t="shared" si="37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5"/>
        <v>#VALUE!</v>
      </c>
    </row>
    <row r="171" spans="3:34">
      <c r="C171" s="304">
        <f t="shared" si="36"/>
        <v>14</v>
      </c>
      <c r="D171" s="305"/>
      <c r="E171" s="305" t="e">
        <f t="shared" si="37"/>
        <v>#VALUE!</v>
      </c>
      <c r="F171" s="305" t="e">
        <f t="shared" si="37"/>
        <v>#VALUE!</v>
      </c>
      <c r="G171" s="305" t="e">
        <f t="shared" si="37"/>
        <v>#VALUE!</v>
      </c>
      <c r="H171" s="305" t="e">
        <f t="shared" si="37"/>
        <v>#VALUE!</v>
      </c>
      <c r="I171" s="305" t="e">
        <f t="shared" si="37"/>
        <v>#VALUE!</v>
      </c>
      <c r="J171" s="305" t="e">
        <f t="shared" si="37"/>
        <v>#VALUE!</v>
      </c>
      <c r="K171" s="305" t="e">
        <f t="shared" si="37"/>
        <v>#VALUE!</v>
      </c>
      <c r="L171" s="305" t="e">
        <f t="shared" si="37"/>
        <v>#VALUE!</v>
      </c>
      <c r="M171" s="305" t="e">
        <f t="shared" si="37"/>
        <v>#VALUE!</v>
      </c>
      <c r="N171" s="305" t="e">
        <f t="shared" si="37"/>
        <v>#VALUE!</v>
      </c>
      <c r="O171" s="305" t="e">
        <f t="shared" si="37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5"/>
        <v>#VALUE!</v>
      </c>
    </row>
    <row r="172" spans="3:34">
      <c r="C172" s="304">
        <f t="shared" si="36"/>
        <v>15</v>
      </c>
      <c r="D172" s="305"/>
      <c r="E172" s="305"/>
      <c r="F172" s="305" t="e">
        <f t="shared" si="37"/>
        <v>#VALUE!</v>
      </c>
      <c r="G172" s="305" t="e">
        <f t="shared" si="37"/>
        <v>#VALUE!</v>
      </c>
      <c r="H172" s="305" t="e">
        <f t="shared" si="37"/>
        <v>#VALUE!</v>
      </c>
      <c r="I172" s="305" t="e">
        <f t="shared" si="37"/>
        <v>#VALUE!</v>
      </c>
      <c r="J172" s="305" t="e">
        <f t="shared" si="37"/>
        <v>#VALUE!</v>
      </c>
      <c r="K172" s="305" t="e">
        <f t="shared" si="37"/>
        <v>#VALUE!</v>
      </c>
      <c r="L172" s="305" t="e">
        <f t="shared" si="37"/>
        <v>#VALUE!</v>
      </c>
      <c r="M172" s="305" t="e">
        <f t="shared" si="37"/>
        <v>#VALUE!</v>
      </c>
      <c r="N172" s="305" t="e">
        <f t="shared" si="37"/>
        <v>#VALUE!</v>
      </c>
      <c r="O172" s="305" t="e">
        <f t="shared" si="37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5"/>
        <v>#VALUE!</v>
      </c>
    </row>
    <row r="173" spans="3:34">
      <c r="C173" s="304">
        <f t="shared" si="36"/>
        <v>16</v>
      </c>
      <c r="D173" s="305"/>
      <c r="E173" s="305"/>
      <c r="F173" s="305"/>
      <c r="G173" s="305" t="e">
        <f t="shared" si="37"/>
        <v>#VALUE!</v>
      </c>
      <c r="H173" s="305" t="e">
        <f t="shared" si="37"/>
        <v>#VALUE!</v>
      </c>
      <c r="I173" s="305" t="e">
        <f t="shared" si="37"/>
        <v>#VALUE!</v>
      </c>
      <c r="J173" s="305" t="e">
        <f t="shared" si="37"/>
        <v>#VALUE!</v>
      </c>
      <c r="K173" s="305" t="e">
        <f t="shared" si="37"/>
        <v>#VALUE!</v>
      </c>
      <c r="L173" s="305" t="e">
        <f t="shared" si="37"/>
        <v>#VALUE!</v>
      </c>
      <c r="M173" s="305" t="e">
        <f t="shared" si="37"/>
        <v>#VALUE!</v>
      </c>
      <c r="N173" s="305" t="e">
        <f t="shared" si="37"/>
        <v>#VALUE!</v>
      </c>
      <c r="O173" s="305" t="e">
        <f t="shared" si="37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5"/>
        <v>#VALUE!</v>
      </c>
    </row>
    <row r="174" spans="3:34">
      <c r="C174" s="304">
        <f t="shared" si="36"/>
        <v>17</v>
      </c>
      <c r="D174" s="305"/>
      <c r="E174" s="305"/>
      <c r="F174" s="305"/>
      <c r="G174" s="305"/>
      <c r="H174" s="305" t="e">
        <f t="shared" si="37"/>
        <v>#VALUE!</v>
      </c>
      <c r="I174" s="305" t="e">
        <f t="shared" si="37"/>
        <v>#VALUE!</v>
      </c>
      <c r="J174" s="305" t="e">
        <f t="shared" si="37"/>
        <v>#VALUE!</v>
      </c>
      <c r="K174" s="305" t="e">
        <f t="shared" si="37"/>
        <v>#VALUE!</v>
      </c>
      <c r="L174" s="305" t="e">
        <f t="shared" si="37"/>
        <v>#VALUE!</v>
      </c>
      <c r="M174" s="305" t="e">
        <f t="shared" si="37"/>
        <v>#VALUE!</v>
      </c>
      <c r="N174" s="305" t="e">
        <f t="shared" si="37"/>
        <v>#VALUE!</v>
      </c>
      <c r="O174" s="305" t="e">
        <f t="shared" si="37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5"/>
        <v>#VALUE!</v>
      </c>
    </row>
    <row r="175" spans="3:34">
      <c r="C175" s="304">
        <f t="shared" si="36"/>
        <v>18</v>
      </c>
      <c r="D175" s="305"/>
      <c r="E175" s="305"/>
      <c r="F175" s="305"/>
      <c r="G175" s="305"/>
      <c r="H175" s="305"/>
      <c r="I175" s="305" t="e">
        <f t="shared" si="37"/>
        <v>#VALUE!</v>
      </c>
      <c r="J175" s="305" t="e">
        <f t="shared" si="37"/>
        <v>#VALUE!</v>
      </c>
      <c r="K175" s="305" t="e">
        <f t="shared" si="37"/>
        <v>#VALUE!</v>
      </c>
      <c r="L175" s="305" t="e">
        <f t="shared" si="37"/>
        <v>#VALUE!</v>
      </c>
      <c r="M175" s="305" t="e">
        <f t="shared" si="37"/>
        <v>#VALUE!</v>
      </c>
      <c r="N175" s="305" t="e">
        <f t="shared" si="37"/>
        <v>#VALUE!</v>
      </c>
      <c r="O175" s="305" t="e">
        <f t="shared" si="37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5"/>
        <v>#VALUE!</v>
      </c>
    </row>
    <row r="176" spans="3:34">
      <c r="C176" s="304">
        <f t="shared" si="36"/>
        <v>19</v>
      </c>
      <c r="D176" s="305"/>
      <c r="E176" s="305"/>
      <c r="F176" s="305"/>
      <c r="G176" s="305"/>
      <c r="H176" s="305"/>
      <c r="I176" s="305"/>
      <c r="J176" s="305" t="e">
        <f t="shared" ref="J176:Y187" si="38">J175</f>
        <v>#VALUE!</v>
      </c>
      <c r="K176" s="305" t="e">
        <f t="shared" si="38"/>
        <v>#VALUE!</v>
      </c>
      <c r="L176" s="305" t="e">
        <f t="shared" si="38"/>
        <v>#VALUE!</v>
      </c>
      <c r="M176" s="305" t="e">
        <f t="shared" si="38"/>
        <v>#VALUE!</v>
      </c>
      <c r="N176" s="305" t="e">
        <f t="shared" si="38"/>
        <v>#VALUE!</v>
      </c>
      <c r="O176" s="305" t="e">
        <f t="shared" si="38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5"/>
        <v>#VALUE!</v>
      </c>
    </row>
    <row r="177" spans="1:34">
      <c r="C177" s="304">
        <f t="shared" si="36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8"/>
        <v>#VALUE!</v>
      </c>
      <c r="L177" s="305" t="e">
        <f t="shared" si="38"/>
        <v>#VALUE!</v>
      </c>
      <c r="M177" s="305" t="e">
        <f t="shared" si="38"/>
        <v>#VALUE!</v>
      </c>
      <c r="N177" s="305" t="e">
        <f t="shared" si="38"/>
        <v>#VALUE!</v>
      </c>
      <c r="O177" s="305" t="e">
        <f t="shared" si="38"/>
        <v>#VALUE!</v>
      </c>
      <c r="P177" s="305" t="e">
        <f t="shared" si="38"/>
        <v>#VALUE!</v>
      </c>
      <c r="Q177" s="305" t="e">
        <f t="shared" si="38"/>
        <v>#VALUE!</v>
      </c>
      <c r="R177" s="305" t="e">
        <f t="shared" si="38"/>
        <v>#VALUE!</v>
      </c>
      <c r="S177" s="305" t="e">
        <f t="shared" si="38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5"/>
        <v>#VALUE!</v>
      </c>
    </row>
    <row r="178" spans="1:34">
      <c r="C178" s="304">
        <f t="shared" si="36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8"/>
        <v>#VALUE!</v>
      </c>
      <c r="M178" s="305" t="e">
        <f t="shared" si="38"/>
        <v>#VALUE!</v>
      </c>
      <c r="N178" s="305" t="e">
        <f t="shared" si="38"/>
        <v>#VALUE!</v>
      </c>
      <c r="O178" s="305" t="e">
        <f t="shared" si="38"/>
        <v>#VALUE!</v>
      </c>
      <c r="P178" s="305" t="e">
        <f t="shared" si="38"/>
        <v>#VALUE!</v>
      </c>
      <c r="Q178" s="305" t="e">
        <f t="shared" si="38"/>
        <v>#VALUE!</v>
      </c>
      <c r="R178" s="305" t="e">
        <f t="shared" si="38"/>
        <v>#VALUE!</v>
      </c>
      <c r="S178" s="305" t="e">
        <f t="shared" si="38"/>
        <v>#VALUE!</v>
      </c>
      <c r="T178" s="305" t="e">
        <f t="shared" si="38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5"/>
        <v>#VALUE!</v>
      </c>
    </row>
    <row r="179" spans="1:34">
      <c r="C179" s="330">
        <f t="shared" si="36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8"/>
        <v>#VALUE!</v>
      </c>
      <c r="N179" s="305" t="e">
        <f t="shared" si="38"/>
        <v>#VALUE!</v>
      </c>
      <c r="O179" s="305" t="e">
        <f t="shared" si="38"/>
        <v>#VALUE!</v>
      </c>
      <c r="P179" s="305" t="e">
        <f t="shared" si="38"/>
        <v>#VALUE!</v>
      </c>
      <c r="Q179" s="305" t="e">
        <f t="shared" si="38"/>
        <v>#VALUE!</v>
      </c>
      <c r="R179" s="305" t="e">
        <f t="shared" si="38"/>
        <v>#VALUE!</v>
      </c>
      <c r="S179" s="305" t="e">
        <f t="shared" si="38"/>
        <v>#VALUE!</v>
      </c>
      <c r="T179" s="305" t="e">
        <f t="shared" si="38"/>
        <v>#VALUE!</v>
      </c>
      <c r="U179" s="305" t="e">
        <f t="shared" si="38"/>
        <v>#VALUE!</v>
      </c>
      <c r="V179" s="305" t="e">
        <f t="shared" si="38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5"/>
        <v>#VALUE!</v>
      </c>
    </row>
    <row r="180" spans="1:34">
      <c r="C180" s="330">
        <f t="shared" si="36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8"/>
        <v>#VALUE!</v>
      </c>
      <c r="O180" s="305" t="e">
        <f t="shared" si="38"/>
        <v>#VALUE!</v>
      </c>
      <c r="P180" s="305" t="e">
        <f t="shared" si="38"/>
        <v>#VALUE!</v>
      </c>
      <c r="Q180" s="305" t="e">
        <f t="shared" si="38"/>
        <v>#VALUE!</v>
      </c>
      <c r="R180" s="305" t="e">
        <f t="shared" si="38"/>
        <v>#VALUE!</v>
      </c>
      <c r="S180" s="305" t="e">
        <f t="shared" si="38"/>
        <v>#VALUE!</v>
      </c>
      <c r="T180" s="305" t="e">
        <f t="shared" si="38"/>
        <v>#VALUE!</v>
      </c>
      <c r="U180" s="305" t="e">
        <f t="shared" si="38"/>
        <v>#VALUE!</v>
      </c>
      <c r="V180" s="305" t="e">
        <f t="shared" si="38"/>
        <v>#VALUE!</v>
      </c>
      <c r="W180" s="305" t="e">
        <f t="shared" si="38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5"/>
        <v>#VALUE!</v>
      </c>
    </row>
    <row r="181" spans="1:34">
      <c r="C181" s="330">
        <f t="shared" si="36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8"/>
        <v>#VALUE!</v>
      </c>
      <c r="P181" s="305" t="e">
        <f t="shared" si="38"/>
        <v>#VALUE!</v>
      </c>
      <c r="Q181" s="305" t="e">
        <f t="shared" si="38"/>
        <v>#VALUE!</v>
      </c>
      <c r="R181" s="305" t="e">
        <f t="shared" si="38"/>
        <v>#VALUE!</v>
      </c>
      <c r="S181" s="305" t="e">
        <f t="shared" si="38"/>
        <v>#VALUE!</v>
      </c>
      <c r="T181" s="305" t="e">
        <f t="shared" si="38"/>
        <v>#VALUE!</v>
      </c>
      <c r="U181" s="305" t="e">
        <f t="shared" si="38"/>
        <v>#VALUE!</v>
      </c>
      <c r="V181" s="305" t="e">
        <f t="shared" si="38"/>
        <v>#VALUE!</v>
      </c>
      <c r="W181" s="305" t="e">
        <f t="shared" si="38"/>
        <v>#VALUE!</v>
      </c>
      <c r="X181" s="305" t="e">
        <f t="shared" si="38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5"/>
        <v>#VALUE!</v>
      </c>
    </row>
    <row r="182" spans="1:34">
      <c r="C182" s="330">
        <f t="shared" si="36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8"/>
        <v>#VALUE!</v>
      </c>
      <c r="Q182" s="305" t="e">
        <f t="shared" si="38"/>
        <v>#VALUE!</v>
      </c>
      <c r="R182" s="305" t="e">
        <f t="shared" si="38"/>
        <v>#VALUE!</v>
      </c>
      <c r="S182" s="305" t="e">
        <f t="shared" si="38"/>
        <v>#VALUE!</v>
      </c>
      <c r="T182" s="305" t="e">
        <f t="shared" si="38"/>
        <v>#VALUE!</v>
      </c>
      <c r="U182" s="305" t="e">
        <f t="shared" si="38"/>
        <v>#VALUE!</v>
      </c>
      <c r="V182" s="305" t="e">
        <f t="shared" si="38"/>
        <v>#VALUE!</v>
      </c>
      <c r="W182" s="305" t="e">
        <f t="shared" si="38"/>
        <v>#VALUE!</v>
      </c>
      <c r="X182" s="305" t="e">
        <f t="shared" si="38"/>
        <v>#VALUE!</v>
      </c>
      <c r="Y182" s="305" t="e">
        <f t="shared" si="38"/>
        <v>#VALUE!</v>
      </c>
      <c r="Z182" s="305" t="e">
        <f t="shared" ref="Z182:Z187" si="39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5"/>
        <v>#VALUE!</v>
      </c>
    </row>
    <row r="183" spans="1:34">
      <c r="C183" s="330">
        <f t="shared" si="36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8"/>
        <v>#VALUE!</v>
      </c>
      <c r="R183" s="305" t="e">
        <f t="shared" si="38"/>
        <v>#VALUE!</v>
      </c>
      <c r="S183" s="305" t="e">
        <f t="shared" si="38"/>
        <v>#VALUE!</v>
      </c>
      <c r="T183" s="305" t="e">
        <f t="shared" si="38"/>
        <v>#VALUE!</v>
      </c>
      <c r="U183" s="305" t="e">
        <f t="shared" si="38"/>
        <v>#VALUE!</v>
      </c>
      <c r="V183" s="305" t="e">
        <f t="shared" si="38"/>
        <v>#VALUE!</v>
      </c>
      <c r="W183" s="305" t="e">
        <f t="shared" si="38"/>
        <v>#VALUE!</v>
      </c>
      <c r="X183" s="305" t="e">
        <f t="shared" si="38"/>
        <v>#VALUE!</v>
      </c>
      <c r="Y183" s="305" t="e">
        <f t="shared" si="38"/>
        <v>#VALUE!</v>
      </c>
      <c r="Z183" s="305" t="e">
        <f t="shared" si="39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5"/>
        <v>#VALUE!</v>
      </c>
    </row>
    <row r="184" spans="1:34">
      <c r="C184" s="330">
        <f t="shared" si="36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8"/>
        <v>#VALUE!</v>
      </c>
      <c r="S184" s="305" t="e">
        <f t="shared" si="38"/>
        <v>#VALUE!</v>
      </c>
      <c r="T184" s="305" t="e">
        <f t="shared" si="38"/>
        <v>#VALUE!</v>
      </c>
      <c r="U184" s="305" t="e">
        <f t="shared" si="38"/>
        <v>#VALUE!</v>
      </c>
      <c r="V184" s="305" t="e">
        <f t="shared" si="38"/>
        <v>#VALUE!</v>
      </c>
      <c r="W184" s="305" t="e">
        <f t="shared" si="38"/>
        <v>#VALUE!</v>
      </c>
      <c r="X184" s="305" t="e">
        <f t="shared" si="38"/>
        <v>#VALUE!</v>
      </c>
      <c r="Y184" s="305" t="e">
        <f t="shared" si="38"/>
        <v>#VALUE!</v>
      </c>
      <c r="Z184" s="305" t="e">
        <f t="shared" si="39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5"/>
        <v>#VALUE!</v>
      </c>
    </row>
    <row r="185" spans="1:34">
      <c r="C185" s="330">
        <f t="shared" si="36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8"/>
        <v>#VALUE!</v>
      </c>
      <c r="T185" s="305" t="e">
        <f t="shared" si="38"/>
        <v>#VALUE!</v>
      </c>
      <c r="U185" s="305" t="e">
        <f t="shared" si="38"/>
        <v>#VALUE!</v>
      </c>
      <c r="V185" s="305" t="e">
        <f t="shared" si="38"/>
        <v>#VALUE!</v>
      </c>
      <c r="W185" s="305" t="e">
        <f t="shared" si="38"/>
        <v>#VALUE!</v>
      </c>
      <c r="X185" s="305" t="e">
        <f t="shared" si="38"/>
        <v>#VALUE!</v>
      </c>
      <c r="Y185" s="305" t="e">
        <f t="shared" si="38"/>
        <v>#VALUE!</v>
      </c>
      <c r="Z185" s="305" t="e">
        <f t="shared" si="39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5"/>
        <v>#VALUE!</v>
      </c>
    </row>
    <row r="186" spans="1:34">
      <c r="C186" s="330">
        <f t="shared" si="36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8"/>
        <v>#VALUE!</v>
      </c>
      <c r="U186" s="305" t="e">
        <f t="shared" si="38"/>
        <v>#VALUE!</v>
      </c>
      <c r="V186" s="305" t="e">
        <f t="shared" si="38"/>
        <v>#VALUE!</v>
      </c>
      <c r="W186" s="305" t="e">
        <f t="shared" si="38"/>
        <v>#VALUE!</v>
      </c>
      <c r="X186" s="305" t="e">
        <f t="shared" si="38"/>
        <v>#VALUE!</v>
      </c>
      <c r="Y186" s="305" t="e">
        <f t="shared" si="38"/>
        <v>#VALUE!</v>
      </c>
      <c r="Z186" s="305" t="e">
        <f t="shared" si="39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5"/>
        <v>#VALUE!</v>
      </c>
    </row>
    <row r="187" spans="1:34" ht="13.5" thickBot="1">
      <c r="C187" s="307">
        <f t="shared" si="36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8"/>
        <v>#VALUE!</v>
      </c>
      <c r="V187" s="305" t="e">
        <f t="shared" si="38"/>
        <v>#VALUE!</v>
      </c>
      <c r="W187" s="305" t="e">
        <f t="shared" si="38"/>
        <v>#VALUE!</v>
      </c>
      <c r="X187" s="305" t="e">
        <f t="shared" si="38"/>
        <v>#VALUE!</v>
      </c>
      <c r="Y187" s="305" t="e">
        <f t="shared" si="38"/>
        <v>#VALUE!</v>
      </c>
      <c r="Z187" s="305" t="e">
        <f t="shared" si="39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5"/>
        <v>#VALUE!</v>
      </c>
    </row>
    <row r="188" spans="1:34" ht="14.25" thickTop="1" thickBot="1">
      <c r="C188" s="311" t="s">
        <v>0</v>
      </c>
      <c r="D188" s="328" t="e">
        <f t="shared" ref="D188:AH188" si="40">SUM(D157:D187)</f>
        <v>#VALUE!</v>
      </c>
      <c r="E188" s="328" t="e">
        <f t="shared" si="40"/>
        <v>#VALUE!</v>
      </c>
      <c r="F188" s="328" t="e">
        <f t="shared" si="40"/>
        <v>#VALUE!</v>
      </c>
      <c r="G188" s="328" t="e">
        <f t="shared" si="40"/>
        <v>#VALUE!</v>
      </c>
      <c r="H188" s="328" t="e">
        <f t="shared" si="40"/>
        <v>#VALUE!</v>
      </c>
      <c r="I188" s="328" t="e">
        <f t="shared" si="40"/>
        <v>#VALUE!</v>
      </c>
      <c r="J188" s="328" t="e">
        <f t="shared" si="40"/>
        <v>#VALUE!</v>
      </c>
      <c r="K188" s="328" t="e">
        <f t="shared" si="40"/>
        <v>#VALUE!</v>
      </c>
      <c r="L188" s="328" t="e">
        <f t="shared" si="40"/>
        <v>#VALUE!</v>
      </c>
      <c r="M188" s="328" t="e">
        <f t="shared" si="40"/>
        <v>#VALUE!</v>
      </c>
      <c r="N188" s="328" t="e">
        <f t="shared" si="40"/>
        <v>#VALUE!</v>
      </c>
      <c r="O188" s="328" t="e">
        <f t="shared" si="40"/>
        <v>#VALUE!</v>
      </c>
      <c r="P188" s="328" t="e">
        <f t="shared" si="40"/>
        <v>#VALUE!</v>
      </c>
      <c r="Q188" s="328" t="e">
        <f t="shared" si="40"/>
        <v>#VALUE!</v>
      </c>
      <c r="R188" s="328" t="e">
        <f t="shared" si="40"/>
        <v>#VALUE!</v>
      </c>
      <c r="S188" s="328" t="e">
        <f t="shared" si="40"/>
        <v>#VALUE!</v>
      </c>
      <c r="T188" s="328" t="e">
        <f t="shared" si="40"/>
        <v>#VALUE!</v>
      </c>
      <c r="U188" s="328" t="e">
        <f t="shared" si="40"/>
        <v>#VALUE!</v>
      </c>
      <c r="V188" s="328" t="e">
        <f t="shared" si="40"/>
        <v>#VALUE!</v>
      </c>
      <c r="W188" s="328" t="e">
        <f t="shared" si="40"/>
        <v>#VALUE!</v>
      </c>
      <c r="X188" s="328" t="e">
        <f t="shared" si="40"/>
        <v>#VALUE!</v>
      </c>
      <c r="Y188" s="328" t="e">
        <f t="shared" si="40"/>
        <v>#VALUE!</v>
      </c>
      <c r="Z188" s="328" t="e">
        <f t="shared" si="40"/>
        <v>#VALUE!</v>
      </c>
      <c r="AA188" s="328" t="e">
        <f t="shared" si="40"/>
        <v>#VALUE!</v>
      </c>
      <c r="AB188" s="328" t="e">
        <f t="shared" si="40"/>
        <v>#VALUE!</v>
      </c>
      <c r="AC188" s="328" t="e">
        <f t="shared" si="40"/>
        <v>#VALUE!</v>
      </c>
      <c r="AD188" s="328" t="e">
        <f t="shared" si="40"/>
        <v>#VALUE!</v>
      </c>
      <c r="AE188" s="328" t="e">
        <f t="shared" si="40"/>
        <v>#VALUE!</v>
      </c>
      <c r="AF188" s="329" t="e">
        <f t="shared" si="40"/>
        <v>#VALUE!</v>
      </c>
      <c r="AG188" s="329" t="e">
        <f t="shared" si="40"/>
        <v>#VALUE!</v>
      </c>
      <c r="AH188" s="315" t="e">
        <f t="shared" si="40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1">D193+1</f>
        <v>2</v>
      </c>
      <c r="F193" s="302">
        <f t="shared" si="41"/>
        <v>3</v>
      </c>
      <c r="G193" s="302">
        <f t="shared" si="41"/>
        <v>4</v>
      </c>
      <c r="H193" s="302">
        <f t="shared" si="41"/>
        <v>5</v>
      </c>
      <c r="I193" s="302">
        <f t="shared" si="41"/>
        <v>6</v>
      </c>
      <c r="J193" s="302">
        <f t="shared" si="41"/>
        <v>7</v>
      </c>
      <c r="K193" s="302">
        <f t="shared" si="41"/>
        <v>8</v>
      </c>
      <c r="L193" s="302">
        <f t="shared" si="41"/>
        <v>9</v>
      </c>
      <c r="M193" s="302">
        <f t="shared" si="41"/>
        <v>10</v>
      </c>
      <c r="N193" s="302">
        <f t="shared" si="41"/>
        <v>11</v>
      </c>
      <c r="O193" s="302">
        <f t="shared" si="41"/>
        <v>12</v>
      </c>
      <c r="P193" s="302">
        <f t="shared" si="41"/>
        <v>13</v>
      </c>
      <c r="Q193" s="302">
        <f t="shared" si="41"/>
        <v>14</v>
      </c>
      <c r="R193" s="302">
        <f t="shared" si="41"/>
        <v>15</v>
      </c>
      <c r="S193" s="302">
        <f t="shared" si="41"/>
        <v>16</v>
      </c>
      <c r="T193" s="302">
        <f t="shared" si="41"/>
        <v>17</v>
      </c>
      <c r="U193" s="302">
        <f t="shared" si="41"/>
        <v>18</v>
      </c>
      <c r="V193" s="302">
        <f t="shared" si="41"/>
        <v>19</v>
      </c>
      <c r="W193" s="302">
        <f t="shared" si="41"/>
        <v>20</v>
      </c>
      <c r="X193" s="302">
        <f t="shared" si="41"/>
        <v>21</v>
      </c>
      <c r="Y193" s="302">
        <f t="shared" si="41"/>
        <v>22</v>
      </c>
      <c r="Z193" s="302">
        <f t="shared" si="41"/>
        <v>23</v>
      </c>
      <c r="AA193" s="302">
        <f t="shared" si="41"/>
        <v>24</v>
      </c>
      <c r="AB193" s="302">
        <f t="shared" si="41"/>
        <v>25</v>
      </c>
      <c r="AC193" s="302">
        <f t="shared" si="41"/>
        <v>26</v>
      </c>
      <c r="AD193" s="302">
        <f t="shared" si="41"/>
        <v>27</v>
      </c>
      <c r="AE193" s="302">
        <f t="shared" si="41"/>
        <v>28</v>
      </c>
      <c r="AF193" s="302">
        <f t="shared" si="41"/>
        <v>29</v>
      </c>
      <c r="AG193" s="302">
        <f t="shared" si="41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2">SUM(D194:AG194)</f>
        <v>0</v>
      </c>
    </row>
    <row r="195" spans="3:34">
      <c r="C195" s="307">
        <f t="shared" ref="C195:C224" si="43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2"/>
        <v>0</v>
      </c>
    </row>
    <row r="196" spans="3:34">
      <c r="C196" s="307">
        <f t="shared" si="43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2"/>
        <v>#VALUE!</v>
      </c>
    </row>
    <row r="197" spans="3:34">
      <c r="C197" s="307">
        <f t="shared" si="43"/>
        <v>3</v>
      </c>
      <c r="D197" s="309" t="e">
        <f t="shared" ref="D197:N212" si="44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2"/>
        <v>#VALUE!</v>
      </c>
    </row>
    <row r="198" spans="3:34">
      <c r="C198" s="307">
        <f t="shared" si="43"/>
        <v>4</v>
      </c>
      <c r="D198" s="309" t="e">
        <f t="shared" si="44"/>
        <v>#VALUE!</v>
      </c>
      <c r="E198" s="309" t="e">
        <f t="shared" si="44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2"/>
        <v>#VALUE!</v>
      </c>
    </row>
    <row r="199" spans="3:34">
      <c r="C199" s="307">
        <f t="shared" si="43"/>
        <v>5</v>
      </c>
      <c r="D199" s="309" t="e">
        <f t="shared" si="44"/>
        <v>#VALUE!</v>
      </c>
      <c r="E199" s="309" t="e">
        <f t="shared" si="44"/>
        <v>#VALUE!</v>
      </c>
      <c r="F199" s="309" t="e">
        <f t="shared" si="44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2"/>
        <v>#VALUE!</v>
      </c>
    </row>
    <row r="200" spans="3:34">
      <c r="C200" s="307">
        <f t="shared" si="43"/>
        <v>6</v>
      </c>
      <c r="D200" s="309" t="e">
        <f t="shared" si="44"/>
        <v>#VALUE!</v>
      </c>
      <c r="E200" s="309" t="e">
        <f t="shared" si="44"/>
        <v>#VALUE!</v>
      </c>
      <c r="F200" s="309" t="e">
        <f t="shared" si="44"/>
        <v>#VALUE!</v>
      </c>
      <c r="G200" s="309" t="e">
        <f t="shared" si="44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2"/>
        <v>#VALUE!</v>
      </c>
    </row>
    <row r="201" spans="3:34">
      <c r="C201" s="307">
        <f t="shared" si="43"/>
        <v>7</v>
      </c>
      <c r="D201" s="309" t="e">
        <f t="shared" si="44"/>
        <v>#VALUE!</v>
      </c>
      <c r="E201" s="309" t="e">
        <f t="shared" si="44"/>
        <v>#VALUE!</v>
      </c>
      <c r="F201" s="309" t="e">
        <f t="shared" si="44"/>
        <v>#VALUE!</v>
      </c>
      <c r="G201" s="309" t="e">
        <f t="shared" si="44"/>
        <v>#VALUE!</v>
      </c>
      <c r="H201" s="309" t="e">
        <f t="shared" si="44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2"/>
        <v>#VALUE!</v>
      </c>
    </row>
    <row r="202" spans="3:34">
      <c r="C202" s="307">
        <f t="shared" si="43"/>
        <v>8</v>
      </c>
      <c r="D202" s="309" t="e">
        <f t="shared" si="44"/>
        <v>#VALUE!</v>
      </c>
      <c r="E202" s="309" t="e">
        <f t="shared" si="44"/>
        <v>#VALUE!</v>
      </c>
      <c r="F202" s="309" t="e">
        <f t="shared" si="44"/>
        <v>#VALUE!</v>
      </c>
      <c r="G202" s="309" t="e">
        <f t="shared" si="44"/>
        <v>#VALUE!</v>
      </c>
      <c r="H202" s="309" t="e">
        <f t="shared" si="44"/>
        <v>#VALUE!</v>
      </c>
      <c r="I202" s="309" t="e">
        <f t="shared" si="44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2"/>
        <v>#VALUE!</v>
      </c>
    </row>
    <row r="203" spans="3:34">
      <c r="C203" s="307">
        <f t="shared" si="43"/>
        <v>9</v>
      </c>
      <c r="D203" s="309" t="e">
        <f t="shared" si="44"/>
        <v>#VALUE!</v>
      </c>
      <c r="E203" s="309" t="e">
        <f t="shared" si="44"/>
        <v>#VALUE!</v>
      </c>
      <c r="F203" s="309" t="e">
        <f t="shared" si="44"/>
        <v>#VALUE!</v>
      </c>
      <c r="G203" s="309" t="e">
        <f t="shared" si="44"/>
        <v>#VALUE!</v>
      </c>
      <c r="H203" s="309" t="e">
        <f t="shared" si="44"/>
        <v>#VALUE!</v>
      </c>
      <c r="I203" s="309" t="e">
        <f t="shared" si="44"/>
        <v>#VALUE!</v>
      </c>
      <c r="J203" s="309" t="e">
        <f t="shared" si="44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2"/>
        <v>#VALUE!</v>
      </c>
    </row>
    <row r="204" spans="3:34">
      <c r="C204" s="307">
        <f t="shared" si="43"/>
        <v>10</v>
      </c>
      <c r="D204" s="309" t="e">
        <f t="shared" si="44"/>
        <v>#VALUE!</v>
      </c>
      <c r="E204" s="309" t="e">
        <f t="shared" si="44"/>
        <v>#VALUE!</v>
      </c>
      <c r="F204" s="309" t="e">
        <f t="shared" si="44"/>
        <v>#VALUE!</v>
      </c>
      <c r="G204" s="309" t="e">
        <f t="shared" si="44"/>
        <v>#VALUE!</v>
      </c>
      <c r="H204" s="309" t="e">
        <f t="shared" si="44"/>
        <v>#VALUE!</v>
      </c>
      <c r="I204" s="309" t="e">
        <f t="shared" si="44"/>
        <v>#VALUE!</v>
      </c>
      <c r="J204" s="309" t="e">
        <f t="shared" si="44"/>
        <v>#VALUE!</v>
      </c>
      <c r="K204" s="309" t="e">
        <f t="shared" si="44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2"/>
        <v>#VALUE!</v>
      </c>
    </row>
    <row r="205" spans="3:34">
      <c r="C205" s="307">
        <f t="shared" si="43"/>
        <v>11</v>
      </c>
      <c r="D205" s="309" t="e">
        <f t="shared" si="44"/>
        <v>#VALUE!</v>
      </c>
      <c r="E205" s="309" t="e">
        <f t="shared" si="44"/>
        <v>#VALUE!</v>
      </c>
      <c r="F205" s="309" t="e">
        <f t="shared" si="44"/>
        <v>#VALUE!</v>
      </c>
      <c r="G205" s="309" t="e">
        <f t="shared" si="44"/>
        <v>#VALUE!</v>
      </c>
      <c r="H205" s="309" t="e">
        <f t="shared" si="44"/>
        <v>#VALUE!</v>
      </c>
      <c r="I205" s="309" t="e">
        <f t="shared" si="44"/>
        <v>#VALUE!</v>
      </c>
      <c r="J205" s="309" t="e">
        <f t="shared" si="44"/>
        <v>#VALUE!</v>
      </c>
      <c r="K205" s="309" t="e">
        <f t="shared" si="44"/>
        <v>#VALUE!</v>
      </c>
      <c r="L205" s="309" t="e">
        <f t="shared" si="44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2"/>
        <v>#VALUE!</v>
      </c>
    </row>
    <row r="206" spans="3:34">
      <c r="C206" s="307">
        <f t="shared" si="43"/>
        <v>12</v>
      </c>
      <c r="D206" s="309"/>
      <c r="E206" s="309" t="e">
        <f t="shared" si="44"/>
        <v>#VALUE!</v>
      </c>
      <c r="F206" s="309" t="e">
        <f t="shared" si="44"/>
        <v>#VALUE!</v>
      </c>
      <c r="G206" s="309" t="e">
        <f t="shared" si="44"/>
        <v>#VALUE!</v>
      </c>
      <c r="H206" s="309" t="e">
        <f t="shared" si="44"/>
        <v>#VALUE!</v>
      </c>
      <c r="I206" s="309" t="e">
        <f t="shared" si="44"/>
        <v>#VALUE!</v>
      </c>
      <c r="J206" s="309" t="e">
        <f t="shared" si="44"/>
        <v>#VALUE!</v>
      </c>
      <c r="K206" s="309" t="e">
        <f t="shared" si="44"/>
        <v>#VALUE!</v>
      </c>
      <c r="L206" s="309" t="e">
        <f t="shared" si="44"/>
        <v>#VALUE!</v>
      </c>
      <c r="M206" s="309" t="e">
        <f t="shared" si="44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2"/>
        <v>#VALUE!</v>
      </c>
    </row>
    <row r="207" spans="3:34">
      <c r="C207" s="307">
        <f t="shared" si="43"/>
        <v>13</v>
      </c>
      <c r="D207" s="309"/>
      <c r="E207" s="309"/>
      <c r="F207" s="309" t="e">
        <f t="shared" si="44"/>
        <v>#VALUE!</v>
      </c>
      <c r="G207" s="309" t="e">
        <f t="shared" si="44"/>
        <v>#VALUE!</v>
      </c>
      <c r="H207" s="309" t="e">
        <f t="shared" si="44"/>
        <v>#VALUE!</v>
      </c>
      <c r="I207" s="309" t="e">
        <f t="shared" si="44"/>
        <v>#VALUE!</v>
      </c>
      <c r="J207" s="309" t="e">
        <f t="shared" si="44"/>
        <v>#VALUE!</v>
      </c>
      <c r="K207" s="309" t="e">
        <f t="shared" si="44"/>
        <v>#VALUE!</v>
      </c>
      <c r="L207" s="309" t="e">
        <f t="shared" si="44"/>
        <v>#VALUE!</v>
      </c>
      <c r="M207" s="309" t="e">
        <f t="shared" si="44"/>
        <v>#VALUE!</v>
      </c>
      <c r="N207" s="309" t="e">
        <f t="shared" si="44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2"/>
        <v>#VALUE!</v>
      </c>
    </row>
    <row r="208" spans="3:34">
      <c r="C208" s="307">
        <f t="shared" si="43"/>
        <v>14</v>
      </c>
      <c r="D208" s="309"/>
      <c r="E208" s="309"/>
      <c r="F208" s="309"/>
      <c r="G208" s="309" t="e">
        <f t="shared" si="44"/>
        <v>#VALUE!</v>
      </c>
      <c r="H208" s="309" t="e">
        <f t="shared" si="44"/>
        <v>#VALUE!</v>
      </c>
      <c r="I208" s="309" t="e">
        <f t="shared" si="44"/>
        <v>#VALUE!</v>
      </c>
      <c r="J208" s="309" t="e">
        <f t="shared" si="44"/>
        <v>#VALUE!</v>
      </c>
      <c r="K208" s="309" t="e">
        <f t="shared" si="44"/>
        <v>#VALUE!</v>
      </c>
      <c r="L208" s="309" t="e">
        <f t="shared" si="44"/>
        <v>#VALUE!</v>
      </c>
      <c r="M208" s="309" t="e">
        <f t="shared" si="44"/>
        <v>#VALUE!</v>
      </c>
      <c r="N208" s="309" t="e">
        <f t="shared" si="44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2"/>
        <v>#VALUE!</v>
      </c>
    </row>
    <row r="209" spans="3:34">
      <c r="C209" s="307">
        <f t="shared" si="43"/>
        <v>15</v>
      </c>
      <c r="D209" s="309"/>
      <c r="E209" s="309"/>
      <c r="F209" s="309"/>
      <c r="G209" s="309"/>
      <c r="H209" s="309" t="e">
        <f t="shared" si="44"/>
        <v>#VALUE!</v>
      </c>
      <c r="I209" s="309" t="e">
        <f t="shared" si="44"/>
        <v>#VALUE!</v>
      </c>
      <c r="J209" s="309" t="e">
        <f t="shared" si="44"/>
        <v>#VALUE!</v>
      </c>
      <c r="K209" s="309" t="e">
        <f t="shared" si="44"/>
        <v>#VALUE!</v>
      </c>
      <c r="L209" s="309" t="e">
        <f t="shared" si="44"/>
        <v>#VALUE!</v>
      </c>
      <c r="M209" s="309" t="e">
        <f t="shared" si="44"/>
        <v>#VALUE!</v>
      </c>
      <c r="N209" s="309" t="e">
        <f t="shared" si="44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2"/>
        <v>#VALUE!</v>
      </c>
    </row>
    <row r="210" spans="3:34">
      <c r="C210" s="307">
        <f t="shared" si="43"/>
        <v>16</v>
      </c>
      <c r="D210" s="309"/>
      <c r="E210" s="309"/>
      <c r="F210" s="309"/>
      <c r="G210" s="309"/>
      <c r="H210" s="309"/>
      <c r="I210" s="309" t="e">
        <f t="shared" si="44"/>
        <v>#VALUE!</v>
      </c>
      <c r="J210" s="309" t="e">
        <f t="shared" si="44"/>
        <v>#VALUE!</v>
      </c>
      <c r="K210" s="309" t="e">
        <f t="shared" si="44"/>
        <v>#VALUE!</v>
      </c>
      <c r="L210" s="309" t="e">
        <f t="shared" si="44"/>
        <v>#VALUE!</v>
      </c>
      <c r="M210" s="309" t="e">
        <f t="shared" si="44"/>
        <v>#VALUE!</v>
      </c>
      <c r="N210" s="309" t="e">
        <f t="shared" si="44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2"/>
        <v>#VALUE!</v>
      </c>
    </row>
    <row r="211" spans="3:34">
      <c r="C211" s="307">
        <f t="shared" si="43"/>
        <v>17</v>
      </c>
      <c r="D211" s="309"/>
      <c r="E211" s="309"/>
      <c r="F211" s="309"/>
      <c r="G211" s="309"/>
      <c r="H211" s="309"/>
      <c r="I211" s="309"/>
      <c r="J211" s="309" t="e">
        <f t="shared" si="44"/>
        <v>#VALUE!</v>
      </c>
      <c r="K211" s="309" t="e">
        <f t="shared" si="44"/>
        <v>#VALUE!</v>
      </c>
      <c r="L211" s="309" t="e">
        <f t="shared" si="44"/>
        <v>#VALUE!</v>
      </c>
      <c r="M211" s="309" t="e">
        <f t="shared" si="44"/>
        <v>#VALUE!</v>
      </c>
      <c r="N211" s="309" t="e">
        <f t="shared" si="44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2"/>
        <v>#VALUE!</v>
      </c>
    </row>
    <row r="212" spans="3:34">
      <c r="C212" s="307">
        <f t="shared" si="43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4"/>
        <v>#VALUE!</v>
      </c>
      <c r="L212" s="309" t="e">
        <f t="shared" si="44"/>
        <v>#VALUE!</v>
      </c>
      <c r="M212" s="309" t="e">
        <f t="shared" si="44"/>
        <v>#VALUE!</v>
      </c>
      <c r="N212" s="309" t="e">
        <f t="shared" si="44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2"/>
        <v>#VALUE!</v>
      </c>
    </row>
    <row r="213" spans="3:34">
      <c r="C213" s="307">
        <f t="shared" si="43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5">L212</f>
        <v>#VALUE!</v>
      </c>
      <c r="M213" s="309" t="e">
        <f t="shared" si="45"/>
        <v>#VALUE!</v>
      </c>
      <c r="N213" s="309" t="e">
        <f t="shared" si="45"/>
        <v>#VALUE!</v>
      </c>
      <c r="O213" s="309" t="e">
        <f t="shared" si="45"/>
        <v>#VALUE!</v>
      </c>
      <c r="P213" s="309" t="e">
        <f t="shared" si="45"/>
        <v>#VALUE!</v>
      </c>
      <c r="Q213" s="309" t="e">
        <f t="shared" si="45"/>
        <v>#VALUE!</v>
      </c>
      <c r="R213" s="309" t="e">
        <f t="shared" si="45"/>
        <v>#VALUE!</v>
      </c>
      <c r="S213" s="309" t="e">
        <f t="shared" si="45"/>
        <v>#VALUE!</v>
      </c>
      <c r="T213" s="309" t="e">
        <f t="shared" si="45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2"/>
        <v>#VALUE!</v>
      </c>
    </row>
    <row r="214" spans="3:34">
      <c r="C214" s="307">
        <f t="shared" si="43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5"/>
        <v>#VALUE!</v>
      </c>
      <c r="N214" s="309" t="e">
        <f t="shared" si="45"/>
        <v>#VALUE!</v>
      </c>
      <c r="O214" s="309" t="e">
        <f t="shared" si="45"/>
        <v>#VALUE!</v>
      </c>
      <c r="P214" s="309" t="e">
        <f t="shared" si="45"/>
        <v>#VALUE!</v>
      </c>
      <c r="Q214" s="309" t="e">
        <f t="shared" si="45"/>
        <v>#VALUE!</v>
      </c>
      <c r="R214" s="309" t="e">
        <f t="shared" si="45"/>
        <v>#VALUE!</v>
      </c>
      <c r="S214" s="309" t="e">
        <f t="shared" si="45"/>
        <v>#VALUE!</v>
      </c>
      <c r="T214" s="309" t="e">
        <f t="shared" si="45"/>
        <v>#VALUE!</v>
      </c>
      <c r="U214" s="309" t="e">
        <f t="shared" si="45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2"/>
        <v>#VALUE!</v>
      </c>
    </row>
    <row r="215" spans="3:34">
      <c r="C215" s="307">
        <f t="shared" si="43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5"/>
        <v>#VALUE!</v>
      </c>
      <c r="O215" s="309" t="e">
        <f t="shared" si="45"/>
        <v>#VALUE!</v>
      </c>
      <c r="P215" s="309" t="e">
        <f t="shared" si="45"/>
        <v>#VALUE!</v>
      </c>
      <c r="Q215" s="309" t="e">
        <f t="shared" si="45"/>
        <v>#VALUE!</v>
      </c>
      <c r="R215" s="309" t="e">
        <f t="shared" si="45"/>
        <v>#VALUE!</v>
      </c>
      <c r="S215" s="309" t="e">
        <f t="shared" si="45"/>
        <v>#VALUE!</v>
      </c>
      <c r="T215" s="309" t="e">
        <f t="shared" si="45"/>
        <v>#VALUE!</v>
      </c>
      <c r="U215" s="309" t="e">
        <f t="shared" si="45"/>
        <v>#VALUE!</v>
      </c>
      <c r="V215" s="309" t="e">
        <f t="shared" si="45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2"/>
        <v>#VALUE!</v>
      </c>
    </row>
    <row r="216" spans="3:34">
      <c r="C216" s="307">
        <f t="shared" si="43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5"/>
        <v>#VALUE!</v>
      </c>
      <c r="P216" s="309" t="e">
        <f t="shared" si="45"/>
        <v>#VALUE!</v>
      </c>
      <c r="Q216" s="309" t="e">
        <f t="shared" si="45"/>
        <v>#VALUE!</v>
      </c>
      <c r="R216" s="309" t="e">
        <f t="shared" si="45"/>
        <v>#VALUE!</v>
      </c>
      <c r="S216" s="309" t="e">
        <f t="shared" si="45"/>
        <v>#VALUE!</v>
      </c>
      <c r="T216" s="309" t="e">
        <f t="shared" si="45"/>
        <v>#VALUE!</v>
      </c>
      <c r="U216" s="309" t="e">
        <f t="shared" si="45"/>
        <v>#VALUE!</v>
      </c>
      <c r="V216" s="309" t="e">
        <f t="shared" si="45"/>
        <v>#VALUE!</v>
      </c>
      <c r="W216" s="309" t="e">
        <f t="shared" si="45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2"/>
        <v>#VALUE!</v>
      </c>
    </row>
    <row r="217" spans="3:34">
      <c r="C217" s="307">
        <f t="shared" si="43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5"/>
        <v>#VALUE!</v>
      </c>
      <c r="Q217" s="309" t="e">
        <f t="shared" si="45"/>
        <v>#VALUE!</v>
      </c>
      <c r="R217" s="309" t="e">
        <f t="shared" si="45"/>
        <v>#VALUE!</v>
      </c>
      <c r="S217" s="309" t="e">
        <f t="shared" si="45"/>
        <v>#VALUE!</v>
      </c>
      <c r="T217" s="309" t="e">
        <f t="shared" si="45"/>
        <v>#VALUE!</v>
      </c>
      <c r="U217" s="309" t="e">
        <f t="shared" si="45"/>
        <v>#VALUE!</v>
      </c>
      <c r="V217" s="309" t="e">
        <f t="shared" si="45"/>
        <v>#VALUE!</v>
      </c>
      <c r="W217" s="309" t="e">
        <f t="shared" si="45"/>
        <v>#VALUE!</v>
      </c>
      <c r="X217" s="309" t="e">
        <f t="shared" si="45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2"/>
        <v>#VALUE!</v>
      </c>
    </row>
    <row r="218" spans="3:34">
      <c r="C218" s="307">
        <f t="shared" si="43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5"/>
        <v>#VALUE!</v>
      </c>
      <c r="R218" s="309" t="e">
        <f t="shared" si="45"/>
        <v>#VALUE!</v>
      </c>
      <c r="S218" s="309" t="e">
        <f t="shared" si="45"/>
        <v>#VALUE!</v>
      </c>
      <c r="T218" s="309" t="e">
        <f t="shared" si="45"/>
        <v>#VALUE!</v>
      </c>
      <c r="U218" s="309" t="e">
        <f t="shared" si="45"/>
        <v>#VALUE!</v>
      </c>
      <c r="V218" s="309" t="e">
        <f t="shared" si="45"/>
        <v>#VALUE!</v>
      </c>
      <c r="W218" s="309" t="e">
        <f t="shared" si="45"/>
        <v>#VALUE!</v>
      </c>
      <c r="X218" s="309" t="e">
        <f t="shared" si="45"/>
        <v>#VALUE!</v>
      </c>
      <c r="Y218" s="309" t="e">
        <f t="shared" si="45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2"/>
        <v>#VALUE!</v>
      </c>
    </row>
    <row r="219" spans="3:34">
      <c r="C219" s="307">
        <f t="shared" si="43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5"/>
        <v>#VALUE!</v>
      </c>
      <c r="S219" s="309" t="e">
        <f t="shared" si="45"/>
        <v>#VALUE!</v>
      </c>
      <c r="T219" s="309" t="e">
        <f t="shared" si="45"/>
        <v>#VALUE!</v>
      </c>
      <c r="U219" s="309" t="e">
        <f t="shared" si="45"/>
        <v>#VALUE!</v>
      </c>
      <c r="V219" s="309" t="e">
        <f t="shared" si="45"/>
        <v>#VALUE!</v>
      </c>
      <c r="W219" s="309" t="e">
        <f t="shared" si="45"/>
        <v>#VALUE!</v>
      </c>
      <c r="X219" s="309" t="e">
        <f t="shared" si="45"/>
        <v>#VALUE!</v>
      </c>
      <c r="Y219" s="309" t="e">
        <f t="shared" si="45"/>
        <v>#VALUE!</v>
      </c>
      <c r="Z219" s="309" t="e">
        <f t="shared" si="45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2"/>
        <v>#VALUE!</v>
      </c>
    </row>
    <row r="220" spans="3:34">
      <c r="C220" s="307">
        <f t="shared" si="43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5"/>
        <v>#VALUE!</v>
      </c>
      <c r="T220" s="309" t="e">
        <f t="shared" si="45"/>
        <v>#VALUE!</v>
      </c>
      <c r="U220" s="309" t="e">
        <f t="shared" si="45"/>
        <v>#VALUE!</v>
      </c>
      <c r="V220" s="309" t="e">
        <f t="shared" si="45"/>
        <v>#VALUE!</v>
      </c>
      <c r="W220" s="309" t="e">
        <f t="shared" si="45"/>
        <v>#VALUE!</v>
      </c>
      <c r="X220" s="309" t="e">
        <f t="shared" si="45"/>
        <v>#VALUE!</v>
      </c>
      <c r="Y220" s="309" t="e">
        <f t="shared" si="45"/>
        <v>#VALUE!</v>
      </c>
      <c r="Z220" s="309" t="e">
        <f t="shared" si="45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2"/>
        <v>#VALUE!</v>
      </c>
    </row>
    <row r="221" spans="3:34">
      <c r="C221" s="307">
        <f t="shared" si="43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5"/>
        <v>#VALUE!</v>
      </c>
      <c r="U221" s="309" t="e">
        <f t="shared" si="45"/>
        <v>#VALUE!</v>
      </c>
      <c r="V221" s="309" t="e">
        <f t="shared" si="45"/>
        <v>#VALUE!</v>
      </c>
      <c r="W221" s="309" t="e">
        <f t="shared" si="45"/>
        <v>#VALUE!</v>
      </c>
      <c r="X221" s="309" t="e">
        <f t="shared" si="45"/>
        <v>#VALUE!</v>
      </c>
      <c r="Y221" s="309" t="e">
        <f t="shared" si="45"/>
        <v>#VALUE!</v>
      </c>
      <c r="Z221" s="309" t="e">
        <f t="shared" si="45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2"/>
        <v>#VALUE!</v>
      </c>
    </row>
    <row r="222" spans="3:34">
      <c r="C222" s="307">
        <f t="shared" si="43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5"/>
        <v>#VALUE!</v>
      </c>
      <c r="V222" s="309" t="e">
        <f t="shared" si="45"/>
        <v>#VALUE!</v>
      </c>
      <c r="W222" s="309" t="e">
        <f t="shared" si="45"/>
        <v>#VALUE!</v>
      </c>
      <c r="X222" s="309" t="e">
        <f t="shared" si="45"/>
        <v>#VALUE!</v>
      </c>
      <c r="Y222" s="309" t="e">
        <f t="shared" si="45"/>
        <v>#VALUE!</v>
      </c>
      <c r="Z222" s="309" t="e">
        <f t="shared" si="45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2"/>
        <v>#VALUE!</v>
      </c>
    </row>
    <row r="223" spans="3:34">
      <c r="C223" s="307">
        <f t="shared" si="43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5"/>
        <v>#VALUE!</v>
      </c>
      <c r="W223" s="309" t="e">
        <f t="shared" si="45"/>
        <v>#VALUE!</v>
      </c>
      <c r="X223" s="309" t="e">
        <f t="shared" si="45"/>
        <v>#VALUE!</v>
      </c>
      <c r="Y223" s="309" t="e">
        <f t="shared" si="45"/>
        <v>#VALUE!</v>
      </c>
      <c r="Z223" s="309" t="e">
        <f t="shared" si="45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2"/>
        <v>#VALUE!</v>
      </c>
    </row>
    <row r="224" spans="3:34" ht="13.5" thickBot="1">
      <c r="C224" s="307">
        <f t="shared" si="43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5"/>
        <v>#VALUE!</v>
      </c>
      <c r="X224" s="322" t="e">
        <f t="shared" si="45"/>
        <v>#VALUE!</v>
      </c>
      <c r="Y224" s="322" t="e">
        <f t="shared" si="45"/>
        <v>#VALUE!</v>
      </c>
      <c r="Z224" s="322" t="e">
        <f t="shared" si="45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2"/>
        <v>#VALUE!</v>
      </c>
    </row>
    <row r="225" spans="1:34" ht="14.25" thickTop="1" thickBot="1">
      <c r="C225" s="311" t="s">
        <v>0</v>
      </c>
      <c r="D225" s="328" t="e">
        <f t="shared" ref="D225:AG225" si="46">SUM(D194:D224)</f>
        <v>#VALUE!</v>
      </c>
      <c r="E225" s="328" t="e">
        <f t="shared" si="46"/>
        <v>#VALUE!</v>
      </c>
      <c r="F225" s="328" t="e">
        <f t="shared" si="46"/>
        <v>#VALUE!</v>
      </c>
      <c r="G225" s="328" t="e">
        <f t="shared" si="46"/>
        <v>#VALUE!</v>
      </c>
      <c r="H225" s="328" t="e">
        <f t="shared" si="46"/>
        <v>#VALUE!</v>
      </c>
      <c r="I225" s="328" t="e">
        <f t="shared" si="46"/>
        <v>#VALUE!</v>
      </c>
      <c r="J225" s="328" t="e">
        <f t="shared" si="46"/>
        <v>#VALUE!</v>
      </c>
      <c r="K225" s="328" t="e">
        <f t="shared" si="46"/>
        <v>#VALUE!</v>
      </c>
      <c r="L225" s="328" t="e">
        <f t="shared" si="46"/>
        <v>#VALUE!</v>
      </c>
      <c r="M225" s="328" t="e">
        <f t="shared" si="46"/>
        <v>#VALUE!</v>
      </c>
      <c r="N225" s="336" t="e">
        <f t="shared" si="46"/>
        <v>#VALUE!</v>
      </c>
      <c r="O225" s="328" t="e">
        <f t="shared" si="46"/>
        <v>#VALUE!</v>
      </c>
      <c r="P225" s="328" t="e">
        <f t="shared" si="46"/>
        <v>#VALUE!</v>
      </c>
      <c r="Q225" s="328" t="e">
        <f t="shared" si="46"/>
        <v>#VALUE!</v>
      </c>
      <c r="R225" s="328" t="e">
        <f t="shared" si="46"/>
        <v>#VALUE!</v>
      </c>
      <c r="S225" s="328" t="e">
        <f t="shared" si="46"/>
        <v>#VALUE!</v>
      </c>
      <c r="T225" s="328" t="e">
        <f t="shared" si="46"/>
        <v>#VALUE!</v>
      </c>
      <c r="U225" s="328" t="e">
        <f t="shared" si="46"/>
        <v>#VALUE!</v>
      </c>
      <c r="V225" s="328" t="e">
        <f t="shared" si="46"/>
        <v>#VALUE!</v>
      </c>
      <c r="W225" s="328" t="e">
        <f t="shared" si="46"/>
        <v>#VALUE!</v>
      </c>
      <c r="X225" s="328" t="e">
        <f t="shared" si="46"/>
        <v>#VALUE!</v>
      </c>
      <c r="Y225" s="328" t="e">
        <f t="shared" si="46"/>
        <v>#VALUE!</v>
      </c>
      <c r="Z225" s="328" t="e">
        <f t="shared" si="46"/>
        <v>#VALUE!</v>
      </c>
      <c r="AA225" s="328" t="e">
        <f t="shared" si="46"/>
        <v>#VALUE!</v>
      </c>
      <c r="AB225" s="328" t="e">
        <f t="shared" si="46"/>
        <v>#VALUE!</v>
      </c>
      <c r="AC225" s="328" t="e">
        <f t="shared" si="46"/>
        <v>#VALUE!</v>
      </c>
      <c r="AD225" s="328" t="e">
        <f t="shared" si="46"/>
        <v>#VALUE!</v>
      </c>
      <c r="AE225" s="328" t="e">
        <f t="shared" si="46"/>
        <v>#VALUE!</v>
      </c>
      <c r="AF225" s="329" t="e">
        <f t="shared" si="46"/>
        <v>#VALUE!</v>
      </c>
      <c r="AG225" s="329" t="e">
        <f t="shared" si="46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7">D229+1</f>
        <v>2</v>
      </c>
      <c r="F229" s="302">
        <f t="shared" si="47"/>
        <v>3</v>
      </c>
      <c r="G229" s="302">
        <f t="shared" si="47"/>
        <v>4</v>
      </c>
      <c r="H229" s="302">
        <f t="shared" si="47"/>
        <v>5</v>
      </c>
      <c r="I229" s="302">
        <f t="shared" si="47"/>
        <v>6</v>
      </c>
      <c r="J229" s="302">
        <f t="shared" si="47"/>
        <v>7</v>
      </c>
      <c r="K229" s="302">
        <f t="shared" si="47"/>
        <v>8</v>
      </c>
      <c r="L229" s="302">
        <f t="shared" si="47"/>
        <v>9</v>
      </c>
      <c r="M229" s="302">
        <f t="shared" si="47"/>
        <v>10</v>
      </c>
      <c r="N229" s="302">
        <f t="shared" si="47"/>
        <v>11</v>
      </c>
      <c r="O229" s="302">
        <f t="shared" si="47"/>
        <v>12</v>
      </c>
      <c r="P229" s="302">
        <f t="shared" si="47"/>
        <v>13</v>
      </c>
      <c r="Q229" s="302">
        <f t="shared" si="47"/>
        <v>14</v>
      </c>
      <c r="R229" s="302">
        <f t="shared" si="47"/>
        <v>15</v>
      </c>
      <c r="S229" s="302">
        <f t="shared" si="47"/>
        <v>16</v>
      </c>
      <c r="T229" s="302">
        <f t="shared" si="47"/>
        <v>17</v>
      </c>
      <c r="U229" s="302">
        <f t="shared" si="47"/>
        <v>18</v>
      </c>
      <c r="V229" s="302">
        <f t="shared" si="47"/>
        <v>19</v>
      </c>
      <c r="W229" s="302">
        <f t="shared" si="47"/>
        <v>20</v>
      </c>
      <c r="X229" s="302">
        <f t="shared" si="47"/>
        <v>21</v>
      </c>
      <c r="Y229" s="302">
        <f t="shared" si="47"/>
        <v>22</v>
      </c>
      <c r="Z229" s="302">
        <f t="shared" si="47"/>
        <v>23</v>
      </c>
      <c r="AA229" s="302">
        <f t="shared" si="47"/>
        <v>24</v>
      </c>
      <c r="AB229" s="302">
        <f t="shared" si="47"/>
        <v>25</v>
      </c>
      <c r="AC229" s="302">
        <f t="shared" si="47"/>
        <v>26</v>
      </c>
      <c r="AD229" s="302">
        <f t="shared" si="47"/>
        <v>27</v>
      </c>
      <c r="AE229" s="302">
        <f t="shared" si="47"/>
        <v>28</v>
      </c>
      <c r="AF229" s="302">
        <f t="shared" si="47"/>
        <v>29</v>
      </c>
      <c r="AG229" s="302">
        <f t="shared" si="47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8">SUM(D230:AG230)</f>
        <v>0</v>
      </c>
    </row>
    <row r="231" spans="1:34">
      <c r="C231" s="304">
        <f t="shared" ref="C231:C260" si="49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8"/>
        <v>0</v>
      </c>
    </row>
    <row r="232" spans="1:34">
      <c r="C232" s="304">
        <f t="shared" si="49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8"/>
        <v>#VALUE!</v>
      </c>
    </row>
    <row r="233" spans="1:34">
      <c r="C233" s="304">
        <f t="shared" si="49"/>
        <v>3</v>
      </c>
      <c r="D233" s="305" t="e">
        <f t="shared" ref="D233:S248" si="50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8"/>
        <v>#VALUE!</v>
      </c>
    </row>
    <row r="234" spans="1:34">
      <c r="C234" s="304">
        <f t="shared" si="49"/>
        <v>4</v>
      </c>
      <c r="D234" s="305" t="e">
        <f t="shared" si="50"/>
        <v>#VALUE!</v>
      </c>
      <c r="E234" s="305" t="e">
        <f t="shared" si="50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8"/>
        <v>#VALUE!</v>
      </c>
    </row>
    <row r="235" spans="1:34">
      <c r="C235" s="304">
        <f t="shared" si="49"/>
        <v>5</v>
      </c>
      <c r="D235" s="305" t="e">
        <f t="shared" si="50"/>
        <v>#VALUE!</v>
      </c>
      <c r="E235" s="305" t="e">
        <f t="shared" si="50"/>
        <v>#VALUE!</v>
      </c>
      <c r="F235" s="305" t="e">
        <f t="shared" si="50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8"/>
        <v>#VALUE!</v>
      </c>
    </row>
    <row r="236" spans="1:34">
      <c r="C236" s="304">
        <f t="shared" si="49"/>
        <v>6</v>
      </c>
      <c r="D236" s="305" t="e">
        <f t="shared" si="50"/>
        <v>#VALUE!</v>
      </c>
      <c r="E236" s="305" t="e">
        <f t="shared" si="50"/>
        <v>#VALUE!</v>
      </c>
      <c r="F236" s="305" t="e">
        <f t="shared" si="50"/>
        <v>#VALUE!</v>
      </c>
      <c r="G236" s="305" t="e">
        <f t="shared" si="50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8"/>
        <v>#VALUE!</v>
      </c>
    </row>
    <row r="237" spans="1:34">
      <c r="C237" s="304">
        <f t="shared" si="49"/>
        <v>7</v>
      </c>
      <c r="D237" s="305" t="e">
        <f t="shared" si="50"/>
        <v>#VALUE!</v>
      </c>
      <c r="E237" s="305" t="e">
        <f t="shared" si="50"/>
        <v>#VALUE!</v>
      </c>
      <c r="F237" s="305" t="e">
        <f t="shared" si="50"/>
        <v>#VALUE!</v>
      </c>
      <c r="G237" s="305" t="e">
        <f t="shared" si="50"/>
        <v>#VALUE!</v>
      </c>
      <c r="H237" s="305" t="e">
        <f t="shared" si="50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8"/>
        <v>#VALUE!</v>
      </c>
    </row>
    <row r="238" spans="1:34">
      <c r="C238" s="304">
        <f t="shared" si="49"/>
        <v>8</v>
      </c>
      <c r="D238" s="305" t="e">
        <f t="shared" si="50"/>
        <v>#VALUE!</v>
      </c>
      <c r="E238" s="305" t="e">
        <f t="shared" si="50"/>
        <v>#VALUE!</v>
      </c>
      <c r="F238" s="305" t="e">
        <f t="shared" si="50"/>
        <v>#VALUE!</v>
      </c>
      <c r="G238" s="305" t="e">
        <f t="shared" si="50"/>
        <v>#VALUE!</v>
      </c>
      <c r="H238" s="305" t="e">
        <f t="shared" si="50"/>
        <v>#VALUE!</v>
      </c>
      <c r="I238" s="305" t="e">
        <f t="shared" si="50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8"/>
        <v>#VALUE!</v>
      </c>
    </row>
    <row r="239" spans="1:34">
      <c r="C239" s="304">
        <f t="shared" si="49"/>
        <v>9</v>
      </c>
      <c r="D239" s="305"/>
      <c r="E239" s="305" t="e">
        <f t="shared" si="50"/>
        <v>#VALUE!</v>
      </c>
      <c r="F239" s="305" t="e">
        <f t="shared" si="50"/>
        <v>#VALUE!</v>
      </c>
      <c r="G239" s="305" t="e">
        <f t="shared" si="50"/>
        <v>#VALUE!</v>
      </c>
      <c r="H239" s="305" t="e">
        <f t="shared" si="50"/>
        <v>#VALUE!</v>
      </c>
      <c r="I239" s="305" t="e">
        <f t="shared" si="50"/>
        <v>#VALUE!</v>
      </c>
      <c r="J239" s="305" t="e">
        <f t="shared" si="50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8"/>
        <v>#VALUE!</v>
      </c>
    </row>
    <row r="240" spans="1:34">
      <c r="C240" s="304">
        <f t="shared" si="49"/>
        <v>10</v>
      </c>
      <c r="D240" s="305"/>
      <c r="E240" s="305"/>
      <c r="F240" s="305" t="e">
        <f t="shared" si="50"/>
        <v>#VALUE!</v>
      </c>
      <c r="G240" s="305" t="e">
        <f t="shared" si="50"/>
        <v>#VALUE!</v>
      </c>
      <c r="H240" s="305" t="e">
        <f t="shared" si="50"/>
        <v>#VALUE!</v>
      </c>
      <c r="I240" s="305" t="e">
        <f t="shared" si="50"/>
        <v>#VALUE!</v>
      </c>
      <c r="J240" s="305" t="e">
        <f t="shared" si="50"/>
        <v>#VALUE!</v>
      </c>
      <c r="K240" s="305" t="e">
        <f t="shared" si="50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8"/>
        <v>#VALUE!</v>
      </c>
    </row>
    <row r="241" spans="3:34">
      <c r="C241" s="304">
        <f t="shared" si="49"/>
        <v>11</v>
      </c>
      <c r="D241" s="305"/>
      <c r="E241" s="305"/>
      <c r="F241" s="305"/>
      <c r="G241" s="305" t="e">
        <f t="shared" si="50"/>
        <v>#VALUE!</v>
      </c>
      <c r="H241" s="305" t="e">
        <f t="shared" si="50"/>
        <v>#VALUE!</v>
      </c>
      <c r="I241" s="305" t="e">
        <f t="shared" si="50"/>
        <v>#VALUE!</v>
      </c>
      <c r="J241" s="305" t="e">
        <f t="shared" si="50"/>
        <v>#VALUE!</v>
      </c>
      <c r="K241" s="305" t="e">
        <f t="shared" si="50"/>
        <v>#VALUE!</v>
      </c>
      <c r="L241" s="305" t="e">
        <f t="shared" si="50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8"/>
        <v>#VALUE!</v>
      </c>
    </row>
    <row r="242" spans="3:34">
      <c r="C242" s="304">
        <f t="shared" si="49"/>
        <v>12</v>
      </c>
      <c r="D242" s="305"/>
      <c r="E242" s="305"/>
      <c r="F242" s="305"/>
      <c r="G242" s="305"/>
      <c r="H242" s="305" t="e">
        <f t="shared" si="50"/>
        <v>#VALUE!</v>
      </c>
      <c r="I242" s="305" t="e">
        <f t="shared" si="50"/>
        <v>#VALUE!</v>
      </c>
      <c r="J242" s="305" t="e">
        <f t="shared" si="50"/>
        <v>#VALUE!</v>
      </c>
      <c r="K242" s="305" t="e">
        <f t="shared" si="50"/>
        <v>#VALUE!</v>
      </c>
      <c r="L242" s="305" t="e">
        <f t="shared" si="50"/>
        <v>#VALUE!</v>
      </c>
      <c r="M242" s="305" t="e">
        <f t="shared" si="50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8"/>
        <v>#VALUE!</v>
      </c>
    </row>
    <row r="243" spans="3:34">
      <c r="C243" s="304">
        <f t="shared" si="49"/>
        <v>13</v>
      </c>
      <c r="D243" s="305"/>
      <c r="E243" s="305"/>
      <c r="F243" s="305"/>
      <c r="G243" s="305"/>
      <c r="H243" s="305"/>
      <c r="I243" s="305" t="e">
        <f t="shared" si="50"/>
        <v>#VALUE!</v>
      </c>
      <c r="J243" s="305" t="e">
        <f t="shared" si="50"/>
        <v>#VALUE!</v>
      </c>
      <c r="K243" s="305" t="e">
        <f t="shared" si="50"/>
        <v>#VALUE!</v>
      </c>
      <c r="L243" s="305" t="e">
        <f t="shared" si="50"/>
        <v>#VALUE!</v>
      </c>
      <c r="M243" s="305" t="e">
        <f t="shared" si="50"/>
        <v>#VALUE!</v>
      </c>
      <c r="N243" s="305" t="e">
        <f t="shared" si="50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8"/>
        <v>#VALUE!</v>
      </c>
    </row>
    <row r="244" spans="3:34">
      <c r="C244" s="304">
        <f t="shared" si="49"/>
        <v>14</v>
      </c>
      <c r="D244" s="305"/>
      <c r="E244" s="305"/>
      <c r="F244" s="305"/>
      <c r="G244" s="305"/>
      <c r="H244" s="305"/>
      <c r="I244" s="305"/>
      <c r="J244" s="305" t="e">
        <f t="shared" si="50"/>
        <v>#VALUE!</v>
      </c>
      <c r="K244" s="305" t="e">
        <f t="shared" si="50"/>
        <v>#VALUE!</v>
      </c>
      <c r="L244" s="305" t="e">
        <f t="shared" si="50"/>
        <v>#VALUE!</v>
      </c>
      <c r="M244" s="305" t="e">
        <f t="shared" si="50"/>
        <v>#VALUE!</v>
      </c>
      <c r="N244" s="305" t="e">
        <f t="shared" si="50"/>
        <v>#VALUE!</v>
      </c>
      <c r="O244" s="305" t="e">
        <f t="shared" si="50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8"/>
        <v>#VALUE!</v>
      </c>
    </row>
    <row r="245" spans="3:34">
      <c r="C245" s="304">
        <f t="shared" si="49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0"/>
        <v>#VALUE!</v>
      </c>
      <c r="L245" s="305" t="e">
        <f t="shared" si="50"/>
        <v>#VALUE!</v>
      </c>
      <c r="M245" s="305" t="e">
        <f t="shared" si="50"/>
        <v>#VALUE!</v>
      </c>
      <c r="N245" s="305" t="e">
        <f t="shared" si="50"/>
        <v>#VALUE!</v>
      </c>
      <c r="O245" s="305" t="e">
        <f t="shared" si="50"/>
        <v>#VALUE!</v>
      </c>
      <c r="P245" s="305" t="e">
        <f t="shared" si="50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8"/>
        <v>#VALUE!</v>
      </c>
    </row>
    <row r="246" spans="3:34">
      <c r="C246" s="304">
        <f t="shared" si="49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0"/>
        <v>#VALUE!</v>
      </c>
      <c r="M246" s="305" t="e">
        <f t="shared" si="50"/>
        <v>#VALUE!</v>
      </c>
      <c r="N246" s="305" t="e">
        <f t="shared" si="50"/>
        <v>#VALUE!</v>
      </c>
      <c r="O246" s="305" t="e">
        <f t="shared" si="50"/>
        <v>#VALUE!</v>
      </c>
      <c r="P246" s="305" t="e">
        <f t="shared" si="50"/>
        <v>#VALUE!</v>
      </c>
      <c r="Q246" s="305" t="e">
        <f t="shared" si="50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8"/>
        <v>#VALUE!</v>
      </c>
    </row>
    <row r="247" spans="3:34">
      <c r="C247" s="304">
        <f t="shared" si="49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0"/>
        <v>#VALUE!</v>
      </c>
      <c r="N247" s="305" t="e">
        <f t="shared" si="50"/>
        <v>#VALUE!</v>
      </c>
      <c r="O247" s="305" t="e">
        <f t="shared" si="50"/>
        <v>#VALUE!</v>
      </c>
      <c r="P247" s="305" t="e">
        <f t="shared" si="50"/>
        <v>#VALUE!</v>
      </c>
      <c r="Q247" s="305" t="e">
        <f t="shared" si="50"/>
        <v>#VALUE!</v>
      </c>
      <c r="R247" s="305" t="e">
        <f t="shared" si="50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8"/>
        <v>#VALUE!</v>
      </c>
    </row>
    <row r="248" spans="3:34">
      <c r="C248" s="304">
        <f t="shared" si="49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0"/>
        <v>#VALUE!</v>
      </c>
      <c r="O248" s="305" t="e">
        <f t="shared" si="50"/>
        <v>#VALUE!</v>
      </c>
      <c r="P248" s="305" t="e">
        <f t="shared" si="50"/>
        <v>#VALUE!</v>
      </c>
      <c r="Q248" s="305" t="e">
        <f t="shared" si="50"/>
        <v>#VALUE!</v>
      </c>
      <c r="R248" s="305" t="e">
        <f t="shared" si="50"/>
        <v>#VALUE!</v>
      </c>
      <c r="S248" s="305" t="e">
        <f t="shared" si="50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8"/>
        <v>#VALUE!</v>
      </c>
    </row>
    <row r="249" spans="3:34">
      <c r="C249" s="304">
        <f t="shared" si="49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1">O248</f>
        <v>#VALUE!</v>
      </c>
      <c r="P249" s="305" t="e">
        <f t="shared" si="51"/>
        <v>#VALUE!</v>
      </c>
      <c r="Q249" s="305" t="e">
        <f t="shared" si="51"/>
        <v>#VALUE!</v>
      </c>
      <c r="R249" s="305" t="e">
        <f t="shared" si="51"/>
        <v>#VALUE!</v>
      </c>
      <c r="S249" s="305" t="e">
        <f t="shared" si="51"/>
        <v>#VALUE!</v>
      </c>
      <c r="T249" s="305" t="e">
        <f t="shared" si="51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8"/>
        <v>#VALUE!</v>
      </c>
    </row>
    <row r="250" spans="3:34">
      <c r="C250" s="304">
        <f t="shared" si="49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1"/>
        <v>#VALUE!</v>
      </c>
      <c r="Q250" s="305" t="e">
        <f t="shared" si="51"/>
        <v>#VALUE!</v>
      </c>
      <c r="R250" s="305" t="e">
        <f t="shared" si="51"/>
        <v>#VALUE!</v>
      </c>
      <c r="S250" s="305" t="e">
        <f t="shared" si="51"/>
        <v>#VALUE!</v>
      </c>
      <c r="T250" s="305" t="e">
        <f t="shared" si="51"/>
        <v>#VALUE!</v>
      </c>
      <c r="U250" s="305" t="e">
        <f t="shared" si="51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8"/>
        <v>#VALUE!</v>
      </c>
    </row>
    <row r="251" spans="3:34">
      <c r="C251" s="304">
        <f t="shared" si="49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1"/>
        <v>#VALUE!</v>
      </c>
      <c r="R251" s="305" t="e">
        <f t="shared" si="51"/>
        <v>#VALUE!</v>
      </c>
      <c r="S251" s="305" t="e">
        <f t="shared" si="51"/>
        <v>#VALUE!</v>
      </c>
      <c r="T251" s="305" t="e">
        <f t="shared" si="51"/>
        <v>#VALUE!</v>
      </c>
      <c r="U251" s="305" t="e">
        <f t="shared" si="51"/>
        <v>#VALUE!</v>
      </c>
      <c r="V251" s="305" t="e">
        <f t="shared" si="51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8"/>
        <v>#VALUE!</v>
      </c>
    </row>
    <row r="252" spans="3:34">
      <c r="C252" s="304">
        <f t="shared" si="49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1"/>
        <v>#VALUE!</v>
      </c>
      <c r="S252" s="305" t="e">
        <f t="shared" si="51"/>
        <v>#VALUE!</v>
      </c>
      <c r="T252" s="305" t="e">
        <f t="shared" si="51"/>
        <v>#VALUE!</v>
      </c>
      <c r="U252" s="305" t="e">
        <f t="shared" si="51"/>
        <v>#VALUE!</v>
      </c>
      <c r="V252" s="305" t="e">
        <f t="shared" si="51"/>
        <v>#VALUE!</v>
      </c>
      <c r="W252" s="305" t="e">
        <f t="shared" si="51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8"/>
        <v>#VALUE!</v>
      </c>
    </row>
    <row r="253" spans="3:34">
      <c r="C253" s="304">
        <f t="shared" si="49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1"/>
        <v>#VALUE!</v>
      </c>
      <c r="T253" s="305" t="e">
        <f t="shared" si="51"/>
        <v>#VALUE!</v>
      </c>
      <c r="U253" s="305" t="e">
        <f t="shared" si="51"/>
        <v>#VALUE!</v>
      </c>
      <c r="V253" s="305" t="e">
        <f t="shared" si="51"/>
        <v>#VALUE!</v>
      </c>
      <c r="W253" s="305" t="e">
        <f t="shared" si="51"/>
        <v>#VALUE!</v>
      </c>
      <c r="X253" s="305" t="e">
        <f t="shared" si="51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8"/>
        <v>#VALUE!</v>
      </c>
    </row>
    <row r="254" spans="3:34">
      <c r="C254" s="304">
        <f t="shared" si="49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1"/>
        <v>#VALUE!</v>
      </c>
      <c r="U254" s="305" t="e">
        <f t="shared" si="51"/>
        <v>#VALUE!</v>
      </c>
      <c r="V254" s="305" t="e">
        <f t="shared" si="51"/>
        <v>#VALUE!</v>
      </c>
      <c r="W254" s="305" t="e">
        <f t="shared" si="51"/>
        <v>#VALUE!</v>
      </c>
      <c r="X254" s="305" t="e">
        <f t="shared" si="51"/>
        <v>#VALUE!</v>
      </c>
      <c r="Y254" s="305" t="e">
        <f t="shared" si="51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8"/>
        <v>#VALUE!</v>
      </c>
    </row>
    <row r="255" spans="3:34">
      <c r="C255" s="304">
        <f t="shared" si="49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1"/>
        <v>#VALUE!</v>
      </c>
      <c r="V255" s="305" t="e">
        <f t="shared" si="51"/>
        <v>#VALUE!</v>
      </c>
      <c r="W255" s="305" t="e">
        <f t="shared" si="51"/>
        <v>#VALUE!</v>
      </c>
      <c r="X255" s="305" t="e">
        <f t="shared" si="51"/>
        <v>#VALUE!</v>
      </c>
      <c r="Y255" s="305" t="e">
        <f t="shared" si="51"/>
        <v>#VALUE!</v>
      </c>
      <c r="Z255" s="305" t="e">
        <f t="shared" si="51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8"/>
        <v>#VALUE!</v>
      </c>
    </row>
    <row r="256" spans="3:34">
      <c r="C256" s="304">
        <f t="shared" si="49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1"/>
        <v>#VALUE!</v>
      </c>
      <c r="W256" s="305" t="e">
        <f t="shared" si="51"/>
        <v>#VALUE!</v>
      </c>
      <c r="X256" s="305" t="e">
        <f t="shared" si="51"/>
        <v>#VALUE!</v>
      </c>
      <c r="Y256" s="305" t="e">
        <f t="shared" si="51"/>
        <v>#VALUE!</v>
      </c>
      <c r="Z256" s="305" t="e">
        <f t="shared" si="51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8"/>
        <v>#VALUE!</v>
      </c>
    </row>
    <row r="257" spans="1:34">
      <c r="C257" s="304">
        <f t="shared" si="49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1"/>
        <v>#VALUE!</v>
      </c>
      <c r="X257" s="305" t="e">
        <f t="shared" si="51"/>
        <v>#VALUE!</v>
      </c>
      <c r="Y257" s="305" t="e">
        <f t="shared" si="51"/>
        <v>#VALUE!</v>
      </c>
      <c r="Z257" s="305" t="e">
        <f t="shared" si="51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8"/>
        <v>#VALUE!</v>
      </c>
    </row>
    <row r="258" spans="1:34">
      <c r="C258" s="304">
        <f t="shared" si="49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1"/>
        <v>#VALUE!</v>
      </c>
      <c r="Y258" s="305" t="e">
        <f t="shared" si="51"/>
        <v>#VALUE!</v>
      </c>
      <c r="Z258" s="305" t="e">
        <f t="shared" si="51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8"/>
        <v>#VALUE!</v>
      </c>
    </row>
    <row r="259" spans="1:34">
      <c r="C259" s="304">
        <f t="shared" si="49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1"/>
        <v>#VALUE!</v>
      </c>
      <c r="Z259" s="305" t="e">
        <f t="shared" si="51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8"/>
        <v>#VALUE!</v>
      </c>
    </row>
    <row r="260" spans="1:34" ht="13.5" thickBot="1">
      <c r="C260" s="304">
        <f t="shared" si="49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1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8"/>
        <v>#VALUE!</v>
      </c>
    </row>
    <row r="261" spans="1:34" ht="14.25" thickTop="1" thickBot="1">
      <c r="C261" s="311" t="s">
        <v>0</v>
      </c>
      <c r="D261" s="328" t="e">
        <f t="shared" ref="D261:AH261" si="52">SUM(D230:D260)</f>
        <v>#VALUE!</v>
      </c>
      <c r="E261" s="328" t="e">
        <f t="shared" si="52"/>
        <v>#VALUE!</v>
      </c>
      <c r="F261" s="328" t="e">
        <f t="shared" si="52"/>
        <v>#VALUE!</v>
      </c>
      <c r="G261" s="328" t="e">
        <f t="shared" si="52"/>
        <v>#VALUE!</v>
      </c>
      <c r="H261" s="328" t="e">
        <f t="shared" si="52"/>
        <v>#VALUE!</v>
      </c>
      <c r="I261" s="328" t="e">
        <f t="shared" si="52"/>
        <v>#VALUE!</v>
      </c>
      <c r="J261" s="328" t="e">
        <f t="shared" si="52"/>
        <v>#VALUE!</v>
      </c>
      <c r="K261" s="328" t="e">
        <f t="shared" si="52"/>
        <v>#VALUE!</v>
      </c>
      <c r="L261" s="328" t="e">
        <f t="shared" si="52"/>
        <v>#VALUE!</v>
      </c>
      <c r="M261" s="328" t="e">
        <f t="shared" si="52"/>
        <v>#VALUE!</v>
      </c>
      <c r="N261" s="328" t="e">
        <f t="shared" si="52"/>
        <v>#VALUE!</v>
      </c>
      <c r="O261" s="328" t="e">
        <f t="shared" si="52"/>
        <v>#VALUE!</v>
      </c>
      <c r="P261" s="328" t="e">
        <f t="shared" si="52"/>
        <v>#VALUE!</v>
      </c>
      <c r="Q261" s="328" t="e">
        <f t="shared" si="52"/>
        <v>#VALUE!</v>
      </c>
      <c r="R261" s="328" t="e">
        <f t="shared" si="52"/>
        <v>#VALUE!</v>
      </c>
      <c r="S261" s="328" t="e">
        <f t="shared" si="52"/>
        <v>#VALUE!</v>
      </c>
      <c r="T261" s="328" t="e">
        <f t="shared" si="52"/>
        <v>#VALUE!</v>
      </c>
      <c r="U261" s="328" t="e">
        <f t="shared" si="52"/>
        <v>#VALUE!</v>
      </c>
      <c r="V261" s="328" t="e">
        <f t="shared" si="52"/>
        <v>#VALUE!</v>
      </c>
      <c r="W261" s="328" t="e">
        <f t="shared" si="52"/>
        <v>#VALUE!</v>
      </c>
      <c r="X261" s="328" t="e">
        <f t="shared" si="52"/>
        <v>#VALUE!</v>
      </c>
      <c r="Y261" s="328" t="e">
        <f t="shared" si="52"/>
        <v>#VALUE!</v>
      </c>
      <c r="Z261" s="328" t="e">
        <f t="shared" si="52"/>
        <v>#VALUE!</v>
      </c>
      <c r="AA261" s="328" t="e">
        <f t="shared" si="52"/>
        <v>#VALUE!</v>
      </c>
      <c r="AB261" s="328" t="e">
        <f t="shared" si="52"/>
        <v>#VALUE!</v>
      </c>
      <c r="AC261" s="328" t="e">
        <f t="shared" si="52"/>
        <v>#VALUE!</v>
      </c>
      <c r="AD261" s="328" t="e">
        <f t="shared" si="52"/>
        <v>#VALUE!</v>
      </c>
      <c r="AE261" s="328" t="e">
        <f t="shared" si="52"/>
        <v>#VALUE!</v>
      </c>
      <c r="AF261" s="329" t="e">
        <f t="shared" si="52"/>
        <v>#VALUE!</v>
      </c>
      <c r="AG261" s="328" t="e">
        <f t="shared" si="52"/>
        <v>#VALUE!</v>
      </c>
      <c r="AH261" s="315" t="e">
        <f t="shared" si="52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3">D267+1</f>
        <v>2</v>
      </c>
      <c r="F267" s="302">
        <f t="shared" si="53"/>
        <v>3</v>
      </c>
      <c r="G267" s="302">
        <f t="shared" si="53"/>
        <v>4</v>
      </c>
      <c r="H267" s="302">
        <f t="shared" si="53"/>
        <v>5</v>
      </c>
      <c r="I267" s="302">
        <f t="shared" si="53"/>
        <v>6</v>
      </c>
      <c r="J267" s="302">
        <f t="shared" si="53"/>
        <v>7</v>
      </c>
      <c r="K267" s="302">
        <f t="shared" si="53"/>
        <v>8</v>
      </c>
      <c r="L267" s="302">
        <f t="shared" si="53"/>
        <v>9</v>
      </c>
      <c r="M267" s="302">
        <f t="shared" si="53"/>
        <v>10</v>
      </c>
      <c r="N267" s="302">
        <f t="shared" si="53"/>
        <v>11</v>
      </c>
      <c r="O267" s="302">
        <f t="shared" si="53"/>
        <v>12</v>
      </c>
      <c r="P267" s="302">
        <f t="shared" si="53"/>
        <v>13</v>
      </c>
      <c r="Q267" s="302">
        <f t="shared" si="53"/>
        <v>14</v>
      </c>
      <c r="R267" s="302">
        <f t="shared" si="53"/>
        <v>15</v>
      </c>
      <c r="S267" s="302">
        <f t="shared" si="53"/>
        <v>16</v>
      </c>
      <c r="T267" s="302">
        <f t="shared" si="53"/>
        <v>17</v>
      </c>
      <c r="U267" s="302">
        <f t="shared" si="53"/>
        <v>18</v>
      </c>
      <c r="V267" s="302">
        <f t="shared" si="53"/>
        <v>19</v>
      </c>
      <c r="W267" s="302">
        <f t="shared" si="53"/>
        <v>20</v>
      </c>
      <c r="X267" s="302">
        <f t="shared" si="53"/>
        <v>21</v>
      </c>
      <c r="Y267" s="302">
        <f t="shared" si="53"/>
        <v>22</v>
      </c>
      <c r="Z267" s="302">
        <f t="shared" si="53"/>
        <v>23</v>
      </c>
      <c r="AA267" s="302">
        <f t="shared" si="53"/>
        <v>24</v>
      </c>
      <c r="AB267" s="302">
        <f t="shared" si="53"/>
        <v>25</v>
      </c>
      <c r="AC267" s="302">
        <f t="shared" si="53"/>
        <v>26</v>
      </c>
      <c r="AD267" s="302">
        <f t="shared" si="53"/>
        <v>27</v>
      </c>
      <c r="AE267" s="302">
        <f t="shared" si="53"/>
        <v>28</v>
      </c>
      <c r="AF267" s="302">
        <f t="shared" si="53"/>
        <v>29</v>
      </c>
      <c r="AG267" s="302">
        <f t="shared" si="53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4">SUM(D268:AG268)</f>
        <v>0</v>
      </c>
    </row>
    <row r="269" spans="1:34">
      <c r="C269" s="307">
        <f t="shared" ref="C269:C298" si="55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4"/>
        <v>0</v>
      </c>
    </row>
    <row r="270" spans="1:34">
      <c r="C270" s="307">
        <f t="shared" si="55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4"/>
        <v>#VALUE!</v>
      </c>
    </row>
    <row r="271" spans="1:34">
      <c r="C271" s="307">
        <f t="shared" si="55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4"/>
        <v>#VALUE!</v>
      </c>
    </row>
    <row r="272" spans="1:34">
      <c r="C272" s="307">
        <f t="shared" si="55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4"/>
        <v>#VALUE!</v>
      </c>
    </row>
    <row r="273" spans="3:34">
      <c r="C273" s="307">
        <f t="shared" si="55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4"/>
        <v>#VALUE!</v>
      </c>
    </row>
    <row r="274" spans="3:34">
      <c r="C274" s="307">
        <f t="shared" si="55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4"/>
        <v>#VALUE!</v>
      </c>
    </row>
    <row r="275" spans="3:34">
      <c r="C275" s="307">
        <f t="shared" si="55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4"/>
        <v>#VALUE!</v>
      </c>
    </row>
    <row r="276" spans="3:34">
      <c r="C276" s="307">
        <f t="shared" si="55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4"/>
        <v>#VALUE!</v>
      </c>
    </row>
    <row r="277" spans="3:34">
      <c r="C277" s="307">
        <f t="shared" si="55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4"/>
        <v>#VALUE!</v>
      </c>
    </row>
    <row r="278" spans="3:34">
      <c r="C278" s="307">
        <f t="shared" si="55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4"/>
        <v>#VALUE!</v>
      </c>
    </row>
    <row r="279" spans="3:34">
      <c r="C279" s="307">
        <f t="shared" si="55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4"/>
        <v>#VALUE!</v>
      </c>
    </row>
    <row r="280" spans="3:34">
      <c r="C280" s="307">
        <f t="shared" si="55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4"/>
        <v>#VALUE!</v>
      </c>
    </row>
    <row r="281" spans="3:34">
      <c r="C281" s="307">
        <f t="shared" si="55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4"/>
        <v>#VALUE!</v>
      </c>
    </row>
    <row r="282" spans="3:34">
      <c r="C282" s="307">
        <f t="shared" si="55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4"/>
        <v>#VALUE!</v>
      </c>
    </row>
    <row r="283" spans="3:34">
      <c r="C283" s="307">
        <f t="shared" si="55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4"/>
        <v>#VALUE!</v>
      </c>
    </row>
    <row r="284" spans="3:34">
      <c r="C284" s="307">
        <f t="shared" si="55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4"/>
        <v>#VALUE!</v>
      </c>
    </row>
    <row r="285" spans="3:34">
      <c r="C285" s="307">
        <f t="shared" si="55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4"/>
        <v>#VALUE!</v>
      </c>
    </row>
    <row r="286" spans="3:34">
      <c r="C286" s="307">
        <f t="shared" si="55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4"/>
        <v>#VALUE!</v>
      </c>
    </row>
    <row r="287" spans="3:34">
      <c r="C287" s="307">
        <f t="shared" si="55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4"/>
        <v>#VALUE!</v>
      </c>
    </row>
    <row r="288" spans="3:34">
      <c r="C288" s="307">
        <f t="shared" si="55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4"/>
        <v>#VALUE!</v>
      </c>
    </row>
    <row r="289" spans="1:34">
      <c r="C289" s="307">
        <f t="shared" si="55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4"/>
        <v>#VALUE!</v>
      </c>
    </row>
    <row r="290" spans="1:34">
      <c r="C290" s="307">
        <f t="shared" si="55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4"/>
        <v>#VALUE!</v>
      </c>
    </row>
    <row r="291" spans="1:34">
      <c r="C291" s="307">
        <f t="shared" si="55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4"/>
        <v>#VALUE!</v>
      </c>
    </row>
    <row r="292" spans="1:34">
      <c r="C292" s="307">
        <f t="shared" si="55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4"/>
        <v>#VALUE!</v>
      </c>
    </row>
    <row r="293" spans="1:34">
      <c r="C293" s="307">
        <f t="shared" si="55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4"/>
        <v>#VALUE!</v>
      </c>
    </row>
    <row r="294" spans="1:34">
      <c r="C294" s="307">
        <f t="shared" si="55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4"/>
        <v>#VALUE!</v>
      </c>
    </row>
    <row r="295" spans="1:34">
      <c r="C295" s="307">
        <f t="shared" si="55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4"/>
        <v>#VALUE!</v>
      </c>
    </row>
    <row r="296" spans="1:34">
      <c r="C296" s="307">
        <f t="shared" si="55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4"/>
        <v>#VALUE!</v>
      </c>
    </row>
    <row r="297" spans="1:34">
      <c r="C297" s="307">
        <f t="shared" si="55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4"/>
        <v>#VALUE!</v>
      </c>
    </row>
    <row r="298" spans="1:34" ht="13.5" thickBot="1">
      <c r="C298" s="307">
        <f t="shared" si="55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4"/>
        <v>#VALUE!</v>
      </c>
    </row>
    <row r="299" spans="1:34" ht="14.25" thickTop="1" thickBot="1">
      <c r="C299" s="311" t="s">
        <v>0</v>
      </c>
      <c r="D299" s="328" t="e">
        <f t="shared" ref="D299:AH299" si="56">SUM(D268:D298)</f>
        <v>#VALUE!</v>
      </c>
      <c r="E299" s="328" t="e">
        <f t="shared" si="56"/>
        <v>#VALUE!</v>
      </c>
      <c r="F299" s="328" t="e">
        <f t="shared" si="56"/>
        <v>#VALUE!</v>
      </c>
      <c r="G299" s="328" t="e">
        <f t="shared" si="56"/>
        <v>#VALUE!</v>
      </c>
      <c r="H299" s="328" t="e">
        <f t="shared" si="56"/>
        <v>#VALUE!</v>
      </c>
      <c r="I299" s="328" t="e">
        <f t="shared" si="56"/>
        <v>#VALUE!</v>
      </c>
      <c r="J299" s="328" t="e">
        <f t="shared" si="56"/>
        <v>#VALUE!</v>
      </c>
      <c r="K299" s="328" t="e">
        <f t="shared" si="56"/>
        <v>#VALUE!</v>
      </c>
      <c r="L299" s="340" t="e">
        <f t="shared" si="56"/>
        <v>#VALUE!</v>
      </c>
      <c r="M299" s="340" t="e">
        <f t="shared" si="56"/>
        <v>#VALUE!</v>
      </c>
      <c r="N299" s="328" t="e">
        <f t="shared" si="56"/>
        <v>#VALUE!</v>
      </c>
      <c r="O299" s="328" t="e">
        <f t="shared" si="56"/>
        <v>#VALUE!</v>
      </c>
      <c r="P299" s="328" t="e">
        <f t="shared" si="56"/>
        <v>#VALUE!</v>
      </c>
      <c r="Q299" s="328" t="e">
        <f t="shared" si="56"/>
        <v>#VALUE!</v>
      </c>
      <c r="R299" s="328" t="e">
        <f t="shared" si="56"/>
        <v>#VALUE!</v>
      </c>
      <c r="S299" s="328" t="e">
        <f t="shared" si="56"/>
        <v>#VALUE!</v>
      </c>
      <c r="T299" s="328" t="e">
        <f t="shared" si="56"/>
        <v>#VALUE!</v>
      </c>
      <c r="U299" s="328" t="e">
        <f t="shared" si="56"/>
        <v>#VALUE!</v>
      </c>
      <c r="V299" s="328" t="e">
        <f t="shared" si="56"/>
        <v>#VALUE!</v>
      </c>
      <c r="W299" s="328" t="e">
        <f t="shared" si="56"/>
        <v>#VALUE!</v>
      </c>
      <c r="X299" s="328" t="e">
        <f t="shared" si="56"/>
        <v>#VALUE!</v>
      </c>
      <c r="Y299" s="328" t="e">
        <f t="shared" si="56"/>
        <v>#VALUE!</v>
      </c>
      <c r="Z299" s="328" t="e">
        <f t="shared" si="56"/>
        <v>#VALUE!</v>
      </c>
      <c r="AA299" s="328" t="e">
        <f t="shared" si="56"/>
        <v>#VALUE!</v>
      </c>
      <c r="AB299" s="328" t="e">
        <f t="shared" si="56"/>
        <v>#VALUE!</v>
      </c>
      <c r="AC299" s="328" t="e">
        <f t="shared" si="56"/>
        <v>#VALUE!</v>
      </c>
      <c r="AD299" s="328" t="e">
        <f t="shared" si="56"/>
        <v>#VALUE!</v>
      </c>
      <c r="AE299" s="328" t="e">
        <f t="shared" si="56"/>
        <v>#VALUE!</v>
      </c>
      <c r="AF299" s="329" t="e">
        <f t="shared" si="56"/>
        <v>#VALUE!</v>
      </c>
      <c r="AG299" s="328" t="e">
        <f t="shared" si="56"/>
        <v>#VALUE!</v>
      </c>
      <c r="AH299" s="315" t="e">
        <f t="shared" si="56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7">D305+1</f>
        <v>2</v>
      </c>
      <c r="F305" s="302">
        <f t="shared" si="57"/>
        <v>3</v>
      </c>
      <c r="G305" s="302">
        <f t="shared" si="57"/>
        <v>4</v>
      </c>
      <c r="H305" s="302">
        <f t="shared" si="57"/>
        <v>5</v>
      </c>
      <c r="I305" s="302">
        <f t="shared" si="57"/>
        <v>6</v>
      </c>
      <c r="J305" s="302">
        <f t="shared" si="57"/>
        <v>7</v>
      </c>
      <c r="K305" s="302">
        <f t="shared" si="57"/>
        <v>8</v>
      </c>
      <c r="L305" s="302">
        <f t="shared" si="57"/>
        <v>9</v>
      </c>
      <c r="M305" s="302">
        <f t="shared" si="57"/>
        <v>10</v>
      </c>
      <c r="N305" s="302">
        <f t="shared" si="57"/>
        <v>11</v>
      </c>
      <c r="O305" s="302">
        <f t="shared" si="57"/>
        <v>12</v>
      </c>
      <c r="P305" s="302">
        <f t="shared" si="57"/>
        <v>13</v>
      </c>
      <c r="Q305" s="302">
        <f t="shared" si="57"/>
        <v>14</v>
      </c>
      <c r="R305" s="302">
        <f t="shared" si="57"/>
        <v>15</v>
      </c>
      <c r="S305" s="302">
        <f t="shared" si="57"/>
        <v>16</v>
      </c>
      <c r="T305" s="302">
        <f t="shared" si="57"/>
        <v>17</v>
      </c>
      <c r="U305" s="302">
        <f t="shared" si="57"/>
        <v>18</v>
      </c>
      <c r="V305" s="302">
        <f t="shared" si="57"/>
        <v>19</v>
      </c>
      <c r="W305" s="302">
        <f t="shared" si="57"/>
        <v>20</v>
      </c>
      <c r="X305" s="302">
        <f t="shared" si="57"/>
        <v>21</v>
      </c>
      <c r="Y305" s="302">
        <f t="shared" si="57"/>
        <v>22</v>
      </c>
      <c r="Z305" s="302">
        <f t="shared" si="57"/>
        <v>23</v>
      </c>
      <c r="AA305" s="302">
        <f t="shared" si="57"/>
        <v>24</v>
      </c>
      <c r="AB305" s="302">
        <f t="shared" si="57"/>
        <v>25</v>
      </c>
      <c r="AC305" s="302">
        <f t="shared" si="57"/>
        <v>26</v>
      </c>
      <c r="AD305" s="302">
        <f t="shared" si="57"/>
        <v>27</v>
      </c>
      <c r="AE305" s="302">
        <f t="shared" si="57"/>
        <v>28</v>
      </c>
      <c r="AF305" s="302">
        <f t="shared" si="57"/>
        <v>29</v>
      </c>
      <c r="AG305" s="302">
        <f t="shared" si="57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8">SUM(D306:AG306)</f>
        <v>0</v>
      </c>
    </row>
    <row r="307" spans="3:34">
      <c r="C307" s="307">
        <f t="shared" ref="C307:C336" si="59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8"/>
        <v>0</v>
      </c>
    </row>
    <row r="308" spans="3:34">
      <c r="C308" s="307">
        <f t="shared" si="59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8"/>
        <v>#VALUE!</v>
      </c>
    </row>
    <row r="309" spans="3:34">
      <c r="C309" s="307">
        <f t="shared" si="59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8"/>
        <v>#VALUE!</v>
      </c>
    </row>
    <row r="310" spans="3:34">
      <c r="C310" s="307">
        <f t="shared" si="59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8"/>
        <v>#VALUE!</v>
      </c>
    </row>
    <row r="311" spans="3:34">
      <c r="C311" s="307">
        <f t="shared" si="59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8"/>
        <v>#VALUE!</v>
      </c>
    </row>
    <row r="312" spans="3:34">
      <c r="C312" s="307">
        <f t="shared" si="59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8"/>
        <v>#VALUE!</v>
      </c>
    </row>
    <row r="313" spans="3:34">
      <c r="C313" s="307">
        <f t="shared" si="59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8"/>
        <v>#VALUE!</v>
      </c>
    </row>
    <row r="314" spans="3:34">
      <c r="C314" s="307">
        <f t="shared" si="59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8"/>
        <v>#VALUE!</v>
      </c>
    </row>
    <row r="315" spans="3:34">
      <c r="C315" s="307">
        <f t="shared" si="59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8"/>
        <v>#VALUE!</v>
      </c>
    </row>
    <row r="316" spans="3:34">
      <c r="C316" s="307">
        <f t="shared" si="59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8"/>
        <v>#VALUE!</v>
      </c>
    </row>
    <row r="317" spans="3:34">
      <c r="C317" s="307">
        <f t="shared" si="59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8"/>
        <v>#VALUE!</v>
      </c>
    </row>
    <row r="318" spans="3:34">
      <c r="C318" s="307">
        <f t="shared" si="59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8"/>
        <v>#VALUE!</v>
      </c>
    </row>
    <row r="319" spans="3:34">
      <c r="C319" s="307">
        <f t="shared" si="59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8"/>
        <v>#VALUE!</v>
      </c>
    </row>
    <row r="320" spans="3:34">
      <c r="C320" s="307">
        <f t="shared" si="59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8"/>
        <v>#VALUE!</v>
      </c>
    </row>
    <row r="321" spans="3:34">
      <c r="C321" s="307">
        <f t="shared" si="59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8"/>
        <v>#VALUE!</v>
      </c>
    </row>
    <row r="322" spans="3:34">
      <c r="C322" s="307">
        <f t="shared" si="59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8"/>
        <v>#VALUE!</v>
      </c>
    </row>
    <row r="323" spans="3:34">
      <c r="C323" s="307">
        <f t="shared" si="59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8"/>
        <v>#VALUE!</v>
      </c>
    </row>
    <row r="324" spans="3:34">
      <c r="C324" s="307">
        <f t="shared" si="59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8"/>
        <v>#VALUE!</v>
      </c>
    </row>
    <row r="325" spans="3:34">
      <c r="C325" s="307">
        <f t="shared" si="59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8"/>
        <v>#VALUE!</v>
      </c>
    </row>
    <row r="326" spans="3:34">
      <c r="C326" s="307">
        <f t="shared" si="59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8"/>
        <v>#VALUE!</v>
      </c>
    </row>
    <row r="327" spans="3:34">
      <c r="C327" s="307">
        <f t="shared" si="59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8"/>
        <v>#VALUE!</v>
      </c>
    </row>
    <row r="328" spans="3:34">
      <c r="C328" s="307">
        <f t="shared" si="59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8"/>
        <v>#VALUE!</v>
      </c>
    </row>
    <row r="329" spans="3:34">
      <c r="C329" s="307">
        <f t="shared" si="59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8"/>
        <v>#VALUE!</v>
      </c>
    </row>
    <row r="330" spans="3:34">
      <c r="C330" s="307">
        <f t="shared" si="59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8"/>
        <v>#VALUE!</v>
      </c>
    </row>
    <row r="331" spans="3:34">
      <c r="C331" s="307">
        <f t="shared" si="59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8"/>
        <v>#VALUE!</v>
      </c>
    </row>
    <row r="332" spans="3:34">
      <c r="C332" s="307">
        <f t="shared" si="59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8"/>
        <v>#VALUE!</v>
      </c>
    </row>
    <row r="333" spans="3:34">
      <c r="C333" s="307">
        <f t="shared" si="59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8"/>
        <v>#VALUE!</v>
      </c>
    </row>
    <row r="334" spans="3:34">
      <c r="C334" s="307">
        <f t="shared" si="59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8"/>
        <v>#VALUE!</v>
      </c>
    </row>
    <row r="335" spans="3:34">
      <c r="C335" s="307">
        <f t="shared" si="59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8"/>
        <v>#VALUE!</v>
      </c>
    </row>
    <row r="336" spans="3:34" ht="13.5" thickBot="1">
      <c r="C336" s="307">
        <f t="shared" si="59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8"/>
        <v>#VALUE!</v>
      </c>
    </row>
    <row r="337" spans="3:34" ht="14.25" thickTop="1" thickBot="1">
      <c r="C337" s="311" t="s">
        <v>0</v>
      </c>
      <c r="D337" s="328" t="e">
        <f t="shared" ref="D337:AH337" si="60">SUM(D306:D336)</f>
        <v>#VALUE!</v>
      </c>
      <c r="E337" s="328" t="e">
        <f t="shared" si="60"/>
        <v>#VALUE!</v>
      </c>
      <c r="F337" s="328" t="e">
        <f t="shared" si="60"/>
        <v>#VALUE!</v>
      </c>
      <c r="G337" s="328" t="e">
        <f t="shared" si="60"/>
        <v>#VALUE!</v>
      </c>
      <c r="H337" s="328" t="e">
        <f t="shared" si="60"/>
        <v>#VALUE!</v>
      </c>
      <c r="I337" s="328" t="e">
        <f t="shared" si="60"/>
        <v>#VALUE!</v>
      </c>
      <c r="J337" s="328" t="e">
        <f t="shared" si="60"/>
        <v>#VALUE!</v>
      </c>
      <c r="K337" s="328" t="e">
        <f t="shared" si="60"/>
        <v>#VALUE!</v>
      </c>
      <c r="L337" s="328" t="e">
        <f t="shared" si="60"/>
        <v>#VALUE!</v>
      </c>
      <c r="M337" s="336" t="e">
        <f t="shared" si="60"/>
        <v>#VALUE!</v>
      </c>
      <c r="N337" s="328" t="e">
        <f t="shared" si="60"/>
        <v>#VALUE!</v>
      </c>
      <c r="O337" s="328" t="e">
        <f t="shared" si="60"/>
        <v>#VALUE!</v>
      </c>
      <c r="P337" s="328" t="e">
        <f t="shared" si="60"/>
        <v>#VALUE!</v>
      </c>
      <c r="Q337" s="328" t="e">
        <f t="shared" si="60"/>
        <v>#VALUE!</v>
      </c>
      <c r="R337" s="328" t="e">
        <f t="shared" si="60"/>
        <v>#VALUE!</v>
      </c>
      <c r="S337" s="328" t="e">
        <f t="shared" si="60"/>
        <v>#VALUE!</v>
      </c>
      <c r="T337" s="328" t="e">
        <f t="shared" si="60"/>
        <v>#VALUE!</v>
      </c>
      <c r="U337" s="328" t="e">
        <f t="shared" si="60"/>
        <v>#VALUE!</v>
      </c>
      <c r="V337" s="328" t="e">
        <f t="shared" si="60"/>
        <v>#VALUE!</v>
      </c>
      <c r="W337" s="328" t="e">
        <f t="shared" si="60"/>
        <v>#VALUE!</v>
      </c>
      <c r="X337" s="328" t="e">
        <f t="shared" si="60"/>
        <v>#VALUE!</v>
      </c>
      <c r="Y337" s="328" t="e">
        <f t="shared" si="60"/>
        <v>#VALUE!</v>
      </c>
      <c r="Z337" s="328" t="e">
        <f t="shared" si="60"/>
        <v>#VALUE!</v>
      </c>
      <c r="AA337" s="328" t="e">
        <f t="shared" si="60"/>
        <v>#VALUE!</v>
      </c>
      <c r="AB337" s="328" t="e">
        <f t="shared" si="60"/>
        <v>#VALUE!</v>
      </c>
      <c r="AC337" s="328" t="e">
        <f t="shared" si="60"/>
        <v>#VALUE!</v>
      </c>
      <c r="AD337" s="328" t="e">
        <f t="shared" si="60"/>
        <v>#VALUE!</v>
      </c>
      <c r="AE337" s="328" t="e">
        <f t="shared" si="60"/>
        <v>#VALUE!</v>
      </c>
      <c r="AF337" s="329" t="e">
        <f t="shared" si="60"/>
        <v>#VALUE!</v>
      </c>
      <c r="AG337" s="329" t="e">
        <f t="shared" si="60"/>
        <v>#VALUE!</v>
      </c>
      <c r="AH337" s="315" t="e">
        <f t="shared" si="60"/>
        <v>#VALUE!</v>
      </c>
    </row>
    <row r="340" spans="3:34">
      <c r="C340" s="301" t="s">
        <v>1</v>
      </c>
      <c r="D340" s="302">
        <v>1</v>
      </c>
      <c r="E340" s="302">
        <f t="shared" ref="E340:AG340" si="61">D340+1</f>
        <v>2</v>
      </c>
      <c r="F340" s="302">
        <f t="shared" si="61"/>
        <v>3</v>
      </c>
      <c r="G340" s="302">
        <f t="shared" si="61"/>
        <v>4</v>
      </c>
      <c r="H340" s="302">
        <f t="shared" si="61"/>
        <v>5</v>
      </c>
      <c r="I340" s="302">
        <f t="shared" si="61"/>
        <v>6</v>
      </c>
      <c r="J340" s="302">
        <f t="shared" si="61"/>
        <v>7</v>
      </c>
      <c r="K340" s="302">
        <f t="shared" si="61"/>
        <v>8</v>
      </c>
      <c r="L340" s="302">
        <f t="shared" si="61"/>
        <v>9</v>
      </c>
      <c r="M340" s="302">
        <f t="shared" si="61"/>
        <v>10</v>
      </c>
      <c r="N340" s="302">
        <f t="shared" si="61"/>
        <v>11</v>
      </c>
      <c r="O340" s="302">
        <f t="shared" si="61"/>
        <v>12</v>
      </c>
      <c r="P340" s="302">
        <f t="shared" si="61"/>
        <v>13</v>
      </c>
      <c r="Q340" s="302">
        <f t="shared" si="61"/>
        <v>14</v>
      </c>
      <c r="R340" s="302">
        <f t="shared" si="61"/>
        <v>15</v>
      </c>
      <c r="S340" s="302">
        <f t="shared" si="61"/>
        <v>16</v>
      </c>
      <c r="T340" s="302">
        <f t="shared" si="61"/>
        <v>17</v>
      </c>
      <c r="U340" s="302">
        <f t="shared" si="61"/>
        <v>18</v>
      </c>
      <c r="V340" s="302">
        <f t="shared" si="61"/>
        <v>19</v>
      </c>
      <c r="W340" s="302">
        <f t="shared" si="61"/>
        <v>20</v>
      </c>
      <c r="X340" s="302">
        <f t="shared" si="61"/>
        <v>21</v>
      </c>
      <c r="Y340" s="302">
        <f t="shared" si="61"/>
        <v>22</v>
      </c>
      <c r="Z340" s="302">
        <f t="shared" si="61"/>
        <v>23</v>
      </c>
      <c r="AA340" s="302">
        <f t="shared" si="61"/>
        <v>24</v>
      </c>
      <c r="AB340" s="302">
        <f t="shared" si="61"/>
        <v>25</v>
      </c>
      <c r="AC340" s="302">
        <f t="shared" si="61"/>
        <v>26</v>
      </c>
      <c r="AD340" s="302">
        <f t="shared" si="61"/>
        <v>27</v>
      </c>
      <c r="AE340" s="302">
        <f t="shared" si="61"/>
        <v>28</v>
      </c>
      <c r="AF340" s="302">
        <f t="shared" si="61"/>
        <v>29</v>
      </c>
      <c r="AG340" s="302">
        <f t="shared" si="61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2">1+C341</f>
        <v>1</v>
      </c>
      <c r="AH342" s="341">
        <f t="shared" ref="AH342:AH371" ca="1" si="63">SUMIF($C$9:$AH$336,C342,$AH$9:$AH$336)</f>
        <v>0</v>
      </c>
    </row>
    <row r="343" spans="3:34">
      <c r="C343" s="307">
        <f t="shared" si="62"/>
        <v>2</v>
      </c>
      <c r="AH343" s="341" t="e">
        <f t="shared" ca="1" si="63"/>
        <v>#VALUE!</v>
      </c>
    </row>
    <row r="344" spans="3:34">
      <c r="C344" s="307">
        <f t="shared" si="62"/>
        <v>3</v>
      </c>
      <c r="AH344" s="341" t="e">
        <f t="shared" ca="1" si="63"/>
        <v>#VALUE!</v>
      </c>
    </row>
    <row r="345" spans="3:34">
      <c r="C345" s="307">
        <f t="shared" si="62"/>
        <v>4</v>
      </c>
      <c r="AH345" s="341" t="e">
        <f t="shared" ca="1" si="63"/>
        <v>#VALUE!</v>
      </c>
    </row>
    <row r="346" spans="3:34">
      <c r="C346" s="307">
        <f t="shared" si="62"/>
        <v>5</v>
      </c>
      <c r="AH346" s="341" t="e">
        <f t="shared" ca="1" si="63"/>
        <v>#VALUE!</v>
      </c>
    </row>
    <row r="347" spans="3:34">
      <c r="C347" s="307">
        <f t="shared" si="62"/>
        <v>6</v>
      </c>
      <c r="AH347" s="341" t="e">
        <f t="shared" ca="1" si="63"/>
        <v>#VALUE!</v>
      </c>
    </row>
    <row r="348" spans="3:34">
      <c r="C348" s="307">
        <f t="shared" si="62"/>
        <v>7</v>
      </c>
      <c r="AH348" s="341" t="e">
        <f t="shared" ca="1" si="63"/>
        <v>#VALUE!</v>
      </c>
    </row>
    <row r="349" spans="3:34">
      <c r="C349" s="307">
        <f t="shared" si="62"/>
        <v>8</v>
      </c>
      <c r="AH349" s="341" t="e">
        <f t="shared" ca="1" si="63"/>
        <v>#VALUE!</v>
      </c>
    </row>
    <row r="350" spans="3:34">
      <c r="C350" s="307">
        <f t="shared" si="62"/>
        <v>9</v>
      </c>
      <c r="AH350" s="341" t="e">
        <f t="shared" ca="1" si="63"/>
        <v>#VALUE!</v>
      </c>
    </row>
    <row r="351" spans="3:34">
      <c r="C351" s="307">
        <f t="shared" si="62"/>
        <v>10</v>
      </c>
      <c r="AH351" s="341" t="e">
        <f t="shared" ca="1" si="63"/>
        <v>#VALUE!</v>
      </c>
    </row>
    <row r="352" spans="3:34">
      <c r="C352" s="307">
        <f t="shared" si="62"/>
        <v>11</v>
      </c>
      <c r="AH352" s="341" t="e">
        <f t="shared" ca="1" si="63"/>
        <v>#VALUE!</v>
      </c>
    </row>
    <row r="353" spans="3:34">
      <c r="C353" s="307">
        <f t="shared" si="62"/>
        <v>12</v>
      </c>
      <c r="AH353" s="341" t="e">
        <f t="shared" ca="1" si="63"/>
        <v>#VALUE!</v>
      </c>
    </row>
    <row r="354" spans="3:34">
      <c r="C354" s="307">
        <f t="shared" si="62"/>
        <v>13</v>
      </c>
      <c r="AH354" s="341" t="e">
        <f t="shared" ca="1" si="63"/>
        <v>#VALUE!</v>
      </c>
    </row>
    <row r="355" spans="3:34">
      <c r="C355" s="307">
        <f t="shared" si="62"/>
        <v>14</v>
      </c>
      <c r="AH355" s="341" t="e">
        <f t="shared" ca="1" si="63"/>
        <v>#VALUE!</v>
      </c>
    </row>
    <row r="356" spans="3:34">
      <c r="C356" s="307">
        <f t="shared" si="62"/>
        <v>15</v>
      </c>
      <c r="AH356" s="341" t="e">
        <f t="shared" ca="1" si="63"/>
        <v>#VALUE!</v>
      </c>
    </row>
    <row r="357" spans="3:34">
      <c r="C357" s="307">
        <f t="shared" si="62"/>
        <v>16</v>
      </c>
      <c r="AH357" s="341" t="e">
        <f t="shared" ca="1" si="63"/>
        <v>#VALUE!</v>
      </c>
    </row>
    <row r="358" spans="3:34">
      <c r="C358" s="307">
        <f t="shared" si="62"/>
        <v>17</v>
      </c>
      <c r="AH358" s="341" t="e">
        <f t="shared" ca="1" si="63"/>
        <v>#VALUE!</v>
      </c>
    </row>
    <row r="359" spans="3:34">
      <c r="C359" s="307">
        <f t="shared" si="62"/>
        <v>18</v>
      </c>
      <c r="AH359" s="341" t="e">
        <f t="shared" ca="1" si="63"/>
        <v>#VALUE!</v>
      </c>
    </row>
    <row r="360" spans="3:34">
      <c r="C360" s="307">
        <f t="shared" si="62"/>
        <v>19</v>
      </c>
      <c r="AH360" s="341" t="e">
        <f t="shared" ca="1" si="63"/>
        <v>#VALUE!</v>
      </c>
    </row>
    <row r="361" spans="3:34">
      <c r="C361" s="307">
        <f t="shared" si="62"/>
        <v>20</v>
      </c>
      <c r="AH361" s="341" t="e">
        <f t="shared" ca="1" si="63"/>
        <v>#VALUE!</v>
      </c>
    </row>
    <row r="362" spans="3:34">
      <c r="C362" s="307">
        <f t="shared" si="62"/>
        <v>21</v>
      </c>
      <c r="AH362" s="341" t="e">
        <f t="shared" ca="1" si="63"/>
        <v>#VALUE!</v>
      </c>
    </row>
    <row r="363" spans="3:34">
      <c r="C363" s="307">
        <f t="shared" si="62"/>
        <v>22</v>
      </c>
      <c r="AH363" s="341" t="e">
        <f t="shared" ca="1" si="63"/>
        <v>#VALUE!</v>
      </c>
    </row>
    <row r="364" spans="3:34">
      <c r="C364" s="307">
        <f t="shared" si="62"/>
        <v>23</v>
      </c>
      <c r="AH364" s="341" t="e">
        <f t="shared" ca="1" si="63"/>
        <v>#VALUE!</v>
      </c>
    </row>
    <row r="365" spans="3:34">
      <c r="C365" s="307">
        <f t="shared" si="62"/>
        <v>24</v>
      </c>
      <c r="AH365" s="341" t="e">
        <f t="shared" ca="1" si="63"/>
        <v>#VALUE!</v>
      </c>
    </row>
    <row r="366" spans="3:34">
      <c r="C366" s="307">
        <f t="shared" si="62"/>
        <v>25</v>
      </c>
      <c r="AH366" s="341" t="e">
        <f t="shared" ca="1" si="63"/>
        <v>#VALUE!</v>
      </c>
    </row>
    <row r="367" spans="3:34">
      <c r="C367" s="307">
        <f t="shared" si="62"/>
        <v>26</v>
      </c>
      <c r="AH367" s="341" t="e">
        <f t="shared" ca="1" si="63"/>
        <v>#VALUE!</v>
      </c>
    </row>
    <row r="368" spans="3:34">
      <c r="C368" s="307">
        <f t="shared" si="62"/>
        <v>27</v>
      </c>
      <c r="AH368" s="341" t="e">
        <f t="shared" ca="1" si="63"/>
        <v>#VALUE!</v>
      </c>
    </row>
    <row r="369" spans="3:34">
      <c r="C369" s="307">
        <f t="shared" si="62"/>
        <v>28</v>
      </c>
      <c r="AH369" s="341" t="e">
        <f t="shared" ca="1" si="63"/>
        <v>#VALUE!</v>
      </c>
    </row>
    <row r="370" spans="3:34">
      <c r="C370" s="307">
        <f t="shared" si="62"/>
        <v>29</v>
      </c>
      <c r="AH370" s="341" t="e">
        <f t="shared" ca="1" si="63"/>
        <v>#VALUE!</v>
      </c>
    </row>
    <row r="371" spans="3:34">
      <c r="C371" s="307">
        <f t="shared" si="62"/>
        <v>30</v>
      </c>
      <c r="AH371" s="341" t="e">
        <f t="shared" ca="1" si="63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8C5C0-AA4F-4781-88E4-3ABC893F3EF4}">
  <sheetPr>
    <tabColor theme="8"/>
  </sheetPr>
  <dimension ref="A2:AJ67"/>
  <sheetViews>
    <sheetView showGridLines="0" zoomScale="70" zoomScaleNormal="70" workbookViewId="0">
      <selection activeCell="L11" sqref="L11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6" t="s">
        <v>727</v>
      </c>
      <c r="D2" s="1238" t="s">
        <v>713</v>
      </c>
    </row>
    <row r="3" spans="1:33" ht="23.25">
      <c r="B3" s="1236" t="s">
        <v>716</v>
      </c>
      <c r="D3" s="1239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9" t="s">
        <v>173</v>
      </c>
      <c r="D8" s="1209" t="s">
        <v>174</v>
      </c>
      <c r="E8" s="1209" t="s">
        <v>259</v>
      </c>
      <c r="F8" s="1209" t="s">
        <v>175</v>
      </c>
      <c r="G8" s="1209" t="s">
        <v>176</v>
      </c>
      <c r="H8" s="1209" t="s">
        <v>177</v>
      </c>
      <c r="I8" s="1209" t="s">
        <v>178</v>
      </c>
      <c r="J8" s="1209" t="s">
        <v>179</v>
      </c>
      <c r="K8" s="1209" t="s">
        <v>180</v>
      </c>
      <c r="L8" s="1209" t="s">
        <v>181</v>
      </c>
      <c r="M8" s="1209" t="s">
        <v>182</v>
      </c>
      <c r="N8" s="1209" t="s">
        <v>183</v>
      </c>
      <c r="O8" s="1209" t="s">
        <v>184</v>
      </c>
      <c r="P8" s="1209" t="s">
        <v>185</v>
      </c>
      <c r="Q8" s="1209" t="s">
        <v>186</v>
      </c>
      <c r="R8" s="1209" t="s">
        <v>187</v>
      </c>
      <c r="S8" s="1209" t="s">
        <v>188</v>
      </c>
      <c r="T8" s="1209" t="s">
        <v>189</v>
      </c>
      <c r="U8" s="1209" t="s">
        <v>190</v>
      </c>
      <c r="V8" s="1209" t="s">
        <v>191</v>
      </c>
      <c r="W8" s="1209" t="s">
        <v>192</v>
      </c>
      <c r="X8" s="1209" t="s">
        <v>193</v>
      </c>
      <c r="Y8" s="1209" t="s">
        <v>194</v>
      </c>
      <c r="Z8" s="1209" t="s">
        <v>195</v>
      </c>
      <c r="AA8" s="1209" t="s">
        <v>196</v>
      </c>
      <c r="AB8" s="1209" t="s">
        <v>197</v>
      </c>
      <c r="AC8" s="1209" t="s">
        <v>198</v>
      </c>
      <c r="AD8" s="1209" t="s">
        <v>199</v>
      </c>
      <c r="AE8" s="1209" t="s">
        <v>200</v>
      </c>
      <c r="AF8" s="1209" t="s">
        <v>201</v>
      </c>
      <c r="AG8" s="1210" t="s">
        <v>0</v>
      </c>
    </row>
    <row r="9" spans="1:33" s="89" customFormat="1" ht="20.25" customHeight="1">
      <c r="B9" s="1128" t="s">
        <v>202</v>
      </c>
      <c r="C9" s="1212">
        <f>SUM(C10:C12)</f>
        <v>2302818.334183454</v>
      </c>
      <c r="D9" s="1212">
        <f t="shared" ref="D9:L9" si="0">SUM(D10:D12)</f>
        <v>2589085.4613156808</v>
      </c>
      <c r="E9" s="1212">
        <f t="shared" si="0"/>
        <v>2818858.1047381544</v>
      </c>
      <c r="F9" s="1212">
        <f t="shared" si="0"/>
        <v>2920406.9946195232</v>
      </c>
      <c r="G9" s="1212">
        <f t="shared" si="0"/>
        <v>2997193.0318223308</v>
      </c>
      <c r="H9" s="1212">
        <f t="shared" si="0"/>
        <v>3300463.4410477728</v>
      </c>
      <c r="I9" s="1212">
        <f t="shared" si="0"/>
        <v>3708341.8851871886</v>
      </c>
      <c r="J9" s="1212">
        <f t="shared" si="0"/>
        <v>4008029.4952593418</v>
      </c>
      <c r="K9" s="1212">
        <f t="shared" si="0"/>
        <v>4073699.9550725189</v>
      </c>
      <c r="L9" s="1211">
        <f t="shared" si="0"/>
        <v>4197393.4301507464</v>
      </c>
      <c r="M9" s="1211">
        <f t="shared" ref="M9:N9" si="1">SUM(M10:M12)</f>
        <v>4394396.8244247558</v>
      </c>
      <c r="N9" s="1211">
        <f t="shared" si="1"/>
        <v>4693031.6822629524</v>
      </c>
      <c r="O9" s="1211">
        <f t="shared" ref="O9:AF9" si="2">SUM(O10:O12)</f>
        <v>4696008.6342718704</v>
      </c>
      <c r="P9" s="1211">
        <f t="shared" si="2"/>
        <v>4702715.2121313885</v>
      </c>
      <c r="Q9" s="1211">
        <f t="shared" si="2"/>
        <v>4709956.2799909087</v>
      </c>
      <c r="R9" s="1211">
        <f t="shared" si="2"/>
        <v>4716103.9763621334</v>
      </c>
      <c r="S9" s="1211">
        <f t="shared" si="2"/>
        <v>4690692.3312450647</v>
      </c>
      <c r="T9" s="1211">
        <f t="shared" si="2"/>
        <v>4696281.1461279979</v>
      </c>
      <c r="U9" s="1211">
        <f t="shared" si="2"/>
        <v>4701869.9610109283</v>
      </c>
      <c r="V9" s="1211">
        <f t="shared" si="2"/>
        <v>4706899.8944055689</v>
      </c>
      <c r="W9" s="1211">
        <f t="shared" si="2"/>
        <v>4713047.5907767965</v>
      </c>
      <c r="X9" s="1211">
        <f t="shared" si="2"/>
        <v>4719195.2871480193</v>
      </c>
      <c r="Y9" s="1211">
        <f t="shared" si="2"/>
        <v>4723666.3390543666</v>
      </c>
      <c r="Z9" s="1211">
        <f t="shared" si="2"/>
        <v>4728137.390960712</v>
      </c>
      <c r="AA9" s="1211">
        <f t="shared" si="2"/>
        <v>4732608.4428670583</v>
      </c>
      <c r="AB9" s="1211">
        <f t="shared" si="2"/>
        <v>4738197.2577499906</v>
      </c>
      <c r="AC9" s="1211">
        <f t="shared" si="2"/>
        <v>4743786.0726329209</v>
      </c>
      <c r="AD9" s="1211">
        <f t="shared" si="2"/>
        <v>4748816.0060275607</v>
      </c>
      <c r="AE9" s="1211">
        <f t="shared" si="2"/>
        <v>4754404.8209104948</v>
      </c>
      <c r="AF9" s="1211">
        <f t="shared" si="2"/>
        <v>4758316.9913285477</v>
      </c>
      <c r="AG9" s="1213">
        <f t="shared" ref="AG9:AG17" si="3">SUM(C9:AF9)</f>
        <v>126984422.27508675</v>
      </c>
    </row>
    <row r="10" spans="1:33" ht="20.25" customHeight="1">
      <c r="B10" s="1143" t="s">
        <v>203</v>
      </c>
      <c r="C10" s="1214">
        <f>'14 R1 FAT 2'!C5</f>
        <v>1523597.081238748</v>
      </c>
      <c r="D10" s="1214">
        <f>'14 R1 FAT 2'!C6</f>
        <v>1700315.1510136535</v>
      </c>
      <c r="E10" s="1214">
        <f>'14 R1 FAT 2'!C7</f>
        <v>1854061.9660526102</v>
      </c>
      <c r="F10" s="1214">
        <f>'14 R1 FAT 2'!C8</f>
        <v>1912815.2651806301</v>
      </c>
      <c r="G10" s="1212">
        <f>'14 R1 FAT 2'!C9</f>
        <v>1980000</v>
      </c>
      <c r="H10" s="1214">
        <f>'14 R1 FAT 2'!C10</f>
        <v>2033976.6216092038</v>
      </c>
      <c r="I10" s="1214">
        <f>'14 R1 FAT 2'!C11</f>
        <v>2137438.513626555</v>
      </c>
      <c r="J10" s="1214">
        <f>'14 R1 FAT 2'!C12</f>
        <v>2245693.2442389107</v>
      </c>
      <c r="K10" s="1214">
        <f>(1+$D$3)*'R1 DRE'!K5</f>
        <v>2236337.5618390017</v>
      </c>
      <c r="L10" s="1222">
        <f>(1+$D$3)*('R1 DRE'!L5+'E2 VALE PASSAROS'!B45)</f>
        <v>2260285.1329661855</v>
      </c>
      <c r="M10" s="1222">
        <f>(1+$D$3)*('R1 DRE'!M5+'E2 VALE PASSAROS'!C45)</f>
        <v>2260094.1771795149</v>
      </c>
      <c r="N10" s="1222">
        <f>(1+$D$3)*('R1 DRE'!N5+'E2 VALE PASSAROS'!D45)</f>
        <v>2261733.5243904921</v>
      </c>
      <c r="O10" s="1222">
        <f>(1+$D$3)*('R1 DRE'!O5+'E2 VALE PASSAROS'!E45)</f>
        <v>2261252.8067805548</v>
      </c>
      <c r="P10" s="1222">
        <f>(1+$D$3)*('R1 DRE'!P5+'E2 VALE PASSAROS'!F45)</f>
        <v>2264459.4960524002</v>
      </c>
      <c r="Q10" s="1222">
        <f>(1+$D$3)*('R1 DRE'!Q5+'E2 VALE PASSAROS'!G45)</f>
        <v>2268200.6753242463</v>
      </c>
      <c r="R10" s="1222">
        <f>(1+$D$3)*('R1 DRE'!R5+'E2 VALE PASSAROS'!H45)</f>
        <v>2271140.140490104</v>
      </c>
      <c r="S10" s="1222">
        <f>(1+$D$3)*('R1 DRE'!S5+'E2 VALE PASSAROS'!I45)</f>
        <v>2242811.9215499754</v>
      </c>
      <c r="T10" s="1222">
        <f>(1+$D$3)*('R1 DRE'!T5+'E2 VALE PASSAROS'!J45)</f>
        <v>2245484.1626098468</v>
      </c>
      <c r="U10" s="1222">
        <f>(1+$D$3)*('R1 DRE'!U5+'E2 VALE PASSAROS'!K45)</f>
        <v>2248156.4036697173</v>
      </c>
      <c r="V10" s="1222">
        <f>(1+$D$3)*('R1 DRE'!V5+'E2 VALE PASSAROS'!L45)</f>
        <v>2250561.4206236023</v>
      </c>
      <c r="W10" s="1222">
        <f>(1+$D$3)*('R1 DRE'!W5+'E2 VALE PASSAROS'!M45)</f>
        <v>2253500.8857894614</v>
      </c>
      <c r="X10" s="1222">
        <f>(1+$D$3)*('R1 DRE'!X5+'E2 VALE PASSAROS'!N45)</f>
        <v>2256440.3509553187</v>
      </c>
      <c r="Y10" s="1222">
        <f>(1+$D$3)*('R1 DRE'!Y5+'E2 VALE PASSAROS'!O45)</f>
        <v>2258578.1438032161</v>
      </c>
      <c r="Z10" s="1222">
        <f>(1+$D$3)*('R1 DRE'!Z5+'E2 VALE PASSAROS'!P45)</f>
        <v>2260715.9366511134</v>
      </c>
      <c r="AA10" s="1222">
        <f>(1+$D$3)*('R1 DRE'!AA5+'E2 VALE PASSAROS'!Q45)</f>
        <v>2262853.7294990104</v>
      </c>
      <c r="AB10" s="1222">
        <f>(1+$D$3)*('R1 DRE'!AB5+'E2 VALE PASSAROS'!R45)</f>
        <v>2265525.9705588818</v>
      </c>
      <c r="AC10" s="1222">
        <f>(1+$D$3)*('R1 DRE'!AC5+'E2 VALE PASSAROS'!S45)</f>
        <v>2268198.2116187527</v>
      </c>
      <c r="AD10" s="1222">
        <f>(1+$D$3)*('R1 DRE'!AD5+'E2 VALE PASSAROS'!T45)</f>
        <v>2270603.2285726368</v>
      </c>
      <c r="AE10" s="1222">
        <f>(1+$D$3)*('R1 DRE'!AE5+'E2 VALE PASSAROS'!U45)</f>
        <v>2273275.4696325082</v>
      </c>
      <c r="AF10" s="1222">
        <f>(1+$D$3)*('R1 DRE'!AF5+'E2 VALE PASSAROS'!V45)</f>
        <v>2275146.0383744184</v>
      </c>
      <c r="AG10" s="1213">
        <f t="shared" si="3"/>
        <v>65103253.23189126</v>
      </c>
    </row>
    <row r="11" spans="1:33" ht="20.25" customHeight="1">
      <c r="B11" s="1143" t="s">
        <v>204</v>
      </c>
      <c r="C11" s="1214">
        <f>'14 R1 FAT 2'!D5</f>
        <v>755927.22474067716</v>
      </c>
      <c r="D11" s="1214">
        <f>'14 R1 FAT 2'!D6</f>
        <v>864024.61729416624</v>
      </c>
      <c r="E11" s="1214">
        <f>'14 R1 FAT 2'!D7</f>
        <v>921110.0796396106</v>
      </c>
      <c r="F11" s="1214">
        <f>'14 R1 FAT 2'!D8</f>
        <v>945261.79093005392</v>
      </c>
      <c r="G11" s="1214">
        <f>'14 R1 FAT 2'!D9</f>
        <v>987517.85328943643</v>
      </c>
      <c r="H11" s="1214">
        <f>'14 R1 FAT 2'!D10</f>
        <v>1233808.963586611</v>
      </c>
      <c r="I11" s="1214">
        <f>'14 R1 FAT 2'!D11</f>
        <v>1534187.1152716517</v>
      </c>
      <c r="J11" s="1214">
        <f>'14 R1 FAT 2'!D12</f>
        <v>1722652.7906713283</v>
      </c>
      <c r="K11" s="1214">
        <f>(1+$D$3)*'R1 DRE'!K6</f>
        <v>1797028.7303120072</v>
      </c>
      <c r="L11" s="1222">
        <f>(1+$D$3)*('R1 DRE'!L6+'E2 VALE PASSAROS'!B46)</f>
        <v>1895835.7137177221</v>
      </c>
      <c r="M11" s="1222">
        <f>(1+$D$3)*('R1 DRE'!M6+'E2 VALE PASSAROS'!C46)</f>
        <v>2091084.8271024216</v>
      </c>
      <c r="N11" s="1222">
        <f>(1+$D$3)*('R1 DRE'!N6+'E2 VALE PASSAROS'!D46)</f>
        <v>2385128.8489391641</v>
      </c>
      <c r="O11" s="1222">
        <f>(1+$D$3)*('R1 DRE'!O6+'E2 VALE PASSAROS'!E46)</f>
        <v>2388562.3357658512</v>
      </c>
      <c r="P11" s="1222">
        <f>(1+$D$3)*('R1 DRE'!P6+'E2 VALE PASSAROS'!F46)</f>
        <v>2391995.8225925392</v>
      </c>
      <c r="Q11" s="1222">
        <f>(1+$D$3)*('R1 DRE'!Q6+'E2 VALE PASSAROS'!G46)</f>
        <v>2395429.3094192278</v>
      </c>
      <c r="R11" s="1222">
        <f>(1+$D$3)*('R1 DRE'!R6+'E2 VALE PASSAROS'!H46)</f>
        <v>2398576.6723436909</v>
      </c>
      <c r="S11" s="1222">
        <f>(1+$D$3)*('R1 DRE'!S6+'E2 VALE PASSAROS'!I46)</f>
        <v>2401437.9113659309</v>
      </c>
      <c r="T11" s="1222">
        <f>(1+$D$3)*('R1 DRE'!T6+'E2 VALE PASSAROS'!J46)</f>
        <v>2404299.1503881705</v>
      </c>
      <c r="U11" s="1222">
        <f>(1+$D$3)*('R1 DRE'!U6+'E2 VALE PASSAROS'!K46)</f>
        <v>2407160.3894104101</v>
      </c>
      <c r="V11" s="1222">
        <f>(1+$D$3)*('R1 DRE'!V6+'E2 VALE PASSAROS'!L46)</f>
        <v>2409735.5045304266</v>
      </c>
      <c r="W11" s="1222">
        <f>(1+$D$3)*('R1 DRE'!W6+'E2 VALE PASSAROS'!M46)</f>
        <v>2412882.8674548911</v>
      </c>
      <c r="X11" s="1222">
        <f>(1+$D$3)*('R1 DRE'!X6+'E2 VALE PASSAROS'!N46)</f>
        <v>2416030.2303793547</v>
      </c>
      <c r="Y11" s="1222">
        <f>(1+$D$3)*('R1 DRE'!Y6+'E2 VALE PASSAROS'!O46)</f>
        <v>2418319.2215971467</v>
      </c>
      <c r="Z11" s="1222">
        <f>(1+$D$3)*('R1 DRE'!Z6+'E2 VALE PASSAROS'!P46)</f>
        <v>2420608.2128149383</v>
      </c>
      <c r="AA11" s="1222">
        <f>(1+$D$3)*('R1 DRE'!AA6+'E2 VALE PASSAROS'!Q46)</f>
        <v>2422897.2040327298</v>
      </c>
      <c r="AB11" s="1222">
        <f>(1+$D$3)*('R1 DRE'!AB6+'E2 VALE PASSAROS'!R46)</f>
        <v>2425758.4430549708</v>
      </c>
      <c r="AC11" s="1222">
        <f>(1+$D$3)*('R1 DRE'!AC6+'E2 VALE PASSAROS'!S46)</f>
        <v>2428619.6820772095</v>
      </c>
      <c r="AD11" s="1222">
        <f>(1+$D$3)*('R1 DRE'!AD6+'E2 VALE PASSAROS'!T46)</f>
        <v>2431194.7971972255</v>
      </c>
      <c r="AE11" s="1222">
        <f>(1+$D$3)*('R1 DRE'!AE6+'E2 VALE PASSAROS'!U46)</f>
        <v>2434056.036219466</v>
      </c>
      <c r="AF11" s="1222">
        <f>(1+$D$3)*('R1 DRE'!AF6+'E2 VALE PASSAROS'!V46)</f>
        <v>2436058.903535034</v>
      </c>
      <c r="AG11" s="1213">
        <f t="shared" si="3"/>
        <v>60577191.249674059</v>
      </c>
    </row>
    <row r="12" spans="1:33" ht="20.25" customHeight="1">
      <c r="B12" s="469" t="s">
        <v>205</v>
      </c>
      <c r="C12" s="1214">
        <f>'14 R1 FAT 2'!E5</f>
        <v>23294.028204029146</v>
      </c>
      <c r="D12" s="1214">
        <f>'14 R1 FAT 2'!E6</f>
        <v>24745.693007860991</v>
      </c>
      <c r="E12" s="1214">
        <f>'14 R1 FAT 2'!E7</f>
        <v>43686.059045933551</v>
      </c>
      <c r="F12" s="1214">
        <f>'14 R1 FAT 2'!E8</f>
        <v>62329.938508839361</v>
      </c>
      <c r="G12" s="1214">
        <f>'14 R1 FAT 2'!E9</f>
        <v>29675.178532894366</v>
      </c>
      <c r="H12" s="1214">
        <f>'14 R1 FAT 2'!E10</f>
        <v>32677.855851958149</v>
      </c>
      <c r="I12" s="1214">
        <f>'14 R1 FAT 2'!E11</f>
        <v>36716.256288982069</v>
      </c>
      <c r="J12" s="1214">
        <f>'14 R1 FAT 2'!E12</f>
        <v>39683.460349102395</v>
      </c>
      <c r="K12" s="1214">
        <f>(1+$D$3)*'R1 DRE'!K7</f>
        <v>40333.662921510091</v>
      </c>
      <c r="L12" s="1214">
        <f>(1+$D$3)*'R1 DRE'!L7</f>
        <v>41272.583466839074</v>
      </c>
      <c r="M12" s="1214">
        <f>(1+$D$3)*'R1 DRE'!M7</f>
        <v>43217.820142819364</v>
      </c>
      <c r="N12" s="1214">
        <f>(1+$D$3)*'R1 DRE'!N7</f>
        <v>46169.308933296561</v>
      </c>
      <c r="O12" s="1214">
        <f>(1+$D$3)*'R1 DRE'!O7</f>
        <v>46193.491725464053</v>
      </c>
      <c r="P12" s="1214">
        <f>(1+$D$3)*'R1 DRE'!P7</f>
        <v>46259.893486449393</v>
      </c>
      <c r="Q12" s="1214">
        <f>(1+$D$3)*'R1 DRE'!Q7</f>
        <v>46326.29524743474</v>
      </c>
      <c r="R12" s="1214">
        <f>(1+$D$3)*'R1 DRE'!R7</f>
        <v>46387.163528337944</v>
      </c>
      <c r="S12" s="1214">
        <f>(1+$D$3)*'R1 DRE'!S7</f>
        <v>46442.498329159062</v>
      </c>
      <c r="T12" s="1214">
        <f>(1+$D$3)*'R1 DRE'!T7</f>
        <v>46497.833129980172</v>
      </c>
      <c r="U12" s="1214">
        <f>(1+$D$3)*'R1 DRE'!U7</f>
        <v>46553.167930801268</v>
      </c>
      <c r="V12" s="1214">
        <f>(1+$D$3)*'R1 DRE'!V7</f>
        <v>46602.969251540286</v>
      </c>
      <c r="W12" s="1214">
        <f>(1+$D$3)*'R1 DRE'!W7</f>
        <v>46663.837532443526</v>
      </c>
      <c r="X12" s="1214">
        <f>(1+$D$3)*'R1 DRE'!X7</f>
        <v>46724.705813346729</v>
      </c>
      <c r="Y12" s="1214">
        <f>(1+$D$3)*'R1 DRE'!Y7</f>
        <v>46768.973654003632</v>
      </c>
      <c r="Z12" s="1214">
        <f>(1+$D$3)*'R1 DRE'!Z7</f>
        <v>46813.24149466052</v>
      </c>
      <c r="AA12" s="1214">
        <f>(1+$D$3)*'R1 DRE'!AA7</f>
        <v>46857.509335317409</v>
      </c>
      <c r="AB12" s="1214">
        <f>(1+$D$3)*'R1 DRE'!AB7</f>
        <v>46912.844136138519</v>
      </c>
      <c r="AC12" s="1214">
        <f>(1+$D$3)*'R1 DRE'!AC7</f>
        <v>46968.178936959615</v>
      </c>
      <c r="AD12" s="1214">
        <f>(1+$D$3)*'R1 DRE'!AD7</f>
        <v>47017.980257698626</v>
      </c>
      <c r="AE12" s="1214">
        <f>(1+$D$3)*'R1 DRE'!AE7</f>
        <v>47073.315058519751</v>
      </c>
      <c r="AF12" s="1214">
        <f>(1+$D$3)*'R1 DRE'!AF7</f>
        <v>47112.049419094532</v>
      </c>
      <c r="AG12" s="1213">
        <f t="shared" si="3"/>
        <v>1303977.793521415</v>
      </c>
    </row>
    <row r="13" spans="1:33" s="89" customFormat="1" ht="20.25" customHeight="1">
      <c r="B13" s="468" t="s">
        <v>206</v>
      </c>
      <c r="C13" s="1212">
        <f>-SUM(C14:C15)</f>
        <v>-179421.96504071998</v>
      </c>
      <c r="D13" s="1212">
        <f t="shared" ref="D13:AF13" si="4">-SUM(D14:D15)</f>
        <v>-234617.19486967311</v>
      </c>
      <c r="E13" s="1212">
        <f t="shared" si="4"/>
        <v>-255067.11447188459</v>
      </c>
      <c r="F13" s="1212">
        <f t="shared" si="4"/>
        <v>-266470.53804765607</v>
      </c>
      <c r="G13" s="1212">
        <f t="shared" si="4"/>
        <v>-277240.35544356558</v>
      </c>
      <c r="H13" s="1212">
        <f t="shared" si="4"/>
        <v>-305292.86829691898</v>
      </c>
      <c r="I13" s="1212">
        <f t="shared" si="4"/>
        <v>-343021.62437981495</v>
      </c>
      <c r="J13" s="1212">
        <f t="shared" si="4"/>
        <v>-370742.7283114891</v>
      </c>
      <c r="K13" s="1212">
        <f t="shared" si="4"/>
        <v>-376817.245844208</v>
      </c>
      <c r="L13" s="1212">
        <f t="shared" si="4"/>
        <v>-388258.89228894404</v>
      </c>
      <c r="M13" s="1212">
        <f t="shared" si="4"/>
        <v>-406481.70625928987</v>
      </c>
      <c r="N13" s="1212">
        <f t="shared" si="4"/>
        <v>-434105.43060932308</v>
      </c>
      <c r="O13" s="1212">
        <f t="shared" si="4"/>
        <v>-434380.79867014801</v>
      </c>
      <c r="P13" s="1212">
        <f t="shared" si="4"/>
        <v>-435001.15712215344</v>
      </c>
      <c r="Q13" s="1212">
        <f t="shared" si="4"/>
        <v>-435670.95589915907</v>
      </c>
      <c r="R13" s="1212">
        <f t="shared" si="4"/>
        <v>-436239.61781349737</v>
      </c>
      <c r="S13" s="1212">
        <f t="shared" si="4"/>
        <v>-433889.04064016847</v>
      </c>
      <c r="T13" s="1212">
        <f t="shared" si="4"/>
        <v>-434406.00601683982</v>
      </c>
      <c r="U13" s="1212">
        <f t="shared" si="4"/>
        <v>-434922.97139351082</v>
      </c>
      <c r="V13" s="1212">
        <f t="shared" si="4"/>
        <v>-435388.24023251515</v>
      </c>
      <c r="W13" s="1212">
        <f t="shared" si="4"/>
        <v>-435956.90214685362</v>
      </c>
      <c r="X13" s="1212">
        <f t="shared" si="4"/>
        <v>-436525.56406119181</v>
      </c>
      <c r="Y13" s="1212">
        <f t="shared" si="4"/>
        <v>-436939.13636252889</v>
      </c>
      <c r="Z13" s="1212">
        <f t="shared" si="4"/>
        <v>-437352.70866386587</v>
      </c>
      <c r="AA13" s="1212">
        <f t="shared" si="4"/>
        <v>-437766.2809652029</v>
      </c>
      <c r="AB13" s="1212">
        <f t="shared" si="4"/>
        <v>-438283.24634187412</v>
      </c>
      <c r="AC13" s="1212">
        <f t="shared" si="4"/>
        <v>-438800.21171854518</v>
      </c>
      <c r="AD13" s="1212">
        <f t="shared" si="4"/>
        <v>-439265.48055754934</v>
      </c>
      <c r="AE13" s="1212">
        <f t="shared" si="4"/>
        <v>-439782.4459342208</v>
      </c>
      <c r="AF13" s="1212">
        <f t="shared" si="4"/>
        <v>-440144.32169789064</v>
      </c>
      <c r="AG13" s="1213">
        <f t="shared" si="3"/>
        <v>-11698252.750101207</v>
      </c>
    </row>
    <row r="14" spans="1:33" ht="20.25" customHeight="1">
      <c r="B14" s="469" t="s">
        <v>207</v>
      </c>
      <c r="C14" s="1214">
        <v>147448.94630089999</v>
      </c>
      <c r="D14" s="1214">
        <v>192742.64791063301</v>
      </c>
      <c r="E14" s="1214">
        <v>209568.66704207199</v>
      </c>
      <c r="F14" s="1214">
        <v>218937.955418909</v>
      </c>
      <c r="G14" s="1214">
        <f t="shared" ref="G14:AF14" si="5">0.076*G9</f>
        <v>227786.67041849715</v>
      </c>
      <c r="H14" s="1214">
        <f t="shared" si="5"/>
        <v>250835.22151963072</v>
      </c>
      <c r="I14" s="1214">
        <f t="shared" si="5"/>
        <v>281833.98327422631</v>
      </c>
      <c r="J14" s="1214">
        <f t="shared" si="5"/>
        <v>304610.24163970997</v>
      </c>
      <c r="K14" s="1214">
        <f t="shared" si="5"/>
        <v>309601.19658551144</v>
      </c>
      <c r="L14" s="1214">
        <f t="shared" si="5"/>
        <v>319001.90069145674</v>
      </c>
      <c r="M14" s="1214">
        <f t="shared" si="5"/>
        <v>333974.15865628142</v>
      </c>
      <c r="N14" s="1214">
        <f t="shared" si="5"/>
        <v>356670.40785198438</v>
      </c>
      <c r="O14" s="1214">
        <f t="shared" si="5"/>
        <v>356896.65620466211</v>
      </c>
      <c r="P14" s="1214">
        <f t="shared" si="5"/>
        <v>357406.35612198553</v>
      </c>
      <c r="Q14" s="1214">
        <f t="shared" si="5"/>
        <v>357956.67727930908</v>
      </c>
      <c r="R14" s="1214">
        <f t="shared" si="5"/>
        <v>358423.90220352216</v>
      </c>
      <c r="S14" s="1214">
        <f t="shared" si="5"/>
        <v>356492.61717462493</v>
      </c>
      <c r="T14" s="1214">
        <f t="shared" si="5"/>
        <v>356917.36710572784</v>
      </c>
      <c r="U14" s="1214">
        <f t="shared" si="5"/>
        <v>357342.11703683052</v>
      </c>
      <c r="V14" s="1214">
        <f t="shared" si="5"/>
        <v>357724.39197482326</v>
      </c>
      <c r="W14" s="1214">
        <f t="shared" si="5"/>
        <v>358191.61689903651</v>
      </c>
      <c r="X14" s="1214">
        <f t="shared" si="5"/>
        <v>358658.84182324947</v>
      </c>
      <c r="Y14" s="1214">
        <f t="shared" si="5"/>
        <v>358998.64176813187</v>
      </c>
      <c r="Z14" s="1214">
        <f t="shared" si="5"/>
        <v>359338.44171301409</v>
      </c>
      <c r="AA14" s="1214">
        <f t="shared" si="5"/>
        <v>359678.24165789643</v>
      </c>
      <c r="AB14" s="1214">
        <f t="shared" si="5"/>
        <v>360102.99158899928</v>
      </c>
      <c r="AC14" s="1214">
        <f t="shared" si="5"/>
        <v>360527.74152010196</v>
      </c>
      <c r="AD14" s="1214">
        <f t="shared" si="5"/>
        <v>360910.01645809459</v>
      </c>
      <c r="AE14" s="1214">
        <f t="shared" si="5"/>
        <v>361334.76638919761</v>
      </c>
      <c r="AF14" s="1214">
        <f t="shared" si="5"/>
        <v>361632.09134096961</v>
      </c>
      <c r="AG14" s="1213">
        <f t="shared" si="3"/>
        <v>9611545.4735699892</v>
      </c>
    </row>
    <row r="15" spans="1:33" ht="20.25" customHeight="1">
      <c r="B15" s="469" t="s">
        <v>208</v>
      </c>
      <c r="C15" s="1214">
        <v>31973.01873982</v>
      </c>
      <c r="D15" s="1214">
        <v>41874.546959040097</v>
      </c>
      <c r="E15" s="1214">
        <v>45498.447429812601</v>
      </c>
      <c r="F15" s="1214">
        <v>47532.582628747099</v>
      </c>
      <c r="G15" s="1214">
        <f t="shared" ref="G15:AF15" si="6">0.0165*G9</f>
        <v>49453.685025068458</v>
      </c>
      <c r="H15" s="1214">
        <f t="shared" si="6"/>
        <v>54457.646777288253</v>
      </c>
      <c r="I15" s="1214">
        <f t="shared" si="6"/>
        <v>61187.641105588613</v>
      </c>
      <c r="J15" s="1214">
        <f t="shared" si="6"/>
        <v>66132.486671779145</v>
      </c>
      <c r="K15" s="1214">
        <f t="shared" si="6"/>
        <v>67216.04925869657</v>
      </c>
      <c r="L15" s="1214">
        <f t="shared" si="6"/>
        <v>69256.991597487315</v>
      </c>
      <c r="M15" s="1214">
        <f t="shared" si="6"/>
        <v>72507.547603008468</v>
      </c>
      <c r="N15" s="1214">
        <f t="shared" si="6"/>
        <v>77435.022757338724</v>
      </c>
      <c r="O15" s="1214">
        <f t="shared" si="6"/>
        <v>77484.142465485871</v>
      </c>
      <c r="P15" s="1214">
        <f t="shared" si="6"/>
        <v>77594.801000167907</v>
      </c>
      <c r="Q15" s="1214">
        <f t="shared" si="6"/>
        <v>77714.278619849996</v>
      </c>
      <c r="R15" s="1214">
        <f t="shared" si="6"/>
        <v>77815.715609975203</v>
      </c>
      <c r="S15" s="1214">
        <f t="shared" si="6"/>
        <v>77396.423465543572</v>
      </c>
      <c r="T15" s="1214">
        <f t="shared" si="6"/>
        <v>77488.638911111964</v>
      </c>
      <c r="U15" s="1214">
        <f t="shared" si="6"/>
        <v>77580.854356680313</v>
      </c>
      <c r="V15" s="1214">
        <f t="shared" si="6"/>
        <v>77663.84825769189</v>
      </c>
      <c r="W15" s="1214">
        <f t="shared" si="6"/>
        <v>77765.285247817141</v>
      </c>
      <c r="X15" s="1214">
        <f t="shared" si="6"/>
        <v>77866.722237942318</v>
      </c>
      <c r="Y15" s="1214">
        <f t="shared" si="6"/>
        <v>77940.494594397052</v>
      </c>
      <c r="Z15" s="1214">
        <f t="shared" si="6"/>
        <v>78014.266950851757</v>
      </c>
      <c r="AA15" s="1214">
        <f t="shared" si="6"/>
        <v>78088.039307306462</v>
      </c>
      <c r="AB15" s="1214">
        <f t="shared" si="6"/>
        <v>78180.254752874855</v>
      </c>
      <c r="AC15" s="1214">
        <f t="shared" si="6"/>
        <v>78272.470198443203</v>
      </c>
      <c r="AD15" s="1214">
        <f t="shared" si="6"/>
        <v>78355.464099454752</v>
      </c>
      <c r="AE15" s="1214">
        <f t="shared" si="6"/>
        <v>78447.679545023173</v>
      </c>
      <c r="AF15" s="1214">
        <f t="shared" si="6"/>
        <v>78512.230356921034</v>
      </c>
      <c r="AG15" s="1213">
        <f t="shared" si="3"/>
        <v>2086707.2765312137</v>
      </c>
    </row>
    <row r="16" spans="1:33" s="89" customFormat="1" ht="20.25" customHeight="1">
      <c r="A16" s="41"/>
      <c r="B16" s="468" t="s">
        <v>209</v>
      </c>
      <c r="C16" s="1212">
        <v>-240325.14992063027</v>
      </c>
      <c r="D16" s="1212">
        <v>-5731.8357714316808</v>
      </c>
      <c r="E16" s="1212">
        <v>44055.680904777721</v>
      </c>
      <c r="F16" s="1212">
        <v>19240.19274912728</v>
      </c>
      <c r="G16" s="1212">
        <f>-('15 R1 ARREC'!F9-'15 R1 ARREC'!F8)</f>
        <v>24596.90771402698</v>
      </c>
      <c r="H16" s="1212">
        <f>-('15 R1 ARREC'!F10-'15 R1 ARREC'!F9)</f>
        <v>14808.40985695133</v>
      </c>
      <c r="I16" s="1212">
        <f>-('15 R1 ARREC'!F11-'15 R1 ARREC'!F10)</f>
        <v>-20393.922206970863</v>
      </c>
      <c r="J16" s="1212">
        <f>-('15 R1 ARREC'!F12-'15 R1 ARREC'!F11)</f>
        <v>-14984.380503607448</v>
      </c>
      <c r="K16" s="1212">
        <f>-('15 R1 ARREC'!F13-'15 R1 ARREC'!F12)</f>
        <v>-3283.5229906593449</v>
      </c>
      <c r="L16" s="1212">
        <f>-('15 R1 ARREC'!F14-'15 R1 ARREC'!F13)</f>
        <v>-4741.5487539111637</v>
      </c>
      <c r="M16" s="1212">
        <f>-('15 R1 ARREC'!F15-'15 R1 ARREC'!F14)</f>
        <v>-9823.4452137006447</v>
      </c>
      <c r="N16" s="1212">
        <f>-('15 R1 ARREC'!F16-'15 R1 ARREC'!F15)</f>
        <v>-14905.018391910009</v>
      </c>
      <c r="O16" s="1212">
        <f>-('15 R1 ARREC'!F17-'15 R1 ARREC'!F16)</f>
        <v>-122.12310044560581</v>
      </c>
      <c r="P16" s="1212">
        <f>-('15 R1 ARREC'!F18-'15 R1 ARREC'!F17)</f>
        <v>-335.32889297604561</v>
      </c>
      <c r="Q16" s="1212">
        <f>-('15 R1 ARREC'!F19-'15 R1 ARREC'!F18)</f>
        <v>-335.32889297604561</v>
      </c>
      <c r="R16" s="1212">
        <f>-('15 R1 ARREC'!F20-'15 R1 ARREC'!F19)</f>
        <v>-307.38481856044382</v>
      </c>
      <c r="S16" s="1212">
        <f>-('15 R1 ARREC'!F21-'15 R1 ARREC'!F20)</f>
        <v>-279.44074414670467</v>
      </c>
      <c r="T16" s="1212">
        <f>-('15 R1 ARREC'!F22-'15 R1 ARREC'!F21)</f>
        <v>-279.44074414670467</v>
      </c>
      <c r="U16" s="1212">
        <f>-('15 R1 ARREC'!F23-'15 R1 ARREC'!F22)</f>
        <v>-279.44074414670467</v>
      </c>
      <c r="V16" s="1212">
        <f>-('15 R1 ARREC'!F24-'15 R1 ARREC'!F23)</f>
        <v>-251.49666973203421</v>
      </c>
      <c r="W16" s="1212">
        <f>-('15 R1 ARREC'!F25-'15 R1 ARREC'!F24)</f>
        <v>-307.38481856137514</v>
      </c>
      <c r="X16" s="1212">
        <f>-('15 R1 ARREC'!F26-'15 R1 ARREC'!F25)</f>
        <v>-307.38481856137514</v>
      </c>
      <c r="Y16" s="1212">
        <f>-('15 R1 ARREC'!F27-'15 R1 ARREC'!F26)</f>
        <v>-223.55259531736374</v>
      </c>
      <c r="Z16" s="1212">
        <f>-('15 R1 ARREC'!F28-'15 R1 ARREC'!F27)</f>
        <v>-223.55259531736374</v>
      </c>
      <c r="AA16" s="1212">
        <f>-('15 R1 ARREC'!F29-'15 R1 ARREC'!F28)</f>
        <v>-223.55259531736374</v>
      </c>
      <c r="AB16" s="1212">
        <f>-('15 R1 ARREC'!F30-'15 R1 ARREC'!F29)</f>
        <v>-279.44074414670467</v>
      </c>
      <c r="AC16" s="1212">
        <f>-('15 R1 ARREC'!F31-'15 R1 ARREC'!F30)</f>
        <v>-279.44074414577335</v>
      </c>
      <c r="AD16" s="1212">
        <f>-('15 R1 ARREC'!F32-'15 R1 ARREC'!F31)</f>
        <v>-251.49666973203421</v>
      </c>
      <c r="AE16" s="1212">
        <f>-('15 R1 ARREC'!F33-'15 R1 ARREC'!F32)</f>
        <v>-279.44074414670467</v>
      </c>
      <c r="AF16" s="1212">
        <f>-('15 R1 ARREC'!F34-'15 R1 ARREC'!F33)</f>
        <v>-195.60852090269327</v>
      </c>
      <c r="AG16" s="1213">
        <f t="shared" si="3"/>
        <v>-216248.47198121715</v>
      </c>
    </row>
    <row r="17" spans="1:36" s="89" customFormat="1" ht="20.25" customHeight="1">
      <c r="B17" s="468" t="s">
        <v>210</v>
      </c>
      <c r="C17" s="1212">
        <f>C9+C13+C16</f>
        <v>1883071.2192221037</v>
      </c>
      <c r="D17" s="1212">
        <f t="shared" ref="D17:AF17" si="7">D9+D13+D16</f>
        <v>2348736.4306745757</v>
      </c>
      <c r="E17" s="1212">
        <f t="shared" si="7"/>
        <v>2607846.6711710477</v>
      </c>
      <c r="F17" s="1212">
        <f t="shared" si="7"/>
        <v>2673176.6493209945</v>
      </c>
      <c r="G17" s="1212">
        <f t="shared" si="7"/>
        <v>2744549.5840927921</v>
      </c>
      <c r="H17" s="1212">
        <f t="shared" si="7"/>
        <v>3009978.9826078052</v>
      </c>
      <c r="I17" s="1212">
        <f t="shared" si="7"/>
        <v>3344926.3386004027</v>
      </c>
      <c r="J17" s="1212">
        <f t="shared" si="7"/>
        <v>3622302.386444245</v>
      </c>
      <c r="K17" s="1212">
        <f t="shared" si="7"/>
        <v>3693599.1862376514</v>
      </c>
      <c r="L17" s="1212">
        <f t="shared" si="7"/>
        <v>3804392.989107891</v>
      </c>
      <c r="M17" s="1212">
        <f t="shared" si="7"/>
        <v>3978091.6729517654</v>
      </c>
      <c r="N17" s="1212">
        <f t="shared" si="7"/>
        <v>4244021.2332617193</v>
      </c>
      <c r="O17" s="1212">
        <f t="shared" si="7"/>
        <v>4261505.7125012772</v>
      </c>
      <c r="P17" s="1212">
        <f t="shared" si="7"/>
        <v>4267378.7261162587</v>
      </c>
      <c r="Q17" s="1212">
        <f t="shared" si="7"/>
        <v>4273949.9951987732</v>
      </c>
      <c r="R17" s="1212">
        <f t="shared" si="7"/>
        <v>4279556.9737300752</v>
      </c>
      <c r="S17" s="1212">
        <f t="shared" si="7"/>
        <v>4256523.8498607492</v>
      </c>
      <c r="T17" s="1212">
        <f t="shared" si="7"/>
        <v>4261595.699367011</v>
      </c>
      <c r="U17" s="1212">
        <f t="shared" si="7"/>
        <v>4266667.5488732709</v>
      </c>
      <c r="V17" s="1212">
        <f t="shared" si="7"/>
        <v>4271260.1575033218</v>
      </c>
      <c r="W17" s="1212">
        <f t="shared" si="7"/>
        <v>4276783.3038113816</v>
      </c>
      <c r="X17" s="1212">
        <f t="shared" si="7"/>
        <v>4282362.3382682661</v>
      </c>
      <c r="Y17" s="1212">
        <f t="shared" si="7"/>
        <v>4286503.6500965208</v>
      </c>
      <c r="Z17" s="1212">
        <f t="shared" si="7"/>
        <v>4290561.1297015287</v>
      </c>
      <c r="AA17" s="1212">
        <f t="shared" si="7"/>
        <v>4294618.6093065385</v>
      </c>
      <c r="AB17" s="1212">
        <f t="shared" si="7"/>
        <v>4299634.57066397</v>
      </c>
      <c r="AC17" s="1212">
        <f t="shared" si="7"/>
        <v>4304706.4201702299</v>
      </c>
      <c r="AD17" s="1212">
        <f t="shared" si="7"/>
        <v>4309299.0288002789</v>
      </c>
      <c r="AE17" s="1212">
        <f t="shared" si="7"/>
        <v>4314342.9342321269</v>
      </c>
      <c r="AF17" s="1212">
        <f t="shared" si="7"/>
        <v>4317977.0611097543</v>
      </c>
      <c r="AG17" s="1213">
        <f t="shared" si="3"/>
        <v>115069921.05300434</v>
      </c>
    </row>
    <row r="18" spans="1:36" s="89" customFormat="1" ht="20.25" customHeight="1">
      <c r="B18" s="468" t="s">
        <v>211</v>
      </c>
      <c r="C18" s="1212">
        <f>C19+C20</f>
        <v>-462068.86326204147</v>
      </c>
      <c r="D18" s="1212">
        <f t="shared" ref="D18:AF18" si="8">D19+D20</f>
        <v>-369565.70052795502</v>
      </c>
      <c r="E18" s="1212">
        <f t="shared" si="8"/>
        <v>-372990.80023137957</v>
      </c>
      <c r="F18" s="1212">
        <f t="shared" si="8"/>
        <v>-365825.26800000004</v>
      </c>
      <c r="G18" s="1212">
        <f t="shared" si="8"/>
        <v>-364530.62316929037</v>
      </c>
      <c r="H18" s="1212">
        <f t="shared" si="8"/>
        <v>-386664.99739602057</v>
      </c>
      <c r="I18" s="1212">
        <f t="shared" si="8"/>
        <v>-368051.52738592168</v>
      </c>
      <c r="J18" s="1212">
        <f t="shared" si="8"/>
        <v>-369563.79094887548</v>
      </c>
      <c r="K18" s="1212">
        <f t="shared" si="8"/>
        <v>-374710.74257447</v>
      </c>
      <c r="L18" s="1212">
        <f t="shared" si="8"/>
        <v>-367095.50255699549</v>
      </c>
      <c r="M18" s="1212">
        <f t="shared" si="8"/>
        <v>-367268.85</v>
      </c>
      <c r="N18" s="1212">
        <f t="shared" si="8"/>
        <v>-367364.90070234844</v>
      </c>
      <c r="O18" s="1212">
        <f t="shared" si="8"/>
        <v>-367498.59326174879</v>
      </c>
      <c r="P18" s="1212">
        <f t="shared" si="8"/>
        <v>-367545.30954566196</v>
      </c>
      <c r="Q18" s="1212">
        <f t="shared" si="8"/>
        <v>-367679.14751965227</v>
      </c>
      <c r="R18" s="1212">
        <f t="shared" si="8"/>
        <v>-367745.19</v>
      </c>
      <c r="S18" s="1212">
        <f t="shared" si="8"/>
        <v>-367848.36594447552</v>
      </c>
      <c r="T18" s="1212">
        <f t="shared" si="8"/>
        <v>-367887.69800359354</v>
      </c>
      <c r="U18" s="1212">
        <f t="shared" si="8"/>
        <v>-367925.50886980712</v>
      </c>
      <c r="V18" s="1212">
        <f t="shared" si="8"/>
        <v>-368048.33956597815</v>
      </c>
      <c r="W18" s="1212">
        <f t="shared" si="8"/>
        <v>-368080.71</v>
      </c>
      <c r="X18" s="1212">
        <f t="shared" si="8"/>
        <v>-368221.0242160965</v>
      </c>
      <c r="Y18" s="1212">
        <f t="shared" si="8"/>
        <v>-368253.47064760723</v>
      </c>
      <c r="Z18" s="1212">
        <f t="shared" si="8"/>
        <v>-368374.94100334623</v>
      </c>
      <c r="AA18" s="1212">
        <f t="shared" si="8"/>
        <v>-368409.75385767961</v>
      </c>
      <c r="AB18" s="1212">
        <f t="shared" si="8"/>
        <v>-368580.87400000001</v>
      </c>
      <c r="AC18" s="1212">
        <f t="shared" si="8"/>
        <v>-368667.92762754031</v>
      </c>
      <c r="AD18" s="1212">
        <f t="shared" si="8"/>
        <v>-368793.15987865516</v>
      </c>
      <c r="AE18" s="1212">
        <f t="shared" si="8"/>
        <v>-368838.15092086641</v>
      </c>
      <c r="AF18" s="1212">
        <f t="shared" si="8"/>
        <v>-368965.57991323736</v>
      </c>
      <c r="AG18" s="1213">
        <f t="shared" ref="AG18:AG25" si="9">SUM(C18:AF18)</f>
        <v>-11163065.311531248</v>
      </c>
      <c r="AJ18" s="136"/>
    </row>
    <row r="19" spans="1:36" s="89" customFormat="1" ht="20.25" customHeight="1">
      <c r="B19" s="477" t="s">
        <v>212</v>
      </c>
      <c r="C19" s="1214">
        <f>-TRANSPOSE('16 R1 OPEX'!$H$5:$H$34)</f>
        <v>-222919.5</v>
      </c>
      <c r="D19" s="1214">
        <f>-TRANSPOSE('16 R1 OPEX'!$H$5:$H$34)</f>
        <v>-222919.5</v>
      </c>
      <c r="E19" s="1214">
        <f>-TRANSPOSE('16 R1 OPEX'!$H$5:$H$34)</f>
        <v>-222919.5</v>
      </c>
      <c r="F19" s="1214">
        <f>-TRANSPOSE('16 R1 OPEX'!$H$5:$H$34)</f>
        <v>-222919.5</v>
      </c>
      <c r="G19" s="1214">
        <f>-TRANSPOSE('16 R1 OPEX'!$H$5:$H$34)</f>
        <v>-222919.5</v>
      </c>
      <c r="H19" s="1214">
        <f>-TRANSPOSE('16 R1 OPEX'!$H$5:$H$34)</f>
        <v>-222919.5</v>
      </c>
      <c r="I19" s="1214">
        <f>-TRANSPOSE('16 R1 OPEX'!$H$5:$H$34)</f>
        <v>-222919.5</v>
      </c>
      <c r="J19" s="1214">
        <f>-TRANSPOSE('16 R1 OPEX'!$H$5:$H$34)</f>
        <v>-222919.5</v>
      </c>
      <c r="K19" s="1214">
        <f>-TRANSPOSE('16 R1 OPEX'!$H$5:$H$34)</f>
        <v>-222919.5</v>
      </c>
      <c r="L19" s="1222">
        <f>'R1 DRE'!L14-'E2 VALE PASSAROS'!B39</f>
        <v>-225805.75</v>
      </c>
      <c r="M19" s="1222">
        <f>'R1 DRE'!M14-'E2 VALE PASSAROS'!C39</f>
        <v>-225859.20000000001</v>
      </c>
      <c r="N19" s="1222">
        <f>'R1 DRE'!N14-'E2 VALE PASSAROS'!D39</f>
        <v>-225912.65</v>
      </c>
      <c r="O19" s="1222">
        <f>'R1 DRE'!O14-'E2 VALE PASSAROS'!E39</f>
        <v>-225966.1</v>
      </c>
      <c r="P19" s="1222">
        <f>'R1 DRE'!P14-'E2 VALE PASSAROS'!F39</f>
        <v>-225966.1</v>
      </c>
      <c r="Q19" s="1222">
        <f>'R1 DRE'!Q14-'E2 VALE PASSAROS'!G39</f>
        <v>-226019.55</v>
      </c>
      <c r="R19" s="1222">
        <f>'R1 DRE'!R14-'E2 VALE PASSAROS'!H39</f>
        <v>-226019.55</v>
      </c>
      <c r="S19" s="1222">
        <f>'R1 DRE'!S14-'E2 VALE PASSAROS'!B56</f>
        <v>-226073</v>
      </c>
      <c r="T19" s="1222">
        <f>'R1 DRE'!T14-'E2 VALE PASSAROS'!C56</f>
        <v>-226073</v>
      </c>
      <c r="U19" s="1222">
        <f>'R1 DRE'!U14-'E2 VALE PASSAROS'!D56</f>
        <v>-226073</v>
      </c>
      <c r="V19" s="1222">
        <f>'R1 DRE'!V14-'E2 VALE PASSAROS'!E56</f>
        <v>-226126.44</v>
      </c>
      <c r="W19" s="1222">
        <f>'R1 DRE'!W14-'E2 VALE PASSAROS'!F56</f>
        <v>-226126.44</v>
      </c>
      <c r="X19" s="1222">
        <f>'R1 DRE'!X14-'E2 VALE PASSAROS'!G56</f>
        <v>-226179.89</v>
      </c>
      <c r="Y19" s="1222">
        <f>'R1 DRE'!Y14-'E2 VALE PASSAROS'!H56</f>
        <v>-226179.89</v>
      </c>
      <c r="Z19" s="1222">
        <f>'R1 DRE'!Z14-'E2 VALE PASSAROS'!B73</f>
        <v>-226233.34</v>
      </c>
      <c r="AA19" s="1222">
        <f>'R1 DRE'!AA14-'E2 VALE PASSAROS'!C73</f>
        <v>-226233.34</v>
      </c>
      <c r="AB19" s="1222">
        <f>'R1 DRE'!AB14-'E2 VALE PASSAROS'!D73</f>
        <v>-226286.79</v>
      </c>
      <c r="AC19" s="1222">
        <f>'R1 DRE'!AC14-'E2 VALE PASSAROS'!E73</f>
        <v>-226340.24</v>
      </c>
      <c r="AD19" s="1222">
        <f>'R1 DRE'!AD14-'E2 VALE PASSAROS'!F73</f>
        <v>-226393.69</v>
      </c>
      <c r="AE19" s="1222">
        <f>'R1 DRE'!AE14-'E2 VALE PASSAROS'!G73</f>
        <v>-226393.69</v>
      </c>
      <c r="AF19" s="1222">
        <f>'R1 DRE'!AF14-'E2 VALE PASSAROS'!H73</f>
        <v>-226447.14</v>
      </c>
      <c r="AG19" s="1215">
        <f t="shared" si="9"/>
        <v>-6754984.290000001</v>
      </c>
    </row>
    <row r="20" spans="1:36" s="89" customFormat="1" ht="20.25" customHeight="1">
      <c r="B20" s="477" t="s">
        <v>213</v>
      </c>
      <c r="C20" s="1214">
        <f>-'16 R1 OPEX'!I5</f>
        <v>-239149.36326204147</v>
      </c>
      <c r="D20" s="1214">
        <f>-'16 R1 OPEX'!I6</f>
        <v>-146646.20052795502</v>
      </c>
      <c r="E20" s="1214">
        <f>-'16 R1 OPEX'!I7</f>
        <v>-150071.30023137954</v>
      </c>
      <c r="F20" s="1214">
        <f>-'16 R1 OPEX'!I8</f>
        <v>-142905.76800000001</v>
      </c>
      <c r="G20" s="1214">
        <f>-'16 R1 OPEX'!I9</f>
        <v>-141611.1231692904</v>
      </c>
      <c r="H20" s="1214">
        <f>-'16 R1 OPEX'!I10</f>
        <v>-163745.49739602054</v>
      </c>
      <c r="I20" s="1214">
        <f>-'16 R1 OPEX'!I11</f>
        <v>-145132.02738592165</v>
      </c>
      <c r="J20" s="1214">
        <f>-'16 R1 OPEX'!I12</f>
        <v>-146644.29094887545</v>
      </c>
      <c r="K20" s="1214">
        <f>-'16 R1 OPEX'!I13</f>
        <v>-151791.24257447</v>
      </c>
      <c r="L20" s="1222">
        <f>'R1 DRE'!L15-'E2 VALE PASSAROS'!B40</f>
        <v>-141289.75255699546</v>
      </c>
      <c r="M20" s="1222">
        <f>'R1 DRE'!M15-'E2 VALE PASSAROS'!C40</f>
        <v>-141409.65</v>
      </c>
      <c r="N20" s="1222">
        <f>'R1 DRE'!N15-'E2 VALE PASSAROS'!D40</f>
        <v>-141452.25070234848</v>
      </c>
      <c r="O20" s="1222">
        <f>'R1 DRE'!O15-'E2 VALE PASSAROS'!E40</f>
        <v>-141532.49326174878</v>
      </c>
      <c r="P20" s="1222">
        <f>'R1 DRE'!P15-'E2 VALE PASSAROS'!F40</f>
        <v>-141579.20954566196</v>
      </c>
      <c r="Q20" s="1222">
        <f>'R1 DRE'!Q15-'E2 VALE PASSAROS'!G40</f>
        <v>-141659.59751965231</v>
      </c>
      <c r="R20" s="1222">
        <f>'R1 DRE'!R15-'E2 VALE PASSAROS'!H40</f>
        <v>-141725.64000000001</v>
      </c>
      <c r="S20" s="1222">
        <f>'R1 DRE'!S15-'E2 VALE PASSAROS'!B57</f>
        <v>-141775.36594447549</v>
      </c>
      <c r="T20" s="1222">
        <f>'R1 DRE'!T15-'E2 VALE PASSAROS'!C57</f>
        <v>-141814.69800359354</v>
      </c>
      <c r="U20" s="1222">
        <f>'R1 DRE'!U15-'E2 VALE PASSAROS'!D57</f>
        <v>-141852.50886980715</v>
      </c>
      <c r="V20" s="1222">
        <f>'R1 DRE'!V15-'E2 VALE PASSAROS'!E57</f>
        <v>-141921.89956597812</v>
      </c>
      <c r="W20" s="1222">
        <f>'R1 DRE'!W15-'E2 VALE PASSAROS'!F57</f>
        <v>-141954.27000000002</v>
      </c>
      <c r="X20" s="1222">
        <f>'R1 DRE'!X15-'E2 VALE PASSAROS'!G57</f>
        <v>-142041.13421609646</v>
      </c>
      <c r="Y20" s="1222">
        <f>'R1 DRE'!Y15-'E2 VALE PASSAROS'!H57</f>
        <v>-142073.58064760719</v>
      </c>
      <c r="Z20" s="1222">
        <f>'R1 DRE'!Z15-'E2 VALE PASSAROS'!B74</f>
        <v>-142141.60100334621</v>
      </c>
      <c r="AA20" s="1222">
        <f>'R1 DRE'!AA15-'E2 VALE PASSAROS'!C74</f>
        <v>-142176.41385767961</v>
      </c>
      <c r="AB20" s="1222">
        <f>'R1 DRE'!AB15-'E2 VALE PASSAROS'!D74</f>
        <v>-142294.084</v>
      </c>
      <c r="AC20" s="1222">
        <f>'R1 DRE'!AC15-'E2 VALE PASSAROS'!E74</f>
        <v>-142327.68762754029</v>
      </c>
      <c r="AD20" s="1222">
        <f>'R1 DRE'!AD15-'E2 VALE PASSAROS'!F74</f>
        <v>-142399.46987865516</v>
      </c>
      <c r="AE20" s="1222">
        <f>'R1 DRE'!AE15-'E2 VALE PASSAROS'!G74</f>
        <v>-142444.4609208664</v>
      </c>
      <c r="AF20" s="1222">
        <f>'R1 DRE'!AF15-'E2 VALE PASSAROS'!H74</f>
        <v>-142518.43991323732</v>
      </c>
      <c r="AG20" s="1215">
        <f t="shared" si="9"/>
        <v>-4408081.0215312438</v>
      </c>
    </row>
    <row r="21" spans="1:36" ht="20.25" customHeight="1">
      <c r="B21" s="468" t="s">
        <v>214</v>
      </c>
      <c r="C21" s="1212">
        <f>C22+C23+C24+C25</f>
        <v>-1057719.184271723</v>
      </c>
      <c r="D21" s="1212">
        <f t="shared" ref="D21:AF21" si="10">D22+D23+D24+D25</f>
        <v>-1230326.5123160521</v>
      </c>
      <c r="E21" s="1212">
        <f t="shared" si="10"/>
        <v>-1446948.7737891045</v>
      </c>
      <c r="F21" s="1212">
        <f t="shared" si="10"/>
        <v>-1394729.7694170631</v>
      </c>
      <c r="G21" s="1212">
        <f t="shared" si="10"/>
        <v>-1372431.1735002932</v>
      </c>
      <c r="H21" s="1212">
        <f t="shared" si="10"/>
        <v>-1372166.094364627</v>
      </c>
      <c r="I21" s="1212">
        <f t="shared" si="10"/>
        <v>-1366336.9765073925</v>
      </c>
      <c r="J21" s="1212">
        <f t="shared" si="10"/>
        <v>-1415767.7581980655</v>
      </c>
      <c r="K21" s="1212">
        <f t="shared" si="10"/>
        <v>-1438887.6579406383</v>
      </c>
      <c r="L21" s="1212">
        <f t="shared" si="10"/>
        <v>-1478583.9472006578</v>
      </c>
      <c r="M21" s="1212">
        <f t="shared" si="10"/>
        <v>-1480055.3963060188</v>
      </c>
      <c r="N21" s="1212">
        <f t="shared" si="10"/>
        <v>-1481629.5135940486</v>
      </c>
      <c r="O21" s="1212">
        <f t="shared" si="10"/>
        <v>-1482771.2867342839</v>
      </c>
      <c r="P21" s="1212">
        <f t="shared" si="10"/>
        <v>-1483563.3598745186</v>
      </c>
      <c r="Q21" s="1212">
        <f t="shared" si="10"/>
        <v>-1484705.1430147537</v>
      </c>
      <c r="R21" s="1212">
        <f t="shared" si="10"/>
        <v>-1485357.0427858538</v>
      </c>
      <c r="S21" s="1212">
        <f t="shared" si="10"/>
        <v>-1486352.6018946983</v>
      </c>
      <c r="T21" s="1212">
        <f t="shared" si="10"/>
        <v>-1486997.3752424647</v>
      </c>
      <c r="U21" s="1212">
        <f t="shared" si="10"/>
        <v>-1487742.1485902308</v>
      </c>
      <c r="V21" s="1212">
        <f t="shared" si="10"/>
        <v>-1488736.631937997</v>
      </c>
      <c r="W21" s="1212">
        <f t="shared" si="10"/>
        <v>-1489511.2535217113</v>
      </c>
      <c r="X21" s="1212">
        <f t="shared" si="10"/>
        <v>-1490443.1289274432</v>
      </c>
      <c r="Y21" s="1212">
        <f t="shared" si="10"/>
        <v>-1490993.7395864292</v>
      </c>
      <c r="Z21" s="1212">
        <f t="shared" si="10"/>
        <v>-1491894.0502454154</v>
      </c>
      <c r="AA21" s="1212">
        <f t="shared" si="10"/>
        <v>-1492444.6609044014</v>
      </c>
      <c r="AB21" s="1212">
        <f t="shared" si="10"/>
        <v>-1493557.2255295818</v>
      </c>
      <c r="AC21" s="1212">
        <f t="shared" si="10"/>
        <v>-1494512.5468811176</v>
      </c>
      <c r="AD21" s="1212">
        <f t="shared" si="10"/>
        <v>-1495451.4489069432</v>
      </c>
      <c r="AE21" s="1212">
        <f t="shared" si="10"/>
        <v>-1496066.5333433761</v>
      </c>
      <c r="AF21" s="1212">
        <f t="shared" si="10"/>
        <v>-1496787.3171003563</v>
      </c>
      <c r="AG21" s="1213">
        <f t="shared" si="9"/>
        <v>-43353470.252427243</v>
      </c>
    </row>
    <row r="22" spans="1:36" ht="20.25" customHeight="1">
      <c r="B22" s="477" t="s">
        <v>215</v>
      </c>
      <c r="C22" s="1214">
        <f>'R1 DRE'!C17</f>
        <v>-550936.15119900031</v>
      </c>
      <c r="D22" s="1214">
        <f>'R1 DRE'!D17</f>
        <v>-520720.01266633545</v>
      </c>
      <c r="E22" s="1214">
        <f>'R1 DRE'!E17</f>
        <v>-477268.91245393129</v>
      </c>
      <c r="F22" s="1214">
        <f>'R1 DRE'!F17</f>
        <v>-344396.7516912701</v>
      </c>
      <c r="G22" s="1214">
        <f>'R1 DRE'!G17</f>
        <v>-453766.16256899503</v>
      </c>
      <c r="H22" s="1214">
        <f>'R1 DRE'!H17</f>
        <v>-452504.37082250707</v>
      </c>
      <c r="I22" s="1214">
        <f>'R1 DRE'!I17</f>
        <v>-446472.24784560606</v>
      </c>
      <c r="J22" s="1214">
        <f>'R1 DRE'!J17</f>
        <v>-475713.8977125652</v>
      </c>
      <c r="K22" s="1214">
        <f>'R1 DRE'!K17</f>
        <v>-483412.18706838228</v>
      </c>
      <c r="L22" s="1222">
        <f>'R1 DRE'!L17-'E2 VALE PASSAROS'!B41</f>
        <v>-495792.3519993478</v>
      </c>
      <c r="M22" s="1222">
        <f>'R1 DRE'!M17-'E2 VALE PASSAROS'!C41</f>
        <v>-496676.29603734479</v>
      </c>
      <c r="N22" s="1222">
        <f>'R1 DRE'!N17-'E2 VALE PASSAROS'!D41</f>
        <v>-497505.4870620927</v>
      </c>
      <c r="O22" s="1222">
        <f>'R1 DRE'!O17-'E2 VALE PASSAROS'!E41</f>
        <v>-498327.27348001953</v>
      </c>
      <c r="P22" s="1222">
        <f>'R1 DRE'!P17-'E2 VALE PASSAROS'!F41</f>
        <v>-499031.47989794612</v>
      </c>
      <c r="Q22" s="1222">
        <f>'R1 DRE'!Q17-'E2 VALE PASSAROS'!G41</f>
        <v>-499853.27631587267</v>
      </c>
      <c r="R22" s="1222">
        <f>'R1 DRE'!R17-'E2 VALE PASSAROS'!H41</f>
        <v>-500432.11936735164</v>
      </c>
      <c r="S22" s="1222">
        <f>'R1 DRE'!S17-'E2 VALE PASSAROS'!B58</f>
        <v>-501123.86130256217</v>
      </c>
      <c r="T22" s="1222">
        <f>'R1 DRE'!T17-'E2 VALE PASSAROS'!C58</f>
        <v>-501697.09497506119</v>
      </c>
      <c r="U22" s="1222">
        <f>'R1 DRE'!U17-'E2 VALE PASSAROS'!D58</f>
        <v>-502270.32864756015</v>
      </c>
      <c r="V22" s="1222">
        <f>'R1 DRE'!V17-'E2 VALE PASSAROS'!E58</f>
        <v>-502961.15232005925</v>
      </c>
      <c r="W22" s="1222">
        <f>'R1 DRE'!W17-'E2 VALE PASSAROS'!F58</f>
        <v>-503650.46385540807</v>
      </c>
      <c r="X22" s="1222">
        <f>'R1 DRE'!X17-'E2 VALE PASSAROS'!G58</f>
        <v>-504284.51190462324</v>
      </c>
      <c r="Y22" s="1222">
        <f>'R1 DRE'!Y17-'E2 VALE PASSAROS'!H58</f>
        <v>-504774.03502573498</v>
      </c>
      <c r="Z22" s="1222">
        <f>'R1 DRE'!Z17-'E2 VALE PASSAROS'!B75</f>
        <v>-505381.13814684673</v>
      </c>
      <c r="AA22" s="1222">
        <f>'R1 DRE'!AA17-'E2 VALE PASSAROS'!C75</f>
        <v>-505870.66126795841</v>
      </c>
      <c r="AB22" s="1222">
        <f>'R1 DRE'!AB17-'E2 VALE PASSAROS'!D75</f>
        <v>-506667.50152948155</v>
      </c>
      <c r="AC22" s="1222">
        <f>'R1 DRE'!AC17-'E2 VALE PASSAROS'!E75</f>
        <v>-507322.52372358367</v>
      </c>
      <c r="AD22" s="1222">
        <f>'R1 DRE'!AD17-'E2 VALE PASSAROS'!F75</f>
        <v>-507963.99892254674</v>
      </c>
      <c r="AE22" s="1222">
        <f>'R1 DRE'!AE17-'E2 VALE PASSAROS'!G75</f>
        <v>-508510.93802233157</v>
      </c>
      <c r="AF22" s="1222">
        <f>'R1 DRE'!AF17-'E2 VALE PASSAROS'!H75</f>
        <v>-508957.17969936022</v>
      </c>
      <c r="AG22" s="1215">
        <f t="shared" si="9"/>
        <v>-14764244.367531687</v>
      </c>
      <c r="AI22" s="1216"/>
    </row>
    <row r="23" spans="1:36" ht="20.25" customHeight="1">
      <c r="B23" s="477" t="s">
        <v>216</v>
      </c>
      <c r="C23" s="1214">
        <f>-'16 R1 OPEX'!E5</f>
        <v>-17403.0139314964</v>
      </c>
      <c r="D23" s="1214">
        <f>-'16 R1 OPEX'!E6</f>
        <v>-16416.846413093408</v>
      </c>
      <c r="E23" s="1214">
        <f>-'16 R1 OPEX'!E7</f>
        <v>-15048.679461448424</v>
      </c>
      <c r="F23" s="1214">
        <f>-'16 R1 OPEX'!E8</f>
        <v>-14145.078118748261</v>
      </c>
      <c r="G23" s="1214">
        <f>-'16 R1 OPEX'!E9</f>
        <v>-14599.065768930037</v>
      </c>
      <c r="H23" s="1214">
        <f>-'16 R1 OPEX'!E10</f>
        <v>-15057.798117373999</v>
      </c>
      <c r="I23" s="1214">
        <f>-'16 R1 OPEX'!E11</f>
        <v>-15064.87973247327</v>
      </c>
      <c r="J23" s="1214">
        <f>-'16 R1 OPEX'!E12</f>
        <v>-15072.495622356846</v>
      </c>
      <c r="K23" s="1214">
        <f>-'16 R1 OPEX'!E13</f>
        <v>-15192.826253067265</v>
      </c>
      <c r="L23" s="1222">
        <f>'R1 DRE'!L18-'E2 VALE PASSAROS'!B42</f>
        <v>-15594.512255394671</v>
      </c>
      <c r="M23" s="1222">
        <f>'R1 DRE'!M18-'E2 VALE PASSAROS'!C42</f>
        <v>-15883.765172996442</v>
      </c>
      <c r="N23" s="1222">
        <f>'R1 DRE'!N18-'E2 VALE PASSAROS'!D42</f>
        <v>-16335.077646812109</v>
      </c>
      <c r="O23" s="1222">
        <f>'R1 DRE'!O18-'E2 VALE PASSAROS'!E42</f>
        <v>-16362.71888608165</v>
      </c>
      <c r="P23" s="1222">
        <f>'R1 DRE'!P18-'E2 VALE PASSAROS'!F42</f>
        <v>-16385.780125351204</v>
      </c>
      <c r="Q23" s="1222">
        <f>'R1 DRE'!Q18-'E2 VALE PASSAROS'!G42</f>
        <v>-16413.42136462075</v>
      </c>
      <c r="R23" s="1222">
        <f>'R1 DRE'!R18-'E2 VALE PASSAROS'!H42</f>
        <v>-16431.863434356837</v>
      </c>
      <c r="S23" s="1222">
        <f>'R1 DRE'!S18-'E2 VALE PASSAROS'!B59</f>
        <v>-16455.211737817845</v>
      </c>
      <c r="T23" s="1222">
        <f>'R1 DRE'!T18-'E2 VALE PASSAROS'!C59</f>
        <v>-16473.980041278865</v>
      </c>
      <c r="U23" s="1222">
        <f>'R1 DRE'!U18-'E2 VALE PASSAROS'!D59</f>
        <v>-16492.748344739874</v>
      </c>
      <c r="V23" s="1222">
        <f>'R1 DRE'!V18-'E2 VALE PASSAROS'!E59</f>
        <v>-16516.096648200888</v>
      </c>
      <c r="W23" s="1222">
        <f>'R1 DRE'!W18-'E2 VALE PASSAROS'!F59</f>
        <v>-16539.199313534355</v>
      </c>
      <c r="X23" s="1222">
        <f>'R1 DRE'!X18-'E2 VALE PASSAROS'!G59</f>
        <v>-16559.808143058079</v>
      </c>
      <c r="Y23" s="1222">
        <f>'R1 DRE'!Y18-'E2 VALE PASSAROS'!H59</f>
        <v>-16575.836972581808</v>
      </c>
      <c r="Z23" s="1222">
        <f>'R1 DRE'!Z18-'E2 VALE PASSAROS'!B76</f>
        <v>-16596.44580210554</v>
      </c>
      <c r="AA23" s="1222">
        <f>'R1 DRE'!AA18-'E2 VALE PASSAROS'!C76</f>
        <v>-16612.474631629262</v>
      </c>
      <c r="AB23" s="1222">
        <f>'R1 DRE'!AB18-'E2 VALE PASSAROS'!D76</f>
        <v>-16640.16729944375</v>
      </c>
      <c r="AC23" s="1222">
        <f>'R1 DRE'!AC18-'E2 VALE PASSAROS'!E76</f>
        <v>-16661.552920484839</v>
      </c>
      <c r="AD23" s="1222">
        <f>'R1 DRE'!AD18-'E2 VALE PASSAROS'!F76</f>
        <v>-16683.347657312654</v>
      </c>
      <c r="AE23" s="1222">
        <f>'R1 DRE'!AE18-'E2 VALE PASSAROS'!G76</f>
        <v>-16701.339179438917</v>
      </c>
      <c r="AF23" s="1222">
        <f>'R1 DRE'!AF18-'E2 VALE PASSAROS'!H76</f>
        <v>-16715.692066103114</v>
      </c>
      <c r="AG23" s="1215">
        <f t="shared" si="9"/>
        <v>-483631.72306233132</v>
      </c>
      <c r="AI23" s="1216"/>
    </row>
    <row r="24" spans="1:36" ht="20.25" customHeight="1">
      <c r="B24" s="477" t="s">
        <v>217</v>
      </c>
      <c r="C24" s="1214">
        <f>-'16 R1 OPEX'!C5</f>
        <v>-245634.84</v>
      </c>
      <c r="D24" s="1214">
        <f>-'16 R1 OPEX'!C6</f>
        <v>-450330.54</v>
      </c>
      <c r="E24" s="1214">
        <f>-'16 R1 OPEX'!C7</f>
        <v>-655026.24</v>
      </c>
      <c r="F24" s="1214">
        <f>-'16 R1 OPEX'!C8</f>
        <v>-736904.52</v>
      </c>
      <c r="G24" s="1214">
        <f>-'16 R1 OPEX'!C9</f>
        <v>-553251.9</v>
      </c>
      <c r="H24" s="1214">
        <f>-'16 R1 OPEX'!C10</f>
        <v>-553251.9</v>
      </c>
      <c r="I24" s="1214">
        <f>-'16 R1 OPEX'!C11</f>
        <v>-553251.9</v>
      </c>
      <c r="J24" s="1214">
        <f>-'16 R1 OPEX'!C12</f>
        <v>-553251.9</v>
      </c>
      <c r="K24" s="1214">
        <f>-'16 R1 OPEX'!C13</f>
        <v>-553251.9</v>
      </c>
      <c r="L24" s="1222">
        <f>'R1 DRE'!L19-'E2 VALE PASSAROS'!B43</f>
        <v>-560343.83000000007</v>
      </c>
      <c r="M24" s="1222">
        <f>'R1 DRE'!M19-'E2 VALE PASSAROS'!C43</f>
        <v>-560475.16</v>
      </c>
      <c r="N24" s="1222">
        <f>'R1 DRE'!N19-'E2 VALE PASSAROS'!D43</f>
        <v>-560606.49</v>
      </c>
      <c r="O24" s="1222">
        <f>'R1 DRE'!O19-'E2 VALE PASSAROS'!E43</f>
        <v>-560737.82000000007</v>
      </c>
      <c r="P24" s="1222">
        <f>'R1 DRE'!P19-'E2 VALE PASSAROS'!F43</f>
        <v>-560737.82000000007</v>
      </c>
      <c r="Q24" s="1222">
        <f>'R1 DRE'!Q19-'E2 VALE PASSAROS'!G43</f>
        <v>-560869.16</v>
      </c>
      <c r="R24" s="1222">
        <f>'R1 DRE'!R19-'E2 VALE PASSAROS'!H43</f>
        <v>-560869.16</v>
      </c>
      <c r="S24" s="1222">
        <f>'R1 DRE'!S19-'E2 VALE PASSAROS'!B60</f>
        <v>-561000.49</v>
      </c>
      <c r="T24" s="1222">
        <f>'R1 DRE'!T19-'E2 VALE PASSAROS'!C60</f>
        <v>-561000.49</v>
      </c>
      <c r="U24" s="1222">
        <f>'R1 DRE'!U19-'E2 VALE PASSAROS'!D60</f>
        <v>-561000.49</v>
      </c>
      <c r="V24" s="1222">
        <f>'R1 DRE'!V19-'E2 VALE PASSAROS'!E60</f>
        <v>-561131.82000000007</v>
      </c>
      <c r="W24" s="1222">
        <f>'R1 DRE'!W19-'E2 VALE PASSAROS'!F60</f>
        <v>-561131.82000000007</v>
      </c>
      <c r="X24" s="1222">
        <f>'R1 DRE'!X19-'E2 VALE PASSAROS'!G60</f>
        <v>-561263.15</v>
      </c>
      <c r="Y24" s="1222">
        <f>'R1 DRE'!Y19-'E2 VALE PASSAROS'!H60</f>
        <v>-561263.15</v>
      </c>
      <c r="Z24" s="1222">
        <f>'R1 DRE'!Z19-'E2 VALE PASSAROS'!B77</f>
        <v>-561394.48</v>
      </c>
      <c r="AA24" s="1222">
        <f>'R1 DRE'!AA19-'E2 VALE PASSAROS'!C77</f>
        <v>-561394.48</v>
      </c>
      <c r="AB24" s="1222">
        <f>'R1 DRE'!AB19-'E2 VALE PASSAROS'!D77</f>
        <v>-561525.82000000007</v>
      </c>
      <c r="AC24" s="1222">
        <f>'R1 DRE'!AC19-'E2 VALE PASSAROS'!E77</f>
        <v>-561657.15</v>
      </c>
      <c r="AD24" s="1222">
        <f>'R1 DRE'!AD19-'E2 VALE PASSAROS'!F77</f>
        <v>-561788.48</v>
      </c>
      <c r="AE24" s="1222">
        <f>'R1 DRE'!AE19-'E2 VALE PASSAROS'!G77</f>
        <v>-561788.48</v>
      </c>
      <c r="AF24" s="1222">
        <f>'R1 DRE'!AF19-'E2 VALE PASSAROS'!H77</f>
        <v>-561919.81000000006</v>
      </c>
      <c r="AG24" s="1215">
        <f t="shared" si="9"/>
        <v>-16638055.190000007</v>
      </c>
      <c r="AI24" s="1216"/>
    </row>
    <row r="25" spans="1:36" ht="20.25" customHeight="1">
      <c r="B25" s="477" t="s">
        <v>218</v>
      </c>
      <c r="C25" s="1214">
        <f>-'16 R1 OPEX'!F5</f>
        <v>-243745.17914122643</v>
      </c>
      <c r="D25" s="1214">
        <f>-'16 R1 OPEX'!F6</f>
        <v>-242859.11323662326</v>
      </c>
      <c r="E25" s="1214">
        <f>-'16 R1 OPEX'!F7</f>
        <v>-299604.94187372486</v>
      </c>
      <c r="F25" s="1214">
        <f>-'16 R1 OPEX'!F8</f>
        <v>-299283.41960704466</v>
      </c>
      <c r="G25" s="1214">
        <f>-'16 R1 OPEX'!F9</f>
        <v>-350814.0451623681</v>
      </c>
      <c r="H25" s="1214">
        <f>-'16 R1 OPEX'!F10</f>
        <v>-351352.02542474587</v>
      </c>
      <c r="I25" s="1214">
        <f>-'16 R1 OPEX'!F11</f>
        <v>-351547.9489293131</v>
      </c>
      <c r="J25" s="1214">
        <f>-'16 R1 OPEX'!F12</f>
        <v>-371729.4648631434</v>
      </c>
      <c r="K25" s="1214">
        <f>-'16 R1 OPEX'!F13</f>
        <v>-387030.74461918877</v>
      </c>
      <c r="L25" s="1222">
        <f>'R1 DRE'!L20-'E2 VALE PASSAROS'!B44</f>
        <v>-406853.25294591533</v>
      </c>
      <c r="M25" s="1222">
        <f>'R1 DRE'!M20-'E2 VALE PASSAROS'!C44</f>
        <v>-407020.17509567773</v>
      </c>
      <c r="N25" s="1222">
        <f>'R1 DRE'!N20-'E2 VALE PASSAROS'!D44</f>
        <v>-407182.45888514386</v>
      </c>
      <c r="O25" s="1222">
        <f>'R1 DRE'!O20-'E2 VALE PASSAROS'!E44</f>
        <v>-407343.47436818259</v>
      </c>
      <c r="P25" s="1222">
        <f>'R1 DRE'!P20-'E2 VALE PASSAROS'!F44</f>
        <v>-407408.27985122136</v>
      </c>
      <c r="Q25" s="1222">
        <f>'R1 DRE'!Q20-'E2 VALE PASSAROS'!G44</f>
        <v>-407569.28533426026</v>
      </c>
      <c r="R25" s="1222">
        <f>'R1 DRE'!R20-'E2 VALE PASSAROS'!H44</f>
        <v>-407623.8999841453</v>
      </c>
      <c r="S25" s="1222">
        <f>'R1 DRE'!S20-'E2 VALE PASSAROS'!B61</f>
        <v>-407773.03885431844</v>
      </c>
      <c r="T25" s="1222">
        <f>'R1 DRE'!T20-'E2 VALE PASSAROS'!C61</f>
        <v>-407825.81022612465</v>
      </c>
      <c r="U25" s="1222">
        <f>'R1 DRE'!U20-'E2 VALE PASSAROS'!D61</f>
        <v>-407978.58159793069</v>
      </c>
      <c r="V25" s="1222">
        <f>'R1 DRE'!V20-'E2 VALE PASSAROS'!E61</f>
        <v>-408127.56296973687</v>
      </c>
      <c r="W25" s="1222">
        <f>'R1 DRE'!W20-'E2 VALE PASSAROS'!F61</f>
        <v>-408189.770352769</v>
      </c>
      <c r="X25" s="1222">
        <f>'R1 DRE'!X20-'E2 VALE PASSAROS'!G61</f>
        <v>-408335.65887976176</v>
      </c>
      <c r="Y25" s="1222">
        <f>'R1 DRE'!Y20-'E2 VALE PASSAROS'!H61</f>
        <v>-408380.71758811251</v>
      </c>
      <c r="Z25" s="1222">
        <f>'R1 DRE'!Z20-'E2 VALE PASSAROS'!B78</f>
        <v>-408521.98629646335</v>
      </c>
      <c r="AA25" s="1222">
        <f>'R1 DRE'!AA20-'E2 VALE PASSAROS'!C78</f>
        <v>-408567.04500481393</v>
      </c>
      <c r="AB25" s="1222">
        <f>'R1 DRE'!AB20-'E2 VALE PASSAROS'!D78</f>
        <v>-408723.73670065647</v>
      </c>
      <c r="AC25" s="1222">
        <f>'R1 DRE'!AC20-'E2 VALE PASSAROS'!E78</f>
        <v>-408871.32023704908</v>
      </c>
      <c r="AD25" s="1222">
        <f>'R1 DRE'!AD20-'E2 VALE PASSAROS'!F78</f>
        <v>-409015.62232708366</v>
      </c>
      <c r="AE25" s="1222">
        <f>'R1 DRE'!AE20-'E2 VALE PASSAROS'!G78</f>
        <v>-409065.77614160575</v>
      </c>
      <c r="AF25" s="1222">
        <f>'R1 DRE'!AF20-'E2 VALE PASSAROS'!H78</f>
        <v>-409194.63533489278</v>
      </c>
      <c r="AG25" s="1215">
        <f t="shared" si="9"/>
        <v>-11467538.971833244</v>
      </c>
      <c r="AI25" s="1216"/>
    </row>
    <row r="26" spans="1:36" ht="20.25" customHeight="1">
      <c r="A26" s="89"/>
      <c r="B26" s="468" t="s">
        <v>219</v>
      </c>
      <c r="C26" s="1212">
        <f>-C17*0.01</f>
        <v>-18830.712192221039</v>
      </c>
      <c r="D26" s="1212">
        <f t="shared" ref="D26:F26" si="11">-D17*0.01</f>
        <v>-23487.364306745756</v>
      </c>
      <c r="E26" s="1212">
        <f t="shared" si="11"/>
        <v>-26078.466711710476</v>
      </c>
      <c r="F26" s="1212">
        <f t="shared" si="11"/>
        <v>-26731.766493209947</v>
      </c>
      <c r="G26" s="1212">
        <f>-G17*0.0075</f>
        <v>-20584.12188069594</v>
      </c>
      <c r="H26" s="1212">
        <f>-H17*0.005</f>
        <v>-15049.894913039027</v>
      </c>
      <c r="I26" s="1212">
        <f t="shared" ref="I26:AF26" si="12">-I17*0.005</f>
        <v>-16724.631693002015</v>
      </c>
      <c r="J26" s="1212">
        <f t="shared" si="12"/>
        <v>-18111.511932221227</v>
      </c>
      <c r="K26" s="1212">
        <f t="shared" si="12"/>
        <v>-18467.995931188256</v>
      </c>
      <c r="L26" s="1212">
        <f t="shared" si="12"/>
        <v>-19021.964945539454</v>
      </c>
      <c r="M26" s="1212">
        <f t="shared" si="12"/>
        <v>-19890.458364758826</v>
      </c>
      <c r="N26" s="1212">
        <f t="shared" si="12"/>
        <v>-21220.106166308597</v>
      </c>
      <c r="O26" s="1212">
        <f t="shared" si="12"/>
        <v>-21307.528562506388</v>
      </c>
      <c r="P26" s="1212">
        <f t="shared" si="12"/>
        <v>-21336.893630581293</v>
      </c>
      <c r="Q26" s="1212">
        <f t="shared" si="12"/>
        <v>-21369.749975993866</v>
      </c>
      <c r="R26" s="1212">
        <f t="shared" si="12"/>
        <v>-21397.784868650375</v>
      </c>
      <c r="S26" s="1212">
        <f t="shared" si="12"/>
        <v>-21282.619249303745</v>
      </c>
      <c r="T26" s="1212">
        <f t="shared" si="12"/>
        <v>-21307.978496835054</v>
      </c>
      <c r="U26" s="1212">
        <f t="shared" si="12"/>
        <v>-21333.337744366356</v>
      </c>
      <c r="V26" s="1212">
        <f t="shared" si="12"/>
        <v>-21356.300787516608</v>
      </c>
      <c r="W26" s="1212">
        <f t="shared" si="12"/>
        <v>-21383.916519056907</v>
      </c>
      <c r="X26" s="1212">
        <f t="shared" si="12"/>
        <v>-21411.811691341332</v>
      </c>
      <c r="Y26" s="1212">
        <f t="shared" si="12"/>
        <v>-21432.518250482604</v>
      </c>
      <c r="Z26" s="1212">
        <f t="shared" si="12"/>
        <v>-21452.805648507645</v>
      </c>
      <c r="AA26" s="1212">
        <f t="shared" si="12"/>
        <v>-21473.093046532693</v>
      </c>
      <c r="AB26" s="1212">
        <f t="shared" si="12"/>
        <v>-21498.172853319851</v>
      </c>
      <c r="AC26" s="1212">
        <f t="shared" si="12"/>
        <v>-21523.532100851149</v>
      </c>
      <c r="AD26" s="1212">
        <f t="shared" si="12"/>
        <v>-21546.495144001394</v>
      </c>
      <c r="AE26" s="1212">
        <f t="shared" si="12"/>
        <v>-21571.714671160636</v>
      </c>
      <c r="AF26" s="1212">
        <f t="shared" si="12"/>
        <v>-21589.885305548771</v>
      </c>
      <c r="AG26" s="1213">
        <f>SUM(C26:AF26)</f>
        <v>-629775.13407719752</v>
      </c>
      <c r="AI26" s="1218"/>
    </row>
    <row r="27" spans="1:36" s="89" customFormat="1" ht="20.25" customHeight="1">
      <c r="B27" s="468" t="s">
        <v>220</v>
      </c>
      <c r="C27" s="1212">
        <f>C17+C18+C21+C26</f>
        <v>344452.45949611819</v>
      </c>
      <c r="D27" s="1212">
        <f t="shared" ref="D27:AF27" si="13">D17+D18+D21+D26</f>
        <v>725356.85352382285</v>
      </c>
      <c r="E27" s="1212">
        <f t="shared" si="13"/>
        <v>761828.63043885329</v>
      </c>
      <c r="F27" s="1212">
        <f t="shared" si="13"/>
        <v>885889.84541072126</v>
      </c>
      <c r="G27" s="1212">
        <f t="shared" si="13"/>
        <v>987003.66554251267</v>
      </c>
      <c r="H27" s="1212">
        <f t="shared" si="13"/>
        <v>1236097.9959341185</v>
      </c>
      <c r="I27" s="1212">
        <f t="shared" si="13"/>
        <v>1593813.2030140865</v>
      </c>
      <c r="J27" s="1212">
        <f t="shared" si="13"/>
        <v>1818859.3253650826</v>
      </c>
      <c r="K27" s="1212">
        <f t="shared" si="13"/>
        <v>1861532.7897913547</v>
      </c>
      <c r="L27" s="1212">
        <f t="shared" si="13"/>
        <v>1939691.5744046983</v>
      </c>
      <c r="M27" s="1212">
        <f t="shared" si="13"/>
        <v>2110876.9682809878</v>
      </c>
      <c r="N27" s="1212">
        <f t="shared" si="13"/>
        <v>2373806.7127990136</v>
      </c>
      <c r="O27" s="1212">
        <f t="shared" si="13"/>
        <v>2389928.3039427386</v>
      </c>
      <c r="P27" s="1212">
        <f t="shared" si="13"/>
        <v>2394933.1630654968</v>
      </c>
      <c r="Q27" s="1212">
        <f t="shared" si="13"/>
        <v>2400195.9546883735</v>
      </c>
      <c r="R27" s="1212">
        <f t="shared" si="13"/>
        <v>2405056.956075571</v>
      </c>
      <c r="S27" s="1212">
        <f t="shared" si="13"/>
        <v>2381040.2627722714</v>
      </c>
      <c r="T27" s="1212">
        <f t="shared" si="13"/>
        <v>2385402.6476241178</v>
      </c>
      <c r="U27" s="1212">
        <f t="shared" si="13"/>
        <v>2389666.5536688664</v>
      </c>
      <c r="V27" s="1212">
        <f t="shared" si="13"/>
        <v>2393118.88521183</v>
      </c>
      <c r="W27" s="1212">
        <f t="shared" si="13"/>
        <v>2397807.423770613</v>
      </c>
      <c r="X27" s="1212">
        <f t="shared" si="13"/>
        <v>2402286.373433385</v>
      </c>
      <c r="Y27" s="1212">
        <f t="shared" si="13"/>
        <v>2405823.921612002</v>
      </c>
      <c r="Z27" s="1212">
        <f t="shared" si="13"/>
        <v>2408839.3328042594</v>
      </c>
      <c r="AA27" s="1212">
        <f t="shared" si="13"/>
        <v>2412291.1014979249</v>
      </c>
      <c r="AB27" s="1212">
        <f t="shared" si="13"/>
        <v>2415998.2982810684</v>
      </c>
      <c r="AC27" s="1212">
        <f t="shared" si="13"/>
        <v>2420002.4135607206</v>
      </c>
      <c r="AD27" s="1212">
        <f t="shared" si="13"/>
        <v>2423507.9248706792</v>
      </c>
      <c r="AE27" s="1212">
        <f t="shared" si="13"/>
        <v>2427866.5352967237</v>
      </c>
      <c r="AF27" s="1212">
        <f t="shared" si="13"/>
        <v>2430634.2787906122</v>
      </c>
      <c r="AG27" s="1213">
        <f t="shared" ref="AG27:AG33" si="14">SUM(C27:AF27)</f>
        <v>59923610.35496863</v>
      </c>
    </row>
    <row r="28" spans="1:36" s="1127" customFormat="1" ht="20.25" customHeight="1">
      <c r="B28" s="1128" t="s">
        <v>221</v>
      </c>
      <c r="C28" s="1211">
        <f t="array" ref="C28:AF28">-TRANSPOSE('E2 R2 DEPR'!AH10:AH39)</f>
        <v>0</v>
      </c>
      <c r="D28" s="1211">
        <v>-19422.835502517231</v>
      </c>
      <c r="E28" s="1211">
        <v>-31767.091368703179</v>
      </c>
      <c r="F28" s="1211">
        <v>-42964.776963557146</v>
      </c>
      <c r="G28" s="1211">
        <v>-96570.054420457061</v>
      </c>
      <c r="H28" s="1211">
        <v>-304965.65942868049</v>
      </c>
      <c r="I28" s="1211">
        <v>-335294.75656698272</v>
      </c>
      <c r="J28" s="1211">
        <v>-409777.60554813145</v>
      </c>
      <c r="K28" s="1211">
        <v>-463947.68852428254</v>
      </c>
      <c r="L28" s="1211">
        <v>-555574.63704043371</v>
      </c>
      <c r="M28" s="1211">
        <v>-639851.37971933221</v>
      </c>
      <c r="N28" s="1211">
        <v>-779509.5628573146</v>
      </c>
      <c r="O28" s="1211">
        <v>-910232.35205126985</v>
      </c>
      <c r="P28" s="1211">
        <v>-914255.10227198375</v>
      </c>
      <c r="Q28" s="1211">
        <v>-918529.27438149229</v>
      </c>
      <c r="R28" s="1211">
        <v>-923088.3912983014</v>
      </c>
      <c r="S28" s="1211">
        <v>-927595.44513773976</v>
      </c>
      <c r="T28" s="1211">
        <v>-932449.19542636571</v>
      </c>
      <c r="U28" s="1211">
        <v>-937707.42490571039</v>
      </c>
      <c r="V28" s="1211">
        <v>-943443.67524681368</v>
      </c>
      <c r="W28" s="1211">
        <v>-949753.55062202737</v>
      </c>
      <c r="X28" s="1211">
        <v>-957397.30103893147</v>
      </c>
      <c r="Y28" s="1211">
        <v>-964827.14525794855</v>
      </c>
      <c r="Z28" s="1211">
        <v>-973318.39579396811</v>
      </c>
      <c r="AA28" s="1211">
        <v>-983224.85475265759</v>
      </c>
      <c r="AB28" s="1211">
        <v>-995112.60550308495</v>
      </c>
      <c r="AC28" s="1211">
        <v>-1012311.0439411191</v>
      </c>
      <c r="AD28" s="1211">
        <v>-1032395.2951918313</v>
      </c>
      <c r="AE28" s="1211">
        <v>-1062928.6720678995</v>
      </c>
      <c r="AF28" s="1211">
        <v>-1184660.6738167689</v>
      </c>
      <c r="AG28" s="1217">
        <f t="shared" si="14"/>
        <v>-21202876.446646307</v>
      </c>
    </row>
    <row r="29" spans="1:36" ht="20.25" customHeight="1">
      <c r="B29" s="468" t="s">
        <v>222</v>
      </c>
      <c r="C29" s="1212">
        <f>C27+C28</f>
        <v>344452.45949611819</v>
      </c>
      <c r="D29" s="1212">
        <f t="shared" ref="D29:AF29" si="15">D27+D28</f>
        <v>705934.01802130567</v>
      </c>
      <c r="E29" s="1212">
        <f t="shared" si="15"/>
        <v>730061.53907015012</v>
      </c>
      <c r="F29" s="1212">
        <f t="shared" si="15"/>
        <v>842925.06844716414</v>
      </c>
      <c r="G29" s="1212">
        <f t="shared" si="15"/>
        <v>890433.61112205556</v>
      </c>
      <c r="H29" s="1212">
        <f t="shared" si="15"/>
        <v>931132.33650543797</v>
      </c>
      <c r="I29" s="1212">
        <f t="shared" si="15"/>
        <v>1258518.4464471037</v>
      </c>
      <c r="J29" s="1212">
        <f t="shared" si="15"/>
        <v>1409081.7198169511</v>
      </c>
      <c r="K29" s="1212">
        <f t="shared" si="15"/>
        <v>1397585.1012670721</v>
      </c>
      <c r="L29" s="1212">
        <f t="shared" si="15"/>
        <v>1384116.9373642646</v>
      </c>
      <c r="M29" s="1212">
        <f t="shared" si="15"/>
        <v>1471025.5885616555</v>
      </c>
      <c r="N29" s="1212">
        <f t="shared" si="15"/>
        <v>1594297.1499416991</v>
      </c>
      <c r="O29" s="1212">
        <f t="shared" si="15"/>
        <v>1479695.9518914688</v>
      </c>
      <c r="P29" s="1212">
        <f t="shared" si="15"/>
        <v>1480678.060793513</v>
      </c>
      <c r="Q29" s="1212">
        <f t="shared" si="15"/>
        <v>1481666.6803068812</v>
      </c>
      <c r="R29" s="1212">
        <f t="shared" si="15"/>
        <v>1481968.5647772695</v>
      </c>
      <c r="S29" s="1212">
        <f t="shared" si="15"/>
        <v>1453444.8176345318</v>
      </c>
      <c r="T29" s="1212">
        <f t="shared" si="15"/>
        <v>1452953.452197752</v>
      </c>
      <c r="U29" s="1212">
        <f t="shared" si="15"/>
        <v>1451959.128763156</v>
      </c>
      <c r="V29" s="1212">
        <f t="shared" si="15"/>
        <v>1449675.2099650162</v>
      </c>
      <c r="W29" s="1212">
        <f t="shared" si="15"/>
        <v>1448053.8731485857</v>
      </c>
      <c r="X29" s="1212">
        <f t="shared" si="15"/>
        <v>1444889.0723944535</v>
      </c>
      <c r="Y29" s="1212">
        <f t="shared" si="15"/>
        <v>1440996.7763540535</v>
      </c>
      <c r="Z29" s="1212">
        <f t="shared" si="15"/>
        <v>1435520.9370102913</v>
      </c>
      <c r="AA29" s="1212">
        <f t="shared" si="15"/>
        <v>1429066.2467452674</v>
      </c>
      <c r="AB29" s="1212">
        <f t="shared" si="15"/>
        <v>1420885.6927779834</v>
      </c>
      <c r="AC29" s="1212">
        <f t="shared" si="15"/>
        <v>1407691.3696196014</v>
      </c>
      <c r="AD29" s="1212">
        <f t="shared" si="15"/>
        <v>1391112.6296788477</v>
      </c>
      <c r="AE29" s="1212">
        <f t="shared" si="15"/>
        <v>1364937.8632288242</v>
      </c>
      <c r="AF29" s="1212">
        <f t="shared" si="15"/>
        <v>1245973.6049738433</v>
      </c>
      <c r="AG29" s="1213">
        <f t="shared" si="14"/>
        <v>38720733.908322327</v>
      </c>
    </row>
    <row r="30" spans="1:36" ht="20.25" customHeight="1">
      <c r="B30" s="468" t="s">
        <v>223</v>
      </c>
      <c r="C30" s="1212">
        <f>C31+C32</f>
        <v>0</v>
      </c>
      <c r="D30" s="1212">
        <f t="shared" ref="D30:AF30" si="16">D31+D32</f>
        <v>-216017.56612724392</v>
      </c>
      <c r="E30" s="1212">
        <f t="shared" si="16"/>
        <v>-224220.92328385104</v>
      </c>
      <c r="F30" s="1212">
        <f t="shared" si="16"/>
        <v>-262594.52327203582</v>
      </c>
      <c r="G30" s="1212">
        <f t="shared" si="16"/>
        <v>-278747.42778149887</v>
      </c>
      <c r="H30" s="1212">
        <f t="shared" si="16"/>
        <v>-292584.99441184889</v>
      </c>
      <c r="I30" s="1212">
        <f t="shared" si="16"/>
        <v>-403896.27179201529</v>
      </c>
      <c r="J30" s="1212">
        <f t="shared" si="16"/>
        <v>-455087.78473776334</v>
      </c>
      <c r="K30" s="1212">
        <f t="shared" si="16"/>
        <v>-451178.93443080451</v>
      </c>
      <c r="L30" s="1212">
        <f t="shared" si="16"/>
        <v>-446599.75870384998</v>
      </c>
      <c r="M30" s="1212">
        <f t="shared" si="16"/>
        <v>-476148.70011096285</v>
      </c>
      <c r="N30" s="1212">
        <f t="shared" si="16"/>
        <v>-518061.03098017769</v>
      </c>
      <c r="O30" s="1212">
        <f t="shared" si="16"/>
        <v>-479096.62364309939</v>
      </c>
      <c r="P30" s="1212">
        <f t="shared" si="16"/>
        <v>-479430.54066979443</v>
      </c>
      <c r="Q30" s="1212">
        <f t="shared" si="16"/>
        <v>-479766.6713043396</v>
      </c>
      <c r="R30" s="1212">
        <f t="shared" si="16"/>
        <v>-479869.31202427158</v>
      </c>
      <c r="S30" s="1212">
        <f t="shared" si="16"/>
        <v>-470171.23799574078</v>
      </c>
      <c r="T30" s="1212">
        <f t="shared" si="16"/>
        <v>-470004.17374723568</v>
      </c>
      <c r="U30" s="1212">
        <f t="shared" si="16"/>
        <v>-469666.10377947305</v>
      </c>
      <c r="V30" s="1212">
        <f t="shared" si="16"/>
        <v>-468889.57138810551</v>
      </c>
      <c r="W30" s="1212">
        <f t="shared" si="16"/>
        <v>-468338.31687051913</v>
      </c>
      <c r="X30" s="1212">
        <f t="shared" si="16"/>
        <v>-467262.28461411415</v>
      </c>
      <c r="Y30" s="1212">
        <f t="shared" si="16"/>
        <v>-465938.9039603782</v>
      </c>
      <c r="Z30" s="1212">
        <f t="shared" si="16"/>
        <v>-464077.11858349905</v>
      </c>
      <c r="AA30" s="1212">
        <f t="shared" si="16"/>
        <v>-461882.5238933909</v>
      </c>
      <c r="AB30" s="1212">
        <f t="shared" si="16"/>
        <v>-459101.13554451434</v>
      </c>
      <c r="AC30" s="1212">
        <f t="shared" si="16"/>
        <v>-454615.06567066448</v>
      </c>
      <c r="AD30" s="1212">
        <f t="shared" si="16"/>
        <v>-448978.29409080825</v>
      </c>
      <c r="AE30" s="1212">
        <f t="shared" si="16"/>
        <v>-440078.8734978002</v>
      </c>
      <c r="AF30" s="1212">
        <f t="shared" si="16"/>
        <v>-399631.02569110674</v>
      </c>
      <c r="AG30" s="1213">
        <f t="shared" si="14"/>
        <v>-12351935.69260091</v>
      </c>
    </row>
    <row r="31" spans="1:36" s="89" customFormat="1" ht="20.25" customHeight="1">
      <c r="B31" s="477" t="s">
        <v>224</v>
      </c>
      <c r="C31" s="1214"/>
      <c r="D31" s="1214">
        <f t="shared" ref="D31:AF31" si="17">-((D29*0.15)+((D29-240000)*0.1))</f>
        <v>-152483.50450532642</v>
      </c>
      <c r="E31" s="1214">
        <f t="shared" si="17"/>
        <v>-158515.38476753753</v>
      </c>
      <c r="F31" s="1214">
        <f t="shared" si="17"/>
        <v>-186731.26711179104</v>
      </c>
      <c r="G31" s="1214">
        <f t="shared" si="17"/>
        <v>-198608.40278051386</v>
      </c>
      <c r="H31" s="1214">
        <f t="shared" si="17"/>
        <v>-208783.08412635949</v>
      </c>
      <c r="I31" s="1214">
        <f t="shared" si="17"/>
        <v>-290629.61161177594</v>
      </c>
      <c r="J31" s="1214">
        <f t="shared" si="17"/>
        <v>-328270.42995423777</v>
      </c>
      <c r="K31" s="1214">
        <f t="shared" si="17"/>
        <v>-325396.27531676803</v>
      </c>
      <c r="L31" s="1214">
        <f t="shared" si="17"/>
        <v>-322029.23434106616</v>
      </c>
      <c r="M31" s="1214">
        <f t="shared" si="17"/>
        <v>-343756.39714041387</v>
      </c>
      <c r="N31" s="1214">
        <f t="shared" si="17"/>
        <v>-374574.28748542478</v>
      </c>
      <c r="O31" s="1214">
        <f t="shared" si="17"/>
        <v>-345923.98797286721</v>
      </c>
      <c r="P31" s="1214">
        <f t="shared" si="17"/>
        <v>-346169.51519837824</v>
      </c>
      <c r="Q31" s="1214">
        <f t="shared" si="17"/>
        <v>-346416.6700767203</v>
      </c>
      <c r="R31" s="1214">
        <f t="shared" si="17"/>
        <v>-346492.14119431737</v>
      </c>
      <c r="S31" s="1214">
        <f t="shared" si="17"/>
        <v>-339361.20440863294</v>
      </c>
      <c r="T31" s="1214">
        <f t="shared" si="17"/>
        <v>-339238.36304943799</v>
      </c>
      <c r="U31" s="1214">
        <f t="shared" si="17"/>
        <v>-338989.782190789</v>
      </c>
      <c r="V31" s="1214">
        <f t="shared" si="17"/>
        <v>-338418.80249125406</v>
      </c>
      <c r="W31" s="1214">
        <f t="shared" si="17"/>
        <v>-338013.46828714642</v>
      </c>
      <c r="X31" s="1214">
        <f t="shared" si="17"/>
        <v>-337222.26809861336</v>
      </c>
      <c r="Y31" s="1214">
        <f t="shared" si="17"/>
        <v>-336249.19408851338</v>
      </c>
      <c r="Z31" s="1214">
        <f t="shared" si="17"/>
        <v>-334880.23425257282</v>
      </c>
      <c r="AA31" s="1214">
        <f t="shared" si="17"/>
        <v>-333266.56168631685</v>
      </c>
      <c r="AB31" s="1214">
        <f t="shared" si="17"/>
        <v>-331221.42319449584</v>
      </c>
      <c r="AC31" s="1214">
        <f t="shared" si="17"/>
        <v>-327922.84240490035</v>
      </c>
      <c r="AD31" s="1214">
        <f t="shared" si="17"/>
        <v>-323778.15741971193</v>
      </c>
      <c r="AE31" s="1214">
        <f t="shared" si="17"/>
        <v>-317234.46580720606</v>
      </c>
      <c r="AF31" s="1214">
        <f t="shared" si="17"/>
        <v>-287493.40124346083</v>
      </c>
      <c r="AG31" s="1213">
        <f t="shared" si="14"/>
        <v>-8898070.3622065522</v>
      </c>
    </row>
    <row r="32" spans="1:36" s="89" customFormat="1" ht="20.25" customHeight="1">
      <c r="B32" s="477" t="s">
        <v>225</v>
      </c>
      <c r="C32" s="1214"/>
      <c r="D32" s="1214">
        <f t="shared" ref="D32:AF32" si="18">-(D29*0.09)</f>
        <v>-63534.061621917506</v>
      </c>
      <c r="E32" s="1214">
        <f t="shared" si="18"/>
        <v>-65705.538516313507</v>
      </c>
      <c r="F32" s="1214">
        <f t="shared" si="18"/>
        <v>-75863.256160244768</v>
      </c>
      <c r="G32" s="1214">
        <f t="shared" si="18"/>
        <v>-80139.025000984999</v>
      </c>
      <c r="H32" s="1214">
        <f t="shared" si="18"/>
        <v>-83801.910285489415</v>
      </c>
      <c r="I32" s="1214">
        <f t="shared" si="18"/>
        <v>-113266.66018023933</v>
      </c>
      <c r="J32" s="1214">
        <f t="shared" si="18"/>
        <v>-126817.35478352559</v>
      </c>
      <c r="K32" s="1214">
        <f t="shared" si="18"/>
        <v>-125782.65911403649</v>
      </c>
      <c r="L32" s="1214">
        <f t="shared" si="18"/>
        <v>-124570.52436278381</v>
      </c>
      <c r="M32" s="1214">
        <f t="shared" si="18"/>
        <v>-132392.30297054898</v>
      </c>
      <c r="N32" s="1214">
        <f t="shared" si="18"/>
        <v>-143486.74349475291</v>
      </c>
      <c r="O32" s="1214">
        <f t="shared" si="18"/>
        <v>-133172.63567023218</v>
      </c>
      <c r="P32" s="1214">
        <f t="shared" si="18"/>
        <v>-133261.02547141616</v>
      </c>
      <c r="Q32" s="1214">
        <f t="shared" si="18"/>
        <v>-133350.0012276193</v>
      </c>
      <c r="R32" s="1214">
        <f t="shared" si="18"/>
        <v>-133377.17082995424</v>
      </c>
      <c r="S32" s="1214">
        <f t="shared" si="18"/>
        <v>-130810.03358710786</v>
      </c>
      <c r="T32" s="1214">
        <f t="shared" si="18"/>
        <v>-130765.81069779767</v>
      </c>
      <c r="U32" s="1214">
        <f t="shared" si="18"/>
        <v>-130676.32158868403</v>
      </c>
      <c r="V32" s="1214">
        <f t="shared" si="18"/>
        <v>-130470.76889685146</v>
      </c>
      <c r="W32" s="1214">
        <f t="shared" si="18"/>
        <v>-130324.8485833727</v>
      </c>
      <c r="X32" s="1214">
        <f t="shared" si="18"/>
        <v>-130040.0165155008</v>
      </c>
      <c r="Y32" s="1214">
        <f t="shared" si="18"/>
        <v>-129689.70987186482</v>
      </c>
      <c r="Z32" s="1214">
        <f t="shared" si="18"/>
        <v>-129196.88433092622</v>
      </c>
      <c r="AA32" s="1214">
        <f t="shared" si="18"/>
        <v>-128615.96220707406</v>
      </c>
      <c r="AB32" s="1214">
        <f t="shared" si="18"/>
        <v>-127879.7123500185</v>
      </c>
      <c r="AC32" s="1214">
        <f t="shared" si="18"/>
        <v>-126692.22326576413</v>
      </c>
      <c r="AD32" s="1214">
        <f t="shared" si="18"/>
        <v>-125200.13667109629</v>
      </c>
      <c r="AE32" s="1214">
        <f t="shared" si="18"/>
        <v>-122844.40769059418</v>
      </c>
      <c r="AF32" s="1214">
        <f t="shared" si="18"/>
        <v>-112137.6244476459</v>
      </c>
      <c r="AG32" s="1213">
        <f t="shared" si="14"/>
        <v>-3453865.3303943579</v>
      </c>
    </row>
    <row r="33" spans="2:34" s="89" customFormat="1" ht="20.25" customHeight="1" thickBot="1">
      <c r="B33" s="471" t="s">
        <v>226</v>
      </c>
      <c r="C33" s="1219">
        <f>C29+C30</f>
        <v>344452.45949611819</v>
      </c>
      <c r="D33" s="1219">
        <f t="shared" ref="D33:AF33" si="19">D29+D30</f>
        <v>489916.45189406176</v>
      </c>
      <c r="E33" s="1219">
        <f t="shared" si="19"/>
        <v>505840.61578629911</v>
      </c>
      <c r="F33" s="1219">
        <f t="shared" si="19"/>
        <v>580330.54517512838</v>
      </c>
      <c r="G33" s="1219">
        <f t="shared" si="19"/>
        <v>611686.18334055669</v>
      </c>
      <c r="H33" s="1219">
        <f t="shared" si="19"/>
        <v>638547.34209358902</v>
      </c>
      <c r="I33" s="1219">
        <f t="shared" si="19"/>
        <v>854622.17465508846</v>
      </c>
      <c r="J33" s="1219">
        <f t="shared" si="19"/>
        <v>953993.93507918774</v>
      </c>
      <c r="K33" s="1219">
        <f t="shared" si="19"/>
        <v>946406.16683626757</v>
      </c>
      <c r="L33" s="1219">
        <f t="shared" si="19"/>
        <v>937517.17866041465</v>
      </c>
      <c r="M33" s="1219">
        <f t="shared" si="19"/>
        <v>994876.88845069264</v>
      </c>
      <c r="N33" s="1219">
        <f t="shared" si="19"/>
        <v>1076236.1189615214</v>
      </c>
      <c r="O33" s="1219">
        <f t="shared" si="19"/>
        <v>1000599.3282483695</v>
      </c>
      <c r="P33" s="1219">
        <f t="shared" si="19"/>
        <v>1001247.5201237185</v>
      </c>
      <c r="Q33" s="1219">
        <f t="shared" si="19"/>
        <v>1001900.0090025417</v>
      </c>
      <c r="R33" s="1219">
        <f t="shared" si="19"/>
        <v>1002099.2527529979</v>
      </c>
      <c r="S33" s="1219">
        <f t="shared" si="19"/>
        <v>983273.57963879104</v>
      </c>
      <c r="T33" s="1219">
        <f t="shared" si="19"/>
        <v>982949.27845051629</v>
      </c>
      <c r="U33" s="1219">
        <f t="shared" si="19"/>
        <v>982293.0249836829</v>
      </c>
      <c r="V33" s="1219">
        <f t="shared" si="19"/>
        <v>980785.63857691071</v>
      </c>
      <c r="W33" s="1219">
        <f t="shared" si="19"/>
        <v>979715.55627806648</v>
      </c>
      <c r="X33" s="1219">
        <f t="shared" si="19"/>
        <v>977626.78778033936</v>
      </c>
      <c r="Y33" s="1219">
        <f t="shared" si="19"/>
        <v>975057.87239367538</v>
      </c>
      <c r="Z33" s="1219">
        <f t="shared" si="19"/>
        <v>971443.81842679228</v>
      </c>
      <c r="AA33" s="1219">
        <f t="shared" si="19"/>
        <v>967183.72285187652</v>
      </c>
      <c r="AB33" s="1219">
        <f t="shared" si="19"/>
        <v>961784.5572334691</v>
      </c>
      <c r="AC33" s="1219">
        <f t="shared" si="19"/>
        <v>953076.30394893698</v>
      </c>
      <c r="AD33" s="1219">
        <f t="shared" si="19"/>
        <v>942134.33558803948</v>
      </c>
      <c r="AE33" s="1219">
        <f t="shared" si="19"/>
        <v>924858.98973102402</v>
      </c>
      <c r="AF33" s="1219">
        <f t="shared" si="19"/>
        <v>846342.57928273664</v>
      </c>
      <c r="AG33" s="1220">
        <f t="shared" si="14"/>
        <v>26368798.21572141</v>
      </c>
      <c r="AH33" s="136"/>
    </row>
    <row r="35" spans="2:34" s="135" customFormat="1">
      <c r="C35" s="135">
        <f>C29*0.15</f>
        <v>51667.868924417729</v>
      </c>
      <c r="D35" s="135">
        <f t="shared" ref="D35:AF35" si="20">D29*0.15</f>
        <v>105890.10270319585</v>
      </c>
      <c r="E35" s="135">
        <f t="shared" si="20"/>
        <v>109509.23086052251</v>
      </c>
      <c r="F35" s="135">
        <f t="shared" si="20"/>
        <v>126438.76026707461</v>
      </c>
      <c r="G35" s="135">
        <f t="shared" si="20"/>
        <v>133565.04166830832</v>
      </c>
      <c r="H35" s="135">
        <f t="shared" si="20"/>
        <v>139669.85047581568</v>
      </c>
      <c r="I35" s="135">
        <f t="shared" si="20"/>
        <v>188777.76696706555</v>
      </c>
      <c r="J35" s="135">
        <f t="shared" si="20"/>
        <v>211362.25797254266</v>
      </c>
      <c r="K35" s="135">
        <f t="shared" si="20"/>
        <v>209637.7651900608</v>
      </c>
      <c r="L35" s="135">
        <f t="shared" si="20"/>
        <v>207617.54060463968</v>
      </c>
      <c r="M35" s="135">
        <f t="shared" si="20"/>
        <v>220653.83828424831</v>
      </c>
      <c r="N35" s="135">
        <f t="shared" si="20"/>
        <v>239144.57249125486</v>
      </c>
      <c r="O35" s="135">
        <f t="shared" si="20"/>
        <v>221954.39278372031</v>
      </c>
      <c r="P35" s="135">
        <f t="shared" si="20"/>
        <v>222101.70911902693</v>
      </c>
      <c r="Q35" s="135">
        <f t="shared" si="20"/>
        <v>222250.00204603217</v>
      </c>
      <c r="R35" s="135">
        <f t="shared" si="20"/>
        <v>222295.28471659042</v>
      </c>
      <c r="S35" s="135">
        <f t="shared" si="20"/>
        <v>218016.72264517975</v>
      </c>
      <c r="T35" s="135">
        <f t="shared" si="20"/>
        <v>217943.0178296628</v>
      </c>
      <c r="U35" s="135">
        <f t="shared" si="20"/>
        <v>217793.86931447338</v>
      </c>
      <c r="V35" s="135">
        <f t="shared" si="20"/>
        <v>217451.28149475242</v>
      </c>
      <c r="W35" s="135">
        <f t="shared" si="20"/>
        <v>217208.08097228783</v>
      </c>
      <c r="X35" s="135">
        <f t="shared" si="20"/>
        <v>216733.36085916802</v>
      </c>
      <c r="Y35" s="135">
        <f t="shared" si="20"/>
        <v>216149.51645310802</v>
      </c>
      <c r="Z35" s="135">
        <f t="shared" si="20"/>
        <v>215328.14055154368</v>
      </c>
      <c r="AA35" s="135">
        <f t="shared" si="20"/>
        <v>214359.93701179011</v>
      </c>
      <c r="AB35" s="135">
        <f t="shared" si="20"/>
        <v>213132.8539166975</v>
      </c>
      <c r="AC35" s="135">
        <f t="shared" si="20"/>
        <v>211153.70544294021</v>
      </c>
      <c r="AD35" s="135">
        <f t="shared" si="20"/>
        <v>208666.89445182716</v>
      </c>
      <c r="AE35" s="135">
        <f t="shared" si="20"/>
        <v>204740.67948432363</v>
      </c>
      <c r="AF35" s="135">
        <f t="shared" si="20"/>
        <v>186896.0407460765</v>
      </c>
    </row>
    <row r="36" spans="2:34" s="135" customFormat="1">
      <c r="C36" s="135">
        <f>(C29-240000)*0.1</f>
        <v>10445.245949611819</v>
      </c>
      <c r="D36" s="135">
        <f t="shared" ref="D36:AF36" si="21">(D29-240000)*0.1</f>
        <v>46593.401802130567</v>
      </c>
      <c r="E36" s="135">
        <f t="shared" si="21"/>
        <v>49006.153907015017</v>
      </c>
      <c r="F36" s="135">
        <f t="shared" si="21"/>
        <v>60292.506844716416</v>
      </c>
      <c r="G36" s="135">
        <f t="shared" si="21"/>
        <v>65043.361112205559</v>
      </c>
      <c r="H36" s="135">
        <f t="shared" si="21"/>
        <v>69113.2336505438</v>
      </c>
      <c r="I36" s="135">
        <f t="shared" si="21"/>
        <v>101851.84464471038</v>
      </c>
      <c r="J36" s="135">
        <f t="shared" si="21"/>
        <v>116908.17198169511</v>
      </c>
      <c r="K36" s="135">
        <f t="shared" si="21"/>
        <v>115758.51012670722</v>
      </c>
      <c r="L36" s="135">
        <f t="shared" si="21"/>
        <v>114411.69373642647</v>
      </c>
      <c r="M36" s="135">
        <f t="shared" si="21"/>
        <v>123102.55885616556</v>
      </c>
      <c r="N36" s="135">
        <f t="shared" si="21"/>
        <v>135429.71499416992</v>
      </c>
      <c r="O36" s="135">
        <f t="shared" si="21"/>
        <v>123969.59518914689</v>
      </c>
      <c r="P36" s="135">
        <f t="shared" si="21"/>
        <v>124067.8060793513</v>
      </c>
      <c r="Q36" s="135">
        <f t="shared" si="21"/>
        <v>124166.66803068813</v>
      </c>
      <c r="R36" s="135">
        <f t="shared" si="21"/>
        <v>124196.85647772695</v>
      </c>
      <c r="S36" s="135">
        <f t="shared" si="21"/>
        <v>121344.48176345318</v>
      </c>
      <c r="T36" s="135">
        <f t="shared" si="21"/>
        <v>121295.3452197752</v>
      </c>
      <c r="U36" s="135">
        <f t="shared" si="21"/>
        <v>121195.9128763156</v>
      </c>
      <c r="V36" s="135">
        <f t="shared" si="21"/>
        <v>120967.52099650163</v>
      </c>
      <c r="W36" s="135">
        <f t="shared" si="21"/>
        <v>120805.38731485857</v>
      </c>
      <c r="X36" s="135">
        <f t="shared" si="21"/>
        <v>120488.90723944535</v>
      </c>
      <c r="Y36" s="135">
        <f t="shared" si="21"/>
        <v>120099.67763540536</v>
      </c>
      <c r="Z36" s="135">
        <f t="shared" si="21"/>
        <v>119552.09370102914</v>
      </c>
      <c r="AA36" s="135">
        <f t="shared" si="21"/>
        <v>118906.62467452674</v>
      </c>
      <c r="AB36" s="135">
        <f t="shared" si="21"/>
        <v>118088.56927779835</v>
      </c>
      <c r="AC36" s="135">
        <f t="shared" si="21"/>
        <v>116769.13696196015</v>
      </c>
      <c r="AD36" s="135">
        <f t="shared" si="21"/>
        <v>115111.26296788477</v>
      </c>
      <c r="AE36" s="135">
        <f t="shared" si="21"/>
        <v>112493.78632288243</v>
      </c>
      <c r="AF36" s="135">
        <f t="shared" si="21"/>
        <v>100597.36049738433</v>
      </c>
    </row>
    <row r="37" spans="2:34" s="135" customFormat="1">
      <c r="C37" s="135">
        <f>C35+C36</f>
        <v>62113.114874029547</v>
      </c>
      <c r="D37" s="135">
        <f t="shared" ref="D37:AF37" si="22">D35+D36</f>
        <v>152483.50450532642</v>
      </c>
      <c r="E37" s="135">
        <f t="shared" si="22"/>
        <v>158515.38476753753</v>
      </c>
      <c r="F37" s="135">
        <f t="shared" si="22"/>
        <v>186731.26711179104</v>
      </c>
      <c r="G37" s="135">
        <f t="shared" si="22"/>
        <v>198608.40278051386</v>
      </c>
      <c r="H37" s="135">
        <f t="shared" si="22"/>
        <v>208783.08412635949</v>
      </c>
      <c r="I37" s="135">
        <f t="shared" si="22"/>
        <v>290629.61161177594</v>
      </c>
      <c r="J37" s="135">
        <f t="shared" si="22"/>
        <v>328270.42995423777</v>
      </c>
      <c r="K37" s="135">
        <f t="shared" si="22"/>
        <v>325396.27531676803</v>
      </c>
      <c r="L37" s="135">
        <f t="shared" si="22"/>
        <v>322029.23434106616</v>
      </c>
      <c r="M37" s="135">
        <f t="shared" si="22"/>
        <v>343756.39714041387</v>
      </c>
      <c r="N37" s="135">
        <f t="shared" si="22"/>
        <v>374574.28748542478</v>
      </c>
      <c r="O37" s="135">
        <f t="shared" si="22"/>
        <v>345923.98797286721</v>
      </c>
      <c r="P37" s="135">
        <f t="shared" si="22"/>
        <v>346169.51519837824</v>
      </c>
      <c r="Q37" s="135">
        <f t="shared" si="22"/>
        <v>346416.6700767203</v>
      </c>
      <c r="R37" s="135">
        <f t="shared" si="22"/>
        <v>346492.14119431737</v>
      </c>
      <c r="S37" s="135">
        <f t="shared" si="22"/>
        <v>339361.20440863294</v>
      </c>
      <c r="T37" s="135">
        <f t="shared" si="22"/>
        <v>339238.36304943799</v>
      </c>
      <c r="U37" s="135">
        <f t="shared" si="22"/>
        <v>338989.782190789</v>
      </c>
      <c r="V37" s="135">
        <f t="shared" si="22"/>
        <v>338418.80249125406</v>
      </c>
      <c r="W37" s="135">
        <f t="shared" si="22"/>
        <v>338013.46828714642</v>
      </c>
      <c r="X37" s="135">
        <f t="shared" si="22"/>
        <v>337222.26809861336</v>
      </c>
      <c r="Y37" s="135">
        <f t="shared" si="22"/>
        <v>336249.19408851338</v>
      </c>
      <c r="Z37" s="135">
        <f t="shared" si="22"/>
        <v>334880.23425257282</v>
      </c>
      <c r="AA37" s="135">
        <f t="shared" si="22"/>
        <v>333266.56168631685</v>
      </c>
      <c r="AB37" s="135">
        <f t="shared" si="22"/>
        <v>331221.42319449584</v>
      </c>
      <c r="AC37" s="135">
        <f t="shared" si="22"/>
        <v>327922.84240490035</v>
      </c>
      <c r="AD37" s="135">
        <f t="shared" si="22"/>
        <v>323778.15741971193</v>
      </c>
      <c r="AE37" s="135">
        <f t="shared" si="22"/>
        <v>317234.46580720606</v>
      </c>
      <c r="AF37" s="135">
        <f t="shared" si="22"/>
        <v>287493.40124346083</v>
      </c>
    </row>
    <row r="39" spans="2:34">
      <c r="B39" s="41" t="str">
        <f>IF(SUM(C39:AF39)&gt;=1,"CHECK","OK")</f>
        <v>OK</v>
      </c>
      <c r="C39" s="41">
        <f t="shared" ref="C39:AF39" si="23">IF(C29&lt;=240000,1,0)</f>
        <v>0</v>
      </c>
      <c r="D39" s="41">
        <f t="shared" si="23"/>
        <v>0</v>
      </c>
      <c r="E39" s="41">
        <f t="shared" si="23"/>
        <v>0</v>
      </c>
      <c r="F39" s="41">
        <f t="shared" si="23"/>
        <v>0</v>
      </c>
      <c r="G39" s="41">
        <f t="shared" si="23"/>
        <v>0</v>
      </c>
      <c r="H39" s="41">
        <f t="shared" si="23"/>
        <v>0</v>
      </c>
      <c r="I39" s="41">
        <f t="shared" si="23"/>
        <v>0</v>
      </c>
      <c r="J39" s="41">
        <f t="shared" si="23"/>
        <v>0</v>
      </c>
      <c r="K39" s="41">
        <f t="shared" si="23"/>
        <v>0</v>
      </c>
      <c r="L39" s="41">
        <f t="shared" si="23"/>
        <v>0</v>
      </c>
      <c r="M39" s="41">
        <f t="shared" si="23"/>
        <v>0</v>
      </c>
      <c r="N39" s="41">
        <f t="shared" si="23"/>
        <v>0</v>
      </c>
      <c r="O39" s="41">
        <f t="shared" si="23"/>
        <v>0</v>
      </c>
      <c r="P39" s="41">
        <f t="shared" si="23"/>
        <v>0</v>
      </c>
      <c r="Q39" s="41">
        <f t="shared" si="23"/>
        <v>0</v>
      </c>
      <c r="R39" s="41">
        <f t="shared" si="23"/>
        <v>0</v>
      </c>
      <c r="S39" s="41">
        <f t="shared" si="23"/>
        <v>0</v>
      </c>
      <c r="T39" s="41">
        <f t="shared" si="23"/>
        <v>0</v>
      </c>
      <c r="U39" s="41">
        <f t="shared" si="23"/>
        <v>0</v>
      </c>
      <c r="V39" s="41">
        <f t="shared" si="23"/>
        <v>0</v>
      </c>
      <c r="W39" s="41">
        <f t="shared" si="23"/>
        <v>0</v>
      </c>
      <c r="X39" s="41">
        <f t="shared" si="23"/>
        <v>0</v>
      </c>
      <c r="Y39" s="41">
        <f t="shared" si="23"/>
        <v>0</v>
      </c>
      <c r="Z39" s="41">
        <f t="shared" si="23"/>
        <v>0</v>
      </c>
      <c r="AA39" s="41">
        <f t="shared" si="23"/>
        <v>0</v>
      </c>
      <c r="AB39" s="41">
        <f t="shared" si="23"/>
        <v>0</v>
      </c>
      <c r="AC39" s="41">
        <f t="shared" si="23"/>
        <v>0</v>
      </c>
      <c r="AD39" s="41">
        <f t="shared" si="23"/>
        <v>0</v>
      </c>
      <c r="AE39" s="41">
        <f t="shared" si="23"/>
        <v>0</v>
      </c>
      <c r="AF39" s="41">
        <f t="shared" si="23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572"/>
      <c r="AD42" s="1572"/>
      <c r="AE42" s="1572"/>
      <c r="AF42" s="1572"/>
      <c r="AG42" s="157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5" t="s">
        <v>173</v>
      </c>
      <c r="D44" s="1225" t="s">
        <v>174</v>
      </c>
      <c r="E44" s="1225" t="s">
        <v>259</v>
      </c>
      <c r="F44" s="1225" t="s">
        <v>175</v>
      </c>
      <c r="G44" s="1225" t="s">
        <v>176</v>
      </c>
      <c r="H44" s="1225" t="s">
        <v>177</v>
      </c>
      <c r="I44" s="1225" t="s">
        <v>178</v>
      </c>
      <c r="J44" s="1225" t="s">
        <v>179</v>
      </c>
      <c r="K44" s="1225" t="s">
        <v>180</v>
      </c>
      <c r="L44" s="1225" t="s">
        <v>181</v>
      </c>
      <c r="M44" s="1225" t="s">
        <v>182</v>
      </c>
      <c r="N44" s="1225" t="s">
        <v>183</v>
      </c>
      <c r="O44" s="1225" t="s">
        <v>184</v>
      </c>
      <c r="P44" s="1225" t="s">
        <v>185</v>
      </c>
      <c r="Q44" s="1225" t="s">
        <v>186</v>
      </c>
      <c r="R44" s="1225" t="s">
        <v>187</v>
      </c>
      <c r="S44" s="1225" t="s">
        <v>188</v>
      </c>
      <c r="T44" s="1225" t="s">
        <v>189</v>
      </c>
      <c r="U44" s="1225" t="s">
        <v>190</v>
      </c>
      <c r="V44" s="1225" t="s">
        <v>191</v>
      </c>
      <c r="W44" s="1225" t="s">
        <v>192</v>
      </c>
      <c r="X44" s="1225" t="s">
        <v>193</v>
      </c>
      <c r="Y44" s="1225" t="s">
        <v>194</v>
      </c>
      <c r="Z44" s="1225" t="s">
        <v>195</v>
      </c>
      <c r="AA44" s="1225" t="s">
        <v>196</v>
      </c>
      <c r="AB44" s="1225" t="s">
        <v>197</v>
      </c>
      <c r="AC44" s="1225" t="s">
        <v>198</v>
      </c>
      <c r="AD44" s="1225" t="s">
        <v>199</v>
      </c>
      <c r="AE44" s="1225" t="s">
        <v>200</v>
      </c>
      <c r="AF44" s="1226" t="s">
        <v>201</v>
      </c>
      <c r="AG44" s="413" t="s">
        <v>0</v>
      </c>
    </row>
    <row r="45" spans="2:34" s="205" customFormat="1" ht="21" customHeight="1">
      <c r="B45" s="475" t="s">
        <v>227</v>
      </c>
      <c r="C45" s="1227">
        <f>C27</f>
        <v>344452.45949611819</v>
      </c>
      <c r="D45" s="1227">
        <f t="shared" ref="D45:AF45" si="24">D27</f>
        <v>725356.85352382285</v>
      </c>
      <c r="E45" s="1227">
        <f t="shared" si="24"/>
        <v>761828.63043885329</v>
      </c>
      <c r="F45" s="1227">
        <f t="shared" si="24"/>
        <v>885889.84541072126</v>
      </c>
      <c r="G45" s="1227">
        <f t="shared" si="24"/>
        <v>987003.66554251267</v>
      </c>
      <c r="H45" s="1227">
        <f t="shared" si="24"/>
        <v>1236097.9959341185</v>
      </c>
      <c r="I45" s="1227">
        <f t="shared" si="24"/>
        <v>1593813.2030140865</v>
      </c>
      <c r="J45" s="1227">
        <f t="shared" si="24"/>
        <v>1818859.3253650826</v>
      </c>
      <c r="K45" s="1227">
        <f t="shared" si="24"/>
        <v>1861532.7897913547</v>
      </c>
      <c r="L45" s="1227">
        <f t="shared" si="24"/>
        <v>1939691.5744046983</v>
      </c>
      <c r="M45" s="1227">
        <f t="shared" si="24"/>
        <v>2110876.9682809878</v>
      </c>
      <c r="N45" s="1227">
        <f t="shared" si="24"/>
        <v>2373806.7127990136</v>
      </c>
      <c r="O45" s="1227">
        <f t="shared" si="24"/>
        <v>2389928.3039427386</v>
      </c>
      <c r="P45" s="1227">
        <f t="shared" si="24"/>
        <v>2394933.1630654968</v>
      </c>
      <c r="Q45" s="1227">
        <f t="shared" si="24"/>
        <v>2400195.9546883735</v>
      </c>
      <c r="R45" s="1227">
        <f t="shared" si="24"/>
        <v>2405056.956075571</v>
      </c>
      <c r="S45" s="1227">
        <f t="shared" si="24"/>
        <v>2381040.2627722714</v>
      </c>
      <c r="T45" s="1227">
        <f t="shared" si="24"/>
        <v>2385402.6476241178</v>
      </c>
      <c r="U45" s="1227">
        <f t="shared" si="24"/>
        <v>2389666.5536688664</v>
      </c>
      <c r="V45" s="1227">
        <f t="shared" si="24"/>
        <v>2393118.88521183</v>
      </c>
      <c r="W45" s="1227">
        <f t="shared" si="24"/>
        <v>2397807.423770613</v>
      </c>
      <c r="X45" s="1227">
        <f t="shared" si="24"/>
        <v>2402286.373433385</v>
      </c>
      <c r="Y45" s="1227">
        <f t="shared" si="24"/>
        <v>2405823.921612002</v>
      </c>
      <c r="Z45" s="1227">
        <f t="shared" si="24"/>
        <v>2408839.3328042594</v>
      </c>
      <c r="AA45" s="1227">
        <f t="shared" si="24"/>
        <v>2412291.1014979249</v>
      </c>
      <c r="AB45" s="1227">
        <f t="shared" si="24"/>
        <v>2415998.2982810684</v>
      </c>
      <c r="AC45" s="1227">
        <f t="shared" si="24"/>
        <v>2420002.4135607206</v>
      </c>
      <c r="AD45" s="1227">
        <f t="shared" si="24"/>
        <v>2423507.9248706792</v>
      </c>
      <c r="AE45" s="1227">
        <f t="shared" si="24"/>
        <v>2427866.5352967237</v>
      </c>
      <c r="AF45" s="1227">
        <f t="shared" si="24"/>
        <v>2430634.2787906122</v>
      </c>
      <c r="AG45" s="1229">
        <f>SUM(C45:AF45)</f>
        <v>59923610.35496863</v>
      </c>
    </row>
    <row r="46" spans="2:34" s="206" customFormat="1" ht="21" hidden="1" customHeight="1">
      <c r="B46" s="469" t="s">
        <v>228</v>
      </c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  <c r="AA46" s="1214"/>
      <c r="AB46" s="1214"/>
      <c r="AC46" s="1214"/>
      <c r="AD46" s="1214"/>
      <c r="AE46" s="1214"/>
      <c r="AF46" s="1230"/>
      <c r="AG46" s="1231">
        <f t="shared" ref="AG46:AG56" si="25">SUM(C46:AF46)</f>
        <v>0</v>
      </c>
    </row>
    <row r="47" spans="2:34" s="205" customFormat="1" ht="21" customHeight="1">
      <c r="B47" s="468" t="s">
        <v>229</v>
      </c>
      <c r="C47" s="1212">
        <f>C48+C53</f>
        <v>-563262.22957299976</v>
      </c>
      <c r="D47" s="1212">
        <f t="shared" ref="D47:AF47" si="26">D48+D53</f>
        <v>-561656.73038045038</v>
      </c>
      <c r="E47" s="1212">
        <f t="shared" si="26"/>
        <v>-526558.43434490811</v>
      </c>
      <c r="F47" s="1212">
        <f t="shared" si="26"/>
        <v>-1656331.7371514337</v>
      </c>
      <c r="G47" s="1212">
        <f t="shared" si="26"/>
        <v>-5488637.5529870847</v>
      </c>
      <c r="H47" s="1212">
        <f t="shared" si="26"/>
        <v>-1020483.3257311017</v>
      </c>
      <c r="I47" s="1212">
        <f t="shared" si="26"/>
        <v>-2117001.7983584367</v>
      </c>
      <c r="J47" s="1212">
        <f t="shared" si="26"/>
        <v>-1646829.6102130874</v>
      </c>
      <c r="K47" s="1212">
        <f t="shared" si="26"/>
        <v>-2375344.8532699798</v>
      </c>
      <c r="L47" s="1212">
        <f t="shared" si="26"/>
        <v>-2132134.6122818207</v>
      </c>
      <c r="M47" s="1212">
        <f t="shared" si="26"/>
        <v>-3129654.1797326282</v>
      </c>
      <c r="N47" s="1212">
        <f t="shared" si="26"/>
        <v>-2871071.2364713722</v>
      </c>
      <c r="O47" s="1212">
        <f t="shared" si="26"/>
        <v>-547483.37739523593</v>
      </c>
      <c r="P47" s="1212">
        <f t="shared" si="26"/>
        <v>-547817.29442193103</v>
      </c>
      <c r="Q47" s="1212">
        <f t="shared" si="26"/>
        <v>-548153.42505647615</v>
      </c>
      <c r="R47" s="1212">
        <f t="shared" si="26"/>
        <v>-542968.06577640818</v>
      </c>
      <c r="S47" s="1212">
        <f t="shared" si="26"/>
        <v>-533269.99174787733</v>
      </c>
      <c r="T47" s="1212">
        <f t="shared" si="26"/>
        <v>-533102.92749937228</v>
      </c>
      <c r="U47" s="1212">
        <f t="shared" si="26"/>
        <v>-532764.8575316096</v>
      </c>
      <c r="V47" s="1212">
        <f t="shared" si="26"/>
        <v>-531988.32514024212</v>
      </c>
      <c r="W47" s="1212">
        <f t="shared" si="26"/>
        <v>-537132.07062265568</v>
      </c>
      <c r="X47" s="1212">
        <f t="shared" si="26"/>
        <v>-526701.03836625069</v>
      </c>
      <c r="Y47" s="1212">
        <f t="shared" si="26"/>
        <v>-525377.65771251475</v>
      </c>
      <c r="Z47" s="1212">
        <f t="shared" si="26"/>
        <v>-523515.87233563559</v>
      </c>
      <c r="AA47" s="1212">
        <f t="shared" si="26"/>
        <v>-521321.2776455275</v>
      </c>
      <c r="AB47" s="1212">
        <f t="shared" si="26"/>
        <v>-527894.88929665089</v>
      </c>
      <c r="AC47" s="1212">
        <f t="shared" si="26"/>
        <v>-514867.81942280103</v>
      </c>
      <c r="AD47" s="1212">
        <f t="shared" si="26"/>
        <v>-510045.04784294486</v>
      </c>
      <c r="AE47" s="1212">
        <f t="shared" si="26"/>
        <v>-502363.62724993681</v>
      </c>
      <c r="AF47" s="1228">
        <f t="shared" si="26"/>
        <v>-459078.27368783968</v>
      </c>
      <c r="AG47" s="1231">
        <f t="shared" si="25"/>
        <v>-33554812.139247216</v>
      </c>
    </row>
    <row r="48" spans="2:34" s="206" customFormat="1" ht="21" customHeight="1">
      <c r="B48" s="468" t="s">
        <v>230</v>
      </c>
      <c r="C48" s="1212">
        <f>SUM(C49:C52)</f>
        <v>-563262.22957299976</v>
      </c>
      <c r="D48" s="1212">
        <f t="shared" ref="D48:AF48" si="27">SUM(D49:D52)</f>
        <v>-345639.16425320646</v>
      </c>
      <c r="E48" s="1212">
        <f t="shared" si="27"/>
        <v>-302337.51106105704</v>
      </c>
      <c r="F48" s="1212">
        <f t="shared" si="27"/>
        <v>-1393737.2138793978</v>
      </c>
      <c r="G48" s="1212">
        <f t="shared" si="27"/>
        <v>-5209890.1252055857</v>
      </c>
      <c r="H48" s="1212">
        <f t="shared" si="27"/>
        <v>-727898.33131925284</v>
      </c>
      <c r="I48" s="1212">
        <f t="shared" si="27"/>
        <v>-1713105.5265664214</v>
      </c>
      <c r="J48" s="1212">
        <f t="shared" si="27"/>
        <v>-1191741.8254753242</v>
      </c>
      <c r="K48" s="1212">
        <f t="shared" si="27"/>
        <v>-1924165.9188391753</v>
      </c>
      <c r="L48" s="1211">
        <f t="shared" si="27"/>
        <v>-1685534.8535779708</v>
      </c>
      <c r="M48" s="1211">
        <f t="shared" si="27"/>
        <v>-2653505.4796216656</v>
      </c>
      <c r="N48" s="1211">
        <f t="shared" si="27"/>
        <v>-2353010.2054911945</v>
      </c>
      <c r="O48" s="1211">
        <f t="shared" si="27"/>
        <v>-68386.753752136574</v>
      </c>
      <c r="P48" s="1211">
        <f t="shared" si="27"/>
        <v>-68386.753752136574</v>
      </c>
      <c r="Q48" s="1211">
        <f t="shared" si="27"/>
        <v>-68386.753752136574</v>
      </c>
      <c r="R48" s="1211">
        <f t="shared" si="27"/>
        <v>-63098.753752136574</v>
      </c>
      <c r="S48" s="1211">
        <f t="shared" si="27"/>
        <v>-63098.753752136574</v>
      </c>
      <c r="T48" s="1211">
        <f t="shared" si="27"/>
        <v>-63098.753752136574</v>
      </c>
      <c r="U48" s="1211">
        <f t="shared" si="27"/>
        <v>-63098.753752136574</v>
      </c>
      <c r="V48" s="1211">
        <f t="shared" si="27"/>
        <v>-63098.753752136574</v>
      </c>
      <c r="W48" s="1211">
        <f t="shared" si="27"/>
        <v>-68793.753752136574</v>
      </c>
      <c r="X48" s="1211">
        <f t="shared" si="27"/>
        <v>-59438.753752136574</v>
      </c>
      <c r="Y48" s="1211">
        <f t="shared" si="27"/>
        <v>-59438.753752136574</v>
      </c>
      <c r="Z48" s="1211">
        <f t="shared" si="27"/>
        <v>-59438.753752136574</v>
      </c>
      <c r="AA48" s="1211">
        <f t="shared" si="27"/>
        <v>-59438.753752136574</v>
      </c>
      <c r="AB48" s="1211">
        <f t="shared" si="27"/>
        <v>-68793.753752136574</v>
      </c>
      <c r="AC48" s="1211">
        <f t="shared" si="27"/>
        <v>-60252.753752136574</v>
      </c>
      <c r="AD48" s="1211">
        <f t="shared" si="27"/>
        <v>-61066.753752136574</v>
      </c>
      <c r="AE48" s="1211">
        <f t="shared" si="27"/>
        <v>-62284.753752136574</v>
      </c>
      <c r="AF48" s="1211">
        <f t="shared" si="27"/>
        <v>-59447.247996732927</v>
      </c>
      <c r="AG48" s="1231">
        <f t="shared" si="25"/>
        <v>-21202876.446646273</v>
      </c>
      <c r="AH48" s="207"/>
    </row>
    <row r="49" spans="2:34" s="206" customFormat="1" ht="21" customHeight="1">
      <c r="B49" s="1258" t="s">
        <v>231</v>
      </c>
      <c r="C49" s="1214">
        <f t="array" ref="C49:AF49">-TRANSPOSE('18 R1 Invest Total'!C4:C33)</f>
        <v>-408428.3754822117</v>
      </c>
      <c r="D49" s="1214">
        <v>-329783.01199834509</v>
      </c>
      <c r="E49" s="1214">
        <v>-226602.31678867349</v>
      </c>
      <c r="F49" s="1214">
        <v>-1359859.3479073208</v>
      </c>
      <c r="G49" s="1214">
        <v>-423362.0777800596</v>
      </c>
      <c r="H49" s="1214">
        <v>-99278.617780059591</v>
      </c>
      <c r="I49" s="1214">
        <v>-14581.887780059598</v>
      </c>
      <c r="J49" s="1214">
        <v>-14581.887780059598</v>
      </c>
      <c r="K49" s="1214">
        <v>-14581.887780059598</v>
      </c>
      <c r="L49" s="1214">
        <v>-15189.887780059598</v>
      </c>
      <c r="M49" s="1214">
        <v>-14785.887780059598</v>
      </c>
      <c r="N49" s="1214">
        <v>-14275.887780059598</v>
      </c>
      <c r="O49" s="1214">
        <v>-14275.887780059598</v>
      </c>
      <c r="P49" s="1214">
        <v>-14275.887780059598</v>
      </c>
      <c r="Q49" s="1214">
        <v>-14275.887780059598</v>
      </c>
      <c r="R49" s="1214">
        <v>-12851.887780059598</v>
      </c>
      <c r="S49" s="1214">
        <v>-12851.887780059598</v>
      </c>
      <c r="T49" s="1214">
        <v>-12851.887780059598</v>
      </c>
      <c r="U49" s="1214">
        <v>-12851.887780059598</v>
      </c>
      <c r="V49" s="1214">
        <v>-12851.887780059598</v>
      </c>
      <c r="W49" s="1214">
        <v>-14377.887780059598</v>
      </c>
      <c r="X49" s="1214">
        <v>-11835.887780059598</v>
      </c>
      <c r="Y49" s="1214">
        <v>-11835.887780059598</v>
      </c>
      <c r="Z49" s="1214">
        <v>-11835.887780059598</v>
      </c>
      <c r="AA49" s="1214">
        <v>-11835.887780059598</v>
      </c>
      <c r="AB49" s="1214">
        <v>-14377.887780059598</v>
      </c>
      <c r="AC49" s="1214">
        <v>-12039.887780059598</v>
      </c>
      <c r="AD49" s="1214">
        <v>-12243.887780059598</v>
      </c>
      <c r="AE49" s="1214">
        <v>-12647.887780059598</v>
      </c>
      <c r="AF49" s="1230">
        <v>-9773.2620246559418</v>
      </c>
      <c r="AG49" s="1231">
        <f t="shared" si="25"/>
        <v>-3165202.4287026967</v>
      </c>
    </row>
    <row r="50" spans="2:34" s="206" customFormat="1" ht="21" customHeight="1">
      <c r="B50" s="1259" t="s">
        <v>749</v>
      </c>
      <c r="C50" s="1214"/>
      <c r="D50" s="1214"/>
      <c r="E50" s="1214"/>
      <c r="F50" s="1214"/>
      <c r="G50" s="1214"/>
      <c r="H50" s="1214"/>
      <c r="I50" s="1214"/>
      <c r="J50" s="1214"/>
      <c r="K50" s="1214"/>
      <c r="L50" s="1222">
        <f>-'E2 VALE PASSAROS'!B38</f>
        <v>-685756.7830182102</v>
      </c>
      <c r="M50" s="1222"/>
      <c r="N50" s="1222"/>
      <c r="O50" s="1222"/>
      <c r="P50" s="1222"/>
      <c r="Q50" s="1222"/>
      <c r="R50" s="1222"/>
      <c r="S50" s="1222"/>
      <c r="T50" s="1222"/>
      <c r="U50" s="1222"/>
      <c r="V50" s="1222"/>
      <c r="W50" s="1222"/>
      <c r="X50" s="1222"/>
      <c r="Y50" s="1222"/>
      <c r="Z50" s="1222"/>
      <c r="AA50" s="1222"/>
      <c r="AB50" s="1222"/>
      <c r="AC50" s="1222"/>
      <c r="AD50" s="1222"/>
      <c r="AE50" s="1222"/>
      <c r="AF50" s="1222"/>
      <c r="AG50" s="1231">
        <f t="shared" si="25"/>
        <v>-685756.7830182102</v>
      </c>
    </row>
    <row r="51" spans="2:34" s="206" customFormat="1" ht="21" customHeight="1">
      <c r="B51" s="470" t="s">
        <v>232</v>
      </c>
      <c r="C51" s="1214">
        <f t="array" ref="C51:AF51">-TRANSPOSE('18 R1 Invest Total'!D4:D33)</f>
        <v>-37879.125589369905</v>
      </c>
      <c r="D51" s="1214">
        <v>-571.94869673148537</v>
      </c>
      <c r="E51" s="1214">
        <v>-9420.8028316306008</v>
      </c>
      <c r="F51" s="1214">
        <v>-816</v>
      </c>
      <c r="G51" s="1214">
        <v>-4753466.1814534497</v>
      </c>
      <c r="H51" s="1214">
        <v>-595557.84756711626</v>
      </c>
      <c r="I51" s="1214">
        <v>-1665461.7728142848</v>
      </c>
      <c r="J51" s="1214">
        <v>-1144098.0717231876</v>
      </c>
      <c r="K51" s="1214">
        <v>-1876522.1650870387</v>
      </c>
      <c r="L51" s="1214">
        <v>-951526.31680762395</v>
      </c>
      <c r="M51" s="1214">
        <v>-2605657.7258695289</v>
      </c>
      <c r="N51" s="1214">
        <v>-2305672.4517390579</v>
      </c>
      <c r="O51" s="1214">
        <v>-21049</v>
      </c>
      <c r="P51" s="1214">
        <v>-21049</v>
      </c>
      <c r="Q51" s="1214">
        <v>-21049</v>
      </c>
      <c r="R51" s="1214">
        <v>-17185</v>
      </c>
      <c r="S51" s="1214">
        <v>-17185</v>
      </c>
      <c r="T51" s="1214">
        <v>-17185</v>
      </c>
      <c r="U51" s="1214">
        <v>-17185</v>
      </c>
      <c r="V51" s="1214">
        <v>-17185</v>
      </c>
      <c r="W51" s="1214">
        <v>-21354</v>
      </c>
      <c r="X51" s="1214">
        <v>-14541</v>
      </c>
      <c r="Y51" s="1214">
        <v>-14541</v>
      </c>
      <c r="Z51" s="1214">
        <v>-14541</v>
      </c>
      <c r="AA51" s="1214">
        <v>-14541</v>
      </c>
      <c r="AB51" s="1214">
        <v>-21354</v>
      </c>
      <c r="AC51" s="1214">
        <v>-15151</v>
      </c>
      <c r="AD51" s="1214">
        <v>-15761</v>
      </c>
      <c r="AE51" s="1214">
        <v>-16575</v>
      </c>
      <c r="AF51" s="1230">
        <v>-16612.120000000003</v>
      </c>
      <c r="AG51" s="1231">
        <f t="shared" si="25"/>
        <v>-16260693.530179018</v>
      </c>
    </row>
    <row r="52" spans="2:34" s="206" customFormat="1" ht="21" customHeight="1">
      <c r="B52" s="470" t="s">
        <v>233</v>
      </c>
      <c r="C52" s="1214">
        <f t="array" ref="C52:AF52">-TRANSPOSE('18 R1 Invest Total'!E4:E33)</f>
        <v>-116954.72850141811</v>
      </c>
      <c r="D52" s="1214">
        <v>-15284.203558129915</v>
      </c>
      <c r="E52" s="1214">
        <v>-66314.391440752952</v>
      </c>
      <c r="F52" s="1214">
        <v>-33061.865972076979</v>
      </c>
      <c r="G52" s="1214">
        <v>-33061.865972076979</v>
      </c>
      <c r="H52" s="1214">
        <v>-33061.865972076979</v>
      </c>
      <c r="I52" s="1214">
        <v>-33061.865972076979</v>
      </c>
      <c r="J52" s="1214">
        <v>-33061.865972076979</v>
      </c>
      <c r="K52" s="1214">
        <v>-33061.865972076979</v>
      </c>
      <c r="L52" s="1214">
        <v>-33061.865972076979</v>
      </c>
      <c r="M52" s="1214">
        <v>-33061.865972076979</v>
      </c>
      <c r="N52" s="1214">
        <v>-33061.865972076979</v>
      </c>
      <c r="O52" s="1214">
        <v>-33061.865972076979</v>
      </c>
      <c r="P52" s="1214">
        <v>-33061.865972076979</v>
      </c>
      <c r="Q52" s="1214">
        <v>-33061.865972076979</v>
      </c>
      <c r="R52" s="1214">
        <v>-33061.865972076979</v>
      </c>
      <c r="S52" s="1214">
        <v>-33061.865972076979</v>
      </c>
      <c r="T52" s="1214">
        <v>-33061.865972076979</v>
      </c>
      <c r="U52" s="1214">
        <v>-33061.865972076979</v>
      </c>
      <c r="V52" s="1214">
        <v>-33061.865972076979</v>
      </c>
      <c r="W52" s="1214">
        <v>-33061.865972076979</v>
      </c>
      <c r="X52" s="1214">
        <v>-33061.865972076979</v>
      </c>
      <c r="Y52" s="1214">
        <v>-33061.865972076979</v>
      </c>
      <c r="Z52" s="1214">
        <v>-33061.865972076979</v>
      </c>
      <c r="AA52" s="1214">
        <v>-33061.865972076979</v>
      </c>
      <c r="AB52" s="1214">
        <v>-33061.865972076979</v>
      </c>
      <c r="AC52" s="1214">
        <v>-33061.865972076979</v>
      </c>
      <c r="AD52" s="1214">
        <v>-33061.865972076979</v>
      </c>
      <c r="AE52" s="1214">
        <v>-33061.865972076979</v>
      </c>
      <c r="AF52" s="1230">
        <v>-33061.865972076979</v>
      </c>
      <c r="AG52" s="1231">
        <f t="shared" si="25"/>
        <v>-1091223.70474638</v>
      </c>
    </row>
    <row r="53" spans="2:34" s="206" customFormat="1" ht="21" customHeight="1">
      <c r="B53" s="468" t="s">
        <v>234</v>
      </c>
      <c r="C53" s="1212">
        <f>C54+C55</f>
        <v>0</v>
      </c>
      <c r="D53" s="1212">
        <f t="shared" ref="D53:AF53" si="28">D54+D55</f>
        <v>-216017.56612724392</v>
      </c>
      <c r="E53" s="1212">
        <f t="shared" si="28"/>
        <v>-224220.92328385104</v>
      </c>
      <c r="F53" s="1212">
        <f t="shared" si="28"/>
        <v>-262594.52327203582</v>
      </c>
      <c r="G53" s="1212">
        <f t="shared" si="28"/>
        <v>-278747.42778149887</v>
      </c>
      <c r="H53" s="1212">
        <f t="shared" si="28"/>
        <v>-292584.99441184889</v>
      </c>
      <c r="I53" s="1212">
        <f t="shared" si="28"/>
        <v>-403896.27179201529</v>
      </c>
      <c r="J53" s="1212">
        <f t="shared" si="28"/>
        <v>-455087.78473776334</v>
      </c>
      <c r="K53" s="1212">
        <f t="shared" si="28"/>
        <v>-451178.93443080451</v>
      </c>
      <c r="L53" s="1212">
        <f t="shared" si="28"/>
        <v>-446599.75870384998</v>
      </c>
      <c r="M53" s="1212">
        <f t="shared" si="28"/>
        <v>-476148.70011096285</v>
      </c>
      <c r="N53" s="1212">
        <f t="shared" si="28"/>
        <v>-518061.03098017769</v>
      </c>
      <c r="O53" s="1212">
        <f t="shared" si="28"/>
        <v>-479096.62364309939</v>
      </c>
      <c r="P53" s="1212">
        <f t="shared" si="28"/>
        <v>-479430.54066979443</v>
      </c>
      <c r="Q53" s="1212">
        <f t="shared" si="28"/>
        <v>-479766.6713043396</v>
      </c>
      <c r="R53" s="1212">
        <f t="shared" si="28"/>
        <v>-479869.31202427158</v>
      </c>
      <c r="S53" s="1212">
        <f t="shared" si="28"/>
        <v>-470171.23799574078</v>
      </c>
      <c r="T53" s="1212">
        <f t="shared" si="28"/>
        <v>-470004.17374723568</v>
      </c>
      <c r="U53" s="1212">
        <f t="shared" si="28"/>
        <v>-469666.10377947305</v>
      </c>
      <c r="V53" s="1212">
        <f t="shared" si="28"/>
        <v>-468889.57138810551</v>
      </c>
      <c r="W53" s="1212">
        <f t="shared" si="28"/>
        <v>-468338.31687051913</v>
      </c>
      <c r="X53" s="1212">
        <f t="shared" si="28"/>
        <v>-467262.28461411415</v>
      </c>
      <c r="Y53" s="1212">
        <f t="shared" si="28"/>
        <v>-465938.9039603782</v>
      </c>
      <c r="Z53" s="1212">
        <f t="shared" si="28"/>
        <v>-464077.11858349905</v>
      </c>
      <c r="AA53" s="1212">
        <f t="shared" si="28"/>
        <v>-461882.5238933909</v>
      </c>
      <c r="AB53" s="1212">
        <f t="shared" si="28"/>
        <v>-459101.13554451434</v>
      </c>
      <c r="AC53" s="1212">
        <f t="shared" si="28"/>
        <v>-454615.06567066448</v>
      </c>
      <c r="AD53" s="1212">
        <f t="shared" si="28"/>
        <v>-448978.29409080825</v>
      </c>
      <c r="AE53" s="1212">
        <f t="shared" si="28"/>
        <v>-440078.8734978002</v>
      </c>
      <c r="AF53" s="1228">
        <f t="shared" si="28"/>
        <v>-399631.02569110674</v>
      </c>
      <c r="AG53" s="1231">
        <f t="shared" si="25"/>
        <v>-12351935.69260091</v>
      </c>
    </row>
    <row r="54" spans="2:34" s="206" customFormat="1" ht="21" customHeight="1">
      <c r="B54" s="469" t="s">
        <v>235</v>
      </c>
      <c r="C54" s="1214">
        <f>C31</f>
        <v>0</v>
      </c>
      <c r="D54" s="1214">
        <f t="shared" ref="D54:AF55" si="29">D31</f>
        <v>-152483.50450532642</v>
      </c>
      <c r="E54" s="1214">
        <f t="shared" si="29"/>
        <v>-158515.38476753753</v>
      </c>
      <c r="F54" s="1214">
        <f t="shared" si="29"/>
        <v>-186731.26711179104</v>
      </c>
      <c r="G54" s="1214">
        <f t="shared" si="29"/>
        <v>-198608.40278051386</v>
      </c>
      <c r="H54" s="1214">
        <f t="shared" si="29"/>
        <v>-208783.08412635949</v>
      </c>
      <c r="I54" s="1214">
        <f t="shared" si="29"/>
        <v>-290629.61161177594</v>
      </c>
      <c r="J54" s="1214">
        <f t="shared" si="29"/>
        <v>-328270.42995423777</v>
      </c>
      <c r="K54" s="1214">
        <f t="shared" si="29"/>
        <v>-325396.27531676803</v>
      </c>
      <c r="L54" s="1214">
        <f t="shared" si="29"/>
        <v>-322029.23434106616</v>
      </c>
      <c r="M54" s="1214">
        <f t="shared" si="29"/>
        <v>-343756.39714041387</v>
      </c>
      <c r="N54" s="1214">
        <f t="shared" si="29"/>
        <v>-374574.28748542478</v>
      </c>
      <c r="O54" s="1214">
        <f t="shared" si="29"/>
        <v>-345923.98797286721</v>
      </c>
      <c r="P54" s="1214">
        <f t="shared" si="29"/>
        <v>-346169.51519837824</v>
      </c>
      <c r="Q54" s="1214">
        <f t="shared" si="29"/>
        <v>-346416.6700767203</v>
      </c>
      <c r="R54" s="1214">
        <f t="shared" si="29"/>
        <v>-346492.14119431737</v>
      </c>
      <c r="S54" s="1214">
        <f t="shared" si="29"/>
        <v>-339361.20440863294</v>
      </c>
      <c r="T54" s="1214">
        <f t="shared" si="29"/>
        <v>-339238.36304943799</v>
      </c>
      <c r="U54" s="1214">
        <f t="shared" si="29"/>
        <v>-338989.782190789</v>
      </c>
      <c r="V54" s="1214">
        <f t="shared" si="29"/>
        <v>-338418.80249125406</v>
      </c>
      <c r="W54" s="1214">
        <f t="shared" si="29"/>
        <v>-338013.46828714642</v>
      </c>
      <c r="X54" s="1214">
        <f t="shared" si="29"/>
        <v>-337222.26809861336</v>
      </c>
      <c r="Y54" s="1214">
        <f t="shared" si="29"/>
        <v>-336249.19408851338</v>
      </c>
      <c r="Z54" s="1214">
        <f t="shared" si="29"/>
        <v>-334880.23425257282</v>
      </c>
      <c r="AA54" s="1214">
        <f t="shared" si="29"/>
        <v>-333266.56168631685</v>
      </c>
      <c r="AB54" s="1214">
        <f t="shared" si="29"/>
        <v>-331221.42319449584</v>
      </c>
      <c r="AC54" s="1214">
        <f t="shared" si="29"/>
        <v>-327922.84240490035</v>
      </c>
      <c r="AD54" s="1214">
        <f t="shared" si="29"/>
        <v>-323778.15741971193</v>
      </c>
      <c r="AE54" s="1214">
        <f t="shared" si="29"/>
        <v>-317234.46580720606</v>
      </c>
      <c r="AF54" s="1214">
        <f t="shared" si="29"/>
        <v>-287493.40124346083</v>
      </c>
      <c r="AG54" s="1231">
        <f t="shared" si="25"/>
        <v>-8898070.3622065522</v>
      </c>
    </row>
    <row r="55" spans="2:34" s="206" customFormat="1" ht="21" customHeight="1" thickBot="1">
      <c r="B55" s="476" t="s">
        <v>236</v>
      </c>
      <c r="C55" s="1214">
        <f>C32</f>
        <v>0</v>
      </c>
      <c r="D55" s="1214">
        <f t="shared" si="29"/>
        <v>-63534.061621917506</v>
      </c>
      <c r="E55" s="1214">
        <f t="shared" si="29"/>
        <v>-65705.538516313507</v>
      </c>
      <c r="F55" s="1214">
        <f t="shared" si="29"/>
        <v>-75863.256160244768</v>
      </c>
      <c r="G55" s="1214">
        <f t="shared" si="29"/>
        <v>-80139.025000984999</v>
      </c>
      <c r="H55" s="1214">
        <f t="shared" si="29"/>
        <v>-83801.910285489415</v>
      </c>
      <c r="I55" s="1214">
        <f t="shared" si="29"/>
        <v>-113266.66018023933</v>
      </c>
      <c r="J55" s="1214">
        <f t="shared" si="29"/>
        <v>-126817.35478352559</v>
      </c>
      <c r="K55" s="1214">
        <f t="shared" si="29"/>
        <v>-125782.65911403649</v>
      </c>
      <c r="L55" s="1214">
        <f t="shared" si="29"/>
        <v>-124570.52436278381</v>
      </c>
      <c r="M55" s="1214">
        <f t="shared" si="29"/>
        <v>-132392.30297054898</v>
      </c>
      <c r="N55" s="1214">
        <f t="shared" si="29"/>
        <v>-143486.74349475291</v>
      </c>
      <c r="O55" s="1214">
        <f t="shared" si="29"/>
        <v>-133172.63567023218</v>
      </c>
      <c r="P55" s="1214">
        <f t="shared" si="29"/>
        <v>-133261.02547141616</v>
      </c>
      <c r="Q55" s="1214">
        <f t="shared" si="29"/>
        <v>-133350.0012276193</v>
      </c>
      <c r="R55" s="1214">
        <f t="shared" si="29"/>
        <v>-133377.17082995424</v>
      </c>
      <c r="S55" s="1214">
        <f t="shared" si="29"/>
        <v>-130810.03358710786</v>
      </c>
      <c r="T55" s="1214">
        <f t="shared" si="29"/>
        <v>-130765.81069779767</v>
      </c>
      <c r="U55" s="1214">
        <f t="shared" si="29"/>
        <v>-130676.32158868403</v>
      </c>
      <c r="V55" s="1214">
        <f t="shared" si="29"/>
        <v>-130470.76889685146</v>
      </c>
      <c r="W55" s="1214">
        <f t="shared" si="29"/>
        <v>-130324.8485833727</v>
      </c>
      <c r="X55" s="1214">
        <f t="shared" si="29"/>
        <v>-130040.0165155008</v>
      </c>
      <c r="Y55" s="1214">
        <f t="shared" si="29"/>
        <v>-129689.70987186482</v>
      </c>
      <c r="Z55" s="1214">
        <f t="shared" si="29"/>
        <v>-129196.88433092622</v>
      </c>
      <c r="AA55" s="1214">
        <f t="shared" si="29"/>
        <v>-128615.96220707406</v>
      </c>
      <c r="AB55" s="1214">
        <f t="shared" si="29"/>
        <v>-127879.7123500185</v>
      </c>
      <c r="AC55" s="1214">
        <f t="shared" si="29"/>
        <v>-126692.22326576413</v>
      </c>
      <c r="AD55" s="1214">
        <f t="shared" si="29"/>
        <v>-125200.13667109629</v>
      </c>
      <c r="AE55" s="1214">
        <f t="shared" si="29"/>
        <v>-122844.40769059418</v>
      </c>
      <c r="AF55" s="1214">
        <f t="shared" si="29"/>
        <v>-112137.6244476459</v>
      </c>
      <c r="AG55" s="1232">
        <f t="shared" si="25"/>
        <v>-3453865.3303943579</v>
      </c>
    </row>
    <row r="56" spans="2:34" s="206" customFormat="1" ht="21" customHeight="1" thickBot="1">
      <c r="B56" s="472" t="s">
        <v>237</v>
      </c>
      <c r="C56" s="1233">
        <f>C45+C47</f>
        <v>-218809.77007688157</v>
      </c>
      <c r="D56" s="1233">
        <f t="shared" ref="D56:AF56" si="30">D45+D47</f>
        <v>163700.12314337248</v>
      </c>
      <c r="E56" s="1233">
        <f t="shared" si="30"/>
        <v>235270.19609394518</v>
      </c>
      <c r="F56" s="1233">
        <f t="shared" si="30"/>
        <v>-770441.89174071245</v>
      </c>
      <c r="G56" s="1233">
        <f t="shared" si="30"/>
        <v>-4501633.8874445725</v>
      </c>
      <c r="H56" s="1233">
        <f t="shared" si="30"/>
        <v>215614.67020301684</v>
      </c>
      <c r="I56" s="1233">
        <f t="shared" si="30"/>
        <v>-523188.59534435021</v>
      </c>
      <c r="J56" s="1233">
        <f t="shared" si="30"/>
        <v>172029.71515199519</v>
      </c>
      <c r="K56" s="1233">
        <f t="shared" si="30"/>
        <v>-513812.06347862515</v>
      </c>
      <c r="L56" s="1233">
        <f t="shared" si="30"/>
        <v>-192443.03787712241</v>
      </c>
      <c r="M56" s="1233">
        <f t="shared" si="30"/>
        <v>-1018777.2114516404</v>
      </c>
      <c r="N56" s="1233">
        <f t="shared" si="30"/>
        <v>-497264.5236723586</v>
      </c>
      <c r="O56" s="1233">
        <f t="shared" si="30"/>
        <v>1842444.9265475026</v>
      </c>
      <c r="P56" s="1233">
        <f t="shared" si="30"/>
        <v>1847115.8686435658</v>
      </c>
      <c r="Q56" s="1233">
        <f t="shared" si="30"/>
        <v>1852042.5296318973</v>
      </c>
      <c r="R56" s="1233">
        <f t="shared" si="30"/>
        <v>1862088.8902991628</v>
      </c>
      <c r="S56" s="1233">
        <f t="shared" si="30"/>
        <v>1847770.2710243941</v>
      </c>
      <c r="T56" s="1233">
        <f t="shared" si="30"/>
        <v>1852299.7201247455</v>
      </c>
      <c r="U56" s="1233">
        <f t="shared" si="30"/>
        <v>1856901.6961372569</v>
      </c>
      <c r="V56" s="1233">
        <f t="shared" si="30"/>
        <v>1861130.560071588</v>
      </c>
      <c r="W56" s="1233">
        <f t="shared" si="30"/>
        <v>1860675.3531479575</v>
      </c>
      <c r="X56" s="1233">
        <f t="shared" si="30"/>
        <v>1875585.3350671344</v>
      </c>
      <c r="Y56" s="1233">
        <f t="shared" si="30"/>
        <v>1880446.2638994872</v>
      </c>
      <c r="Z56" s="1233">
        <f t="shared" si="30"/>
        <v>1885323.4604686238</v>
      </c>
      <c r="AA56" s="1233">
        <f t="shared" si="30"/>
        <v>1890969.8238523975</v>
      </c>
      <c r="AB56" s="1233">
        <f t="shared" si="30"/>
        <v>1888103.4089844176</v>
      </c>
      <c r="AC56" s="1233">
        <f t="shared" si="30"/>
        <v>1905134.5941379196</v>
      </c>
      <c r="AD56" s="1233">
        <f t="shared" si="30"/>
        <v>1913462.8770277342</v>
      </c>
      <c r="AE56" s="1233">
        <f t="shared" si="30"/>
        <v>1925502.9080467869</v>
      </c>
      <c r="AF56" s="1234">
        <f t="shared" si="30"/>
        <v>1971556.0051027725</v>
      </c>
      <c r="AG56" s="1235">
        <f t="shared" si="25"/>
        <v>26368798.215721406</v>
      </c>
      <c r="AH56" s="207"/>
    </row>
    <row r="57" spans="2:34" s="206" customFormat="1" ht="21" customHeight="1" thickBot="1">
      <c r="B57" s="472" t="s">
        <v>238</v>
      </c>
      <c r="C57" s="886">
        <f>IRR(C56:AF56)</f>
        <v>0.11515488841697064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36"/>
    </row>
    <row r="58" spans="2:34" ht="15" thickBot="1"/>
    <row r="59" spans="2:34" ht="15.75" thickBot="1">
      <c r="B59" s="472" t="s">
        <v>714</v>
      </c>
      <c r="C59" s="886">
        <v>0.1203</v>
      </c>
    </row>
    <row r="60" spans="2:34" ht="15" thickBot="1"/>
    <row r="61" spans="2:34" ht="15.75" thickBot="1">
      <c r="B61" s="472" t="s">
        <v>659</v>
      </c>
      <c r="C61" s="886">
        <f>C57-C59</f>
        <v>-5.1451115830293687E-3</v>
      </c>
    </row>
    <row r="64" spans="2:34">
      <c r="AF64" s="41">
        <v>567.50879541981226</v>
      </c>
    </row>
    <row r="67" spans="32:32">
      <c r="AF67" s="41">
        <f>AF64*35%</f>
        <v>198.62807839693428</v>
      </c>
    </row>
  </sheetData>
  <mergeCells count="1">
    <mergeCell ref="AC42:AG42"/>
  </mergeCells>
  <conditionalFormatting sqref="B39">
    <cfRule type="cellIs" dxfId="28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64</vt:i4>
      </vt:variant>
      <vt:variant>
        <vt:lpstr>Intervalos Nomeados</vt:lpstr>
      </vt:variant>
      <vt:variant>
        <vt:i4>77</vt:i4>
      </vt:variant>
    </vt:vector>
  </HeadingPairs>
  <TitlesOfParts>
    <vt:vector size="141" baseType="lpstr">
      <vt:lpstr>PAINEL</vt:lpstr>
      <vt:lpstr>EVENTOS</vt:lpstr>
      <vt:lpstr>E1 BANDEIRA</vt:lpstr>
      <vt:lpstr>E1 9 R2 EE</vt:lpstr>
      <vt:lpstr>E1 R2 deseq</vt:lpstr>
      <vt:lpstr>E1 R2 reeq</vt:lpstr>
      <vt:lpstr>E2 VALE PASSAROS</vt:lpstr>
      <vt:lpstr>E2 R2 DEPR</vt:lpstr>
      <vt:lpstr>E2 R2 deseq</vt:lpstr>
      <vt:lpstr>E2 R2 reeq</vt:lpstr>
      <vt:lpstr>E3 DIST INDL</vt:lpstr>
      <vt:lpstr>E3 R2 DEPR</vt:lpstr>
      <vt:lpstr>E3 R2 deseq</vt:lpstr>
      <vt:lpstr>E3 R2 reeq</vt:lpstr>
      <vt:lpstr>E4 CLORO</vt:lpstr>
      <vt:lpstr>E4 R2 DEPR</vt:lpstr>
      <vt:lpstr>E4 R2 deseq</vt:lpstr>
      <vt:lpstr>E4 R2 reeq</vt:lpstr>
      <vt:lpstr>E5 CAPEX</vt:lpstr>
      <vt:lpstr>E5 R2 DEPR</vt:lpstr>
      <vt:lpstr>E5 R2 deseq</vt:lpstr>
      <vt:lpstr>E5 R2 reeq</vt:lpstr>
      <vt:lpstr>E6 RECEITA</vt:lpstr>
      <vt:lpstr>E6 R2 deseq</vt:lpstr>
      <vt:lpstr>E6 R2 reeq</vt:lpstr>
      <vt:lpstr>E7 Reprog Inv Esg</vt:lpstr>
      <vt:lpstr>E7 R2 DEPR</vt:lpstr>
      <vt:lpstr>E7 R2 deseq</vt:lpstr>
      <vt:lpstr>E7 R2 reeq</vt:lpstr>
      <vt:lpstr>COMB A</vt:lpstr>
      <vt:lpstr>COMB A DEPR</vt:lpstr>
      <vt:lpstr>COMB A R2 deseq</vt:lpstr>
      <vt:lpstr>COMB A R2 reeq</vt:lpstr>
      <vt:lpstr>Tarifas</vt:lpstr>
      <vt:lpstr>Serviços</vt:lpstr>
      <vt:lpstr>R1 DEPR</vt:lpstr>
      <vt:lpstr>R1 DRE</vt:lpstr>
      <vt:lpstr>R1 FC</vt:lpstr>
      <vt:lpstr>1 R1 Pop</vt:lpstr>
      <vt:lpstr>2 R1 Lig</vt:lpstr>
      <vt:lpstr>3 Vol</vt:lpstr>
      <vt:lpstr>4 R1 Vazões</vt:lpstr>
      <vt:lpstr>5 Perdas</vt:lpstr>
      <vt:lpstr>6 Inv Agua</vt:lpstr>
      <vt:lpstr>7 Inv Esgoto</vt:lpstr>
      <vt:lpstr>8 RH</vt:lpstr>
      <vt:lpstr>8 R1 RH</vt:lpstr>
      <vt:lpstr>9 EE</vt:lpstr>
      <vt:lpstr>9 R1 EE</vt:lpstr>
      <vt:lpstr>10 PQ A SA</vt:lpstr>
      <vt:lpstr>10 PQ A AF</vt:lpstr>
      <vt:lpstr>10 PQ A CL</vt:lpstr>
      <vt:lpstr>11 R1 PQ E</vt:lpstr>
      <vt:lpstr>12 R1 Tarifa</vt:lpstr>
      <vt:lpstr>12 R1 Serviços</vt:lpstr>
      <vt:lpstr>13 R1 FAT 1</vt:lpstr>
      <vt:lpstr>14 R1 FAT 2</vt:lpstr>
      <vt:lpstr>15 R1 ARREC</vt:lpstr>
      <vt:lpstr>16 R1 OPEX</vt:lpstr>
      <vt:lpstr>17 R1 INV COMP</vt:lpstr>
      <vt:lpstr>17 R1 INV</vt:lpstr>
      <vt:lpstr>R1 Aux Inv 1</vt:lpstr>
      <vt:lpstr>R1 Aux Inv 2</vt:lpstr>
      <vt:lpstr>18 R1 Invest Total</vt:lpstr>
      <vt:lpstr>'1 R1 Pop'!Area_de_impressao</vt:lpstr>
      <vt:lpstr>'10 PQ A AF'!Area_de_impressao</vt:lpstr>
      <vt:lpstr>'10 PQ A CL'!Area_de_impressao</vt:lpstr>
      <vt:lpstr>'10 PQ A SA'!Area_de_impressao</vt:lpstr>
      <vt:lpstr>'11 R1 PQ E'!Area_de_impressao</vt:lpstr>
      <vt:lpstr>'12 R1 Serviços'!Area_de_impressao</vt:lpstr>
      <vt:lpstr>'12 R1 Tarifa'!Area_de_impressao</vt:lpstr>
      <vt:lpstr>'13 R1 FAT 1'!Area_de_impressao</vt:lpstr>
      <vt:lpstr>'14 R1 FAT 2'!Area_de_impressao</vt:lpstr>
      <vt:lpstr>'15 R1 ARREC'!Area_de_impressao</vt:lpstr>
      <vt:lpstr>'16 R1 OPEX'!Area_de_impressao</vt:lpstr>
      <vt:lpstr>'17 R1 INV'!Area_de_impressao</vt:lpstr>
      <vt:lpstr>'18 R1 Invest Total'!Area_de_impressao</vt:lpstr>
      <vt:lpstr>'2 R1 Lig'!Area_de_impressao</vt:lpstr>
      <vt:lpstr>'3 Vol'!Area_de_impressao</vt:lpstr>
      <vt:lpstr>'4 R1 Vazões'!Area_de_impressao</vt:lpstr>
      <vt:lpstr>'6 Inv Agua'!Area_de_impressao</vt:lpstr>
      <vt:lpstr>'7 Inv Esgoto'!Area_de_impressao</vt:lpstr>
      <vt:lpstr>'8 R1 RH'!Area_de_impressao</vt:lpstr>
      <vt:lpstr>'9 R1 EE'!Area_de_impressao</vt:lpstr>
      <vt:lpstr>'COMB A R2 deseq'!Area_de_impressao</vt:lpstr>
      <vt:lpstr>'COMB A R2 reeq'!Area_de_impressao</vt:lpstr>
      <vt:lpstr>'E1 9 R2 EE'!Area_de_impressao</vt:lpstr>
      <vt:lpstr>'E1 R2 deseq'!Area_de_impressao</vt:lpstr>
      <vt:lpstr>'E1 R2 reeq'!Area_de_impressao</vt:lpstr>
      <vt:lpstr>'E2 R2 deseq'!Area_de_impressao</vt:lpstr>
      <vt:lpstr>'E2 R2 reeq'!Area_de_impressao</vt:lpstr>
      <vt:lpstr>'E3 R2 deseq'!Area_de_impressao</vt:lpstr>
      <vt:lpstr>'E3 R2 reeq'!Area_de_impressao</vt:lpstr>
      <vt:lpstr>'E4 R2 deseq'!Area_de_impressao</vt:lpstr>
      <vt:lpstr>'E4 R2 reeq'!Area_de_impressao</vt:lpstr>
      <vt:lpstr>'E5 R2 deseq'!Area_de_impressao</vt:lpstr>
      <vt:lpstr>'E5 R2 reeq'!Area_de_impressao</vt:lpstr>
      <vt:lpstr>'E6 R2 deseq'!Area_de_impressao</vt:lpstr>
      <vt:lpstr>'E6 R2 reeq'!Area_de_impressao</vt:lpstr>
      <vt:lpstr>'E7 R2 deseq'!Area_de_impressao</vt:lpstr>
      <vt:lpstr>'E7 R2 reeq'!Area_de_impressao</vt:lpstr>
      <vt:lpstr>PAINEL!Area_de_impressao</vt:lpstr>
      <vt:lpstr>'R1 DRE'!Area_de_impressao</vt:lpstr>
      <vt:lpstr>'R1 FC'!Area_de_impressao</vt:lpstr>
      <vt:lpstr>'1 R1 Pop'!Titulos_de_impressao</vt:lpstr>
      <vt:lpstr>'10 PQ A AF'!Titulos_de_impressao</vt:lpstr>
      <vt:lpstr>'10 PQ A CL'!Titulos_de_impressao</vt:lpstr>
      <vt:lpstr>'10 PQ A SA'!Titulos_de_impressao</vt:lpstr>
      <vt:lpstr>'11 R1 PQ E'!Titulos_de_impressao</vt:lpstr>
      <vt:lpstr>'13 R1 FAT 1'!Titulos_de_impressao</vt:lpstr>
      <vt:lpstr>'14 R1 FAT 2'!Titulos_de_impressao</vt:lpstr>
      <vt:lpstr>'15 R1 ARREC'!Titulos_de_impressao</vt:lpstr>
      <vt:lpstr>'16 R1 OPEX'!Titulos_de_impressao</vt:lpstr>
      <vt:lpstr>'17 R1 INV'!Titulos_de_impressao</vt:lpstr>
      <vt:lpstr>'18 R1 Invest Total'!Titulos_de_impressao</vt:lpstr>
      <vt:lpstr>'2 R1 Lig'!Titulos_de_impressao</vt:lpstr>
      <vt:lpstr>'3 Vol'!Titulos_de_impressao</vt:lpstr>
      <vt:lpstr>'4 R1 Vazões'!Titulos_de_impressao</vt:lpstr>
      <vt:lpstr>'6 Inv Agua'!Titulos_de_impressao</vt:lpstr>
      <vt:lpstr>'7 Inv Esgoto'!Titulos_de_impressao</vt:lpstr>
      <vt:lpstr>'8 R1 RH'!Titulos_de_impressao</vt:lpstr>
      <vt:lpstr>'9 R1 EE'!Titulos_de_impressao</vt:lpstr>
      <vt:lpstr>'COMB A R2 deseq'!Titulos_de_impressao</vt:lpstr>
      <vt:lpstr>'COMB A R2 reeq'!Titulos_de_impressao</vt:lpstr>
      <vt:lpstr>'E1 9 R2 EE'!Titulos_de_impressao</vt:lpstr>
      <vt:lpstr>'E1 R2 deseq'!Titulos_de_impressao</vt:lpstr>
      <vt:lpstr>'E1 R2 reeq'!Titulos_de_impressao</vt:lpstr>
      <vt:lpstr>'E2 R2 deseq'!Titulos_de_impressao</vt:lpstr>
      <vt:lpstr>'E2 R2 reeq'!Titulos_de_impressao</vt:lpstr>
      <vt:lpstr>'E3 R2 deseq'!Titulos_de_impressao</vt:lpstr>
      <vt:lpstr>'E3 R2 reeq'!Titulos_de_impressao</vt:lpstr>
      <vt:lpstr>'E4 R2 deseq'!Titulos_de_impressao</vt:lpstr>
      <vt:lpstr>'E4 R2 reeq'!Titulos_de_impressao</vt:lpstr>
      <vt:lpstr>'E5 R2 deseq'!Titulos_de_impressao</vt:lpstr>
      <vt:lpstr>'E5 R2 reeq'!Titulos_de_impressao</vt:lpstr>
      <vt:lpstr>'E6 R2 deseq'!Titulos_de_impressao</vt:lpstr>
      <vt:lpstr>'E6 R2 reeq'!Titulos_de_impressao</vt:lpstr>
      <vt:lpstr>'E7 R2 deseq'!Titulos_de_impressao</vt:lpstr>
      <vt:lpstr>'E7 R2 reeq'!Titulos_de_impressao</vt:lpstr>
      <vt:lpstr>'R1 DRE'!Titulos_de_impressao</vt:lpstr>
      <vt:lpstr>'R1 FC'!Titulos_de_impressao</vt:lpstr>
    </vt:vector>
  </TitlesOfParts>
  <Company>Cinco Engenheiros Consultores Ltda.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Convidado</dc:creator>
  <cp:lastModifiedBy>Daniel Manzi EXAQUA</cp:lastModifiedBy>
  <cp:lastPrinted>2019-08-23T11:26:46Z</cp:lastPrinted>
  <dcterms:created xsi:type="dcterms:W3CDTF">2007-03-23T12:47:23Z</dcterms:created>
  <dcterms:modified xsi:type="dcterms:W3CDTF">2024-06-20T12:28:02Z</dcterms:modified>
</cp:coreProperties>
</file>